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19320" windowHeight="576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X19" i="1"/>
  <c r="X20" i="1" s="1"/>
  <c r="Y20" i="1" s="1"/>
  <c r="Z20" i="1"/>
  <c r="Z19" i="1"/>
  <c r="Z21" i="1" s="1"/>
  <c r="W21" i="1" s="1"/>
  <c r="V21" i="1"/>
  <c r="V19" i="1"/>
  <c r="N6" i="1"/>
  <c r="C36" i="33" s="1"/>
  <c r="U2" i="43"/>
  <c r="U3" i="43" s="1"/>
  <c r="J52" i="15"/>
  <c r="Y6" i="1"/>
  <c r="C33" i="33"/>
  <c r="E93" i="33"/>
  <c r="I7" i="33"/>
  <c r="G7" i="33"/>
  <c r="E7" i="33"/>
  <c r="Y19" i="1" l="1"/>
  <c r="Y21" i="1" s="1"/>
  <c r="X21" i="1" s="1"/>
  <c r="F19" i="6" l="1"/>
  <c r="B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21" i="33"/>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B88" i="33"/>
  <c r="J26" i="33"/>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D79" i="33"/>
  <c r="E79" i="33" s="1"/>
  <c r="D77" i="33"/>
  <c r="E77" i="33" s="1"/>
  <c r="F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s="1"/>
  <c r="Q42" i="33"/>
  <c r="Z42" i="33"/>
  <c r="J42" i="33"/>
  <c r="AC42" i="33" s="1"/>
  <c r="AC41" i="33"/>
  <c r="W41" i="33"/>
  <c r="Q41" i="33"/>
  <c r="Z41" i="33" s="1"/>
  <c r="Q40" i="33"/>
  <c r="Z40" i="33" s="1"/>
  <c r="J40" i="33"/>
  <c r="AC40" i="33" s="1"/>
  <c r="H40" i="33"/>
  <c r="AB40" i="33" s="1"/>
  <c r="AA40" i="33"/>
  <c r="Q39" i="33"/>
  <c r="Z39" i="33"/>
  <c r="J39" i="33"/>
  <c r="AC39" i="33"/>
  <c r="Q38" i="33"/>
  <c r="Z38" i="33"/>
  <c r="J38" i="33"/>
  <c r="AC38" i="33"/>
  <c r="H38" i="33"/>
  <c r="AB38" i="33" s="1"/>
  <c r="F38" i="33"/>
  <c r="AA38" i="33" s="1"/>
  <c r="Q37" i="33"/>
  <c r="Z37" i="33" s="1"/>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S38" i="33"/>
  <c r="E113" i="33"/>
  <c r="F32" i="33"/>
  <c r="AA32"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s="1"/>
  <c r="H29" i="33"/>
  <c r="U29" i="33" s="1"/>
  <c r="F29" i="33"/>
  <c r="S29" i="33" s="1"/>
  <c r="J31" i="33"/>
  <c r="W31" i="33"/>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AB41" i="33" s="1"/>
  <c r="F121" i="33"/>
  <c r="G121" i="33"/>
  <c r="H121" i="33" s="1"/>
  <c r="I121" i="33" s="1"/>
  <c r="J121" i="33" s="1"/>
  <c r="K121" i="33" s="1"/>
  <c r="L121" i="33" s="1"/>
  <c r="M121" i="33" s="1"/>
  <c r="S42" i="33"/>
  <c r="F36" i="33"/>
  <c r="AA36" i="33" s="1"/>
  <c r="J35" i="33"/>
  <c r="W35" i="33" s="1"/>
  <c r="S37" i="33"/>
  <c r="AA37" i="33"/>
  <c r="S39" i="33"/>
  <c r="J32" i="33"/>
  <c r="AC32" i="33" s="1"/>
  <c r="S46" i="33"/>
  <c r="S43" i="33"/>
  <c r="H25" i="33"/>
  <c r="F25" i="33"/>
  <c r="AA25"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AB44" i="33"/>
  <c r="S30" i="33"/>
  <c r="AA30" i="33"/>
  <c r="AC14" i="33"/>
  <c r="W14" i="33"/>
  <c r="AC30" i="33"/>
  <c r="W30" i="33"/>
  <c r="S31" i="33"/>
  <c r="AA31" i="33"/>
  <c r="W13" i="33"/>
  <c r="AC13" i="33"/>
  <c r="S11" i="33"/>
  <c r="U37"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U25" i="33"/>
  <c r="AB25" i="33"/>
  <c r="J25" i="33"/>
  <c r="W25"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9" i="76"/>
  <c r="F40" i="67"/>
  <c r="E8" i="76"/>
  <c r="D34" i="9"/>
  <c r="F40" i="15"/>
  <c r="M22" i="67"/>
  <c r="D6" i="73"/>
  <c r="B10" i="76"/>
  <c r="M8" i="67"/>
  <c r="M28" i="15"/>
  <c r="M26" i="15"/>
  <c r="M9" i="15"/>
  <c r="M26" i="67"/>
  <c r="F5" i="73"/>
  <c r="J15" i="67"/>
  <c r="F36" i="67"/>
  <c r="E12" i="76"/>
  <c r="F37" i="67"/>
  <c r="L47" i="15"/>
  <c r="B12" i="76"/>
  <c r="F6" i="73"/>
  <c r="F38" i="67"/>
  <c r="M24" i="15"/>
  <c r="C76" i="15"/>
  <c r="J15" i="15"/>
  <c r="B11" i="76"/>
  <c r="C76" i="67"/>
  <c r="F8" i="67"/>
  <c r="L48" i="15"/>
  <c r="F7" i="73"/>
  <c r="M29" i="67"/>
  <c r="F6" i="67"/>
  <c r="F16" i="15"/>
  <c r="E7" i="76"/>
  <c r="F9" i="67"/>
  <c r="D3" i="73"/>
  <c r="F13" i="15"/>
  <c r="M23" i="15"/>
  <c r="M8" i="15"/>
  <c r="F38" i="15"/>
  <c r="D5" i="73"/>
  <c r="F20" i="31"/>
  <c r="M6" i="15"/>
  <c r="M29" i="15"/>
  <c r="E9" i="76"/>
  <c r="F6" i="15"/>
  <c r="F26" i="67"/>
  <c r="E2" i="68"/>
  <c r="F7" i="15"/>
  <c r="E13" i="76"/>
  <c r="F7" i="67"/>
  <c r="M24" i="67"/>
  <c r="D7" i="73"/>
  <c r="F4" i="73"/>
  <c r="L47" i="67"/>
  <c r="B8" i="76"/>
  <c r="E11" i="76"/>
  <c r="M22" i="15"/>
  <c r="F43" i="15"/>
  <c r="M6" i="67"/>
  <c r="F9" i="15"/>
  <c r="L48" i="67"/>
  <c r="F13" i="67"/>
  <c r="F43" i="67"/>
  <c r="M28" i="67"/>
  <c r="F42" i="15"/>
  <c r="M23" i="67"/>
  <c r="F3" i="73"/>
  <c r="B13" i="76"/>
  <c r="D35" i="9"/>
  <c r="B7" i="76"/>
  <c r="F16" i="67"/>
  <c r="E2" i="69"/>
  <c r="F42" i="67"/>
  <c r="E10" i="76"/>
  <c r="M9" i="67"/>
  <c r="F37" i="15"/>
  <c r="F8" i="15"/>
  <c r="F36" i="15"/>
  <c r="AO13" i="1"/>
  <c r="F26" i="15"/>
  <c r="D4" i="73"/>
  <c r="AC25" i="33" l="1"/>
  <c r="S25" i="33"/>
  <c r="F32" i="15"/>
  <c r="F60" i="15" s="1"/>
  <c r="F54" i="9"/>
  <c r="F52" i="9"/>
  <c r="F28" i="15"/>
  <c r="F32" i="67"/>
  <c r="F60" i="67" s="1"/>
  <c r="F28" i="67"/>
  <c r="C28" i="67" s="1"/>
  <c r="D68" i="9"/>
  <c r="M18" i="15"/>
  <c r="F30" i="69"/>
  <c r="F48" i="69" s="1"/>
  <c r="M18" i="67"/>
  <c r="F31" i="12"/>
  <c r="F30" i="11"/>
  <c r="C48" i="11" s="1"/>
  <c r="S36" i="33"/>
  <c r="U43" i="33"/>
  <c r="W43" i="33"/>
  <c r="AC37" i="33"/>
  <c r="U46" i="33"/>
  <c r="U35" i="33"/>
  <c r="G111" i="33"/>
  <c r="H111" i="33" s="1"/>
  <c r="I111" i="33" s="1"/>
  <c r="J111" i="33" s="1"/>
  <c r="K111" i="33" s="1"/>
  <c r="L111" i="33" s="1"/>
  <c r="M111" i="33" s="1"/>
  <c r="H36" i="33"/>
  <c r="J36" i="33"/>
  <c r="W36" i="33" s="1"/>
  <c r="S32" i="33"/>
  <c r="U32" i="33"/>
  <c r="U42" i="33"/>
  <c r="W42" i="33"/>
  <c r="AC35" i="33"/>
  <c r="AA35" i="33"/>
  <c r="AB34" i="33"/>
  <c r="AA34" i="33"/>
  <c r="W32" i="33"/>
  <c r="AA29" i="33"/>
  <c r="AB29" i="33"/>
  <c r="S28" i="33"/>
  <c r="AC28" i="33"/>
  <c r="G91" i="33"/>
  <c r="H91" i="33" s="1"/>
  <c r="I91" i="33" s="1"/>
  <c r="J91" i="33" s="1"/>
  <c r="K91" i="33" s="1"/>
  <c r="L91" i="33" s="1"/>
  <c r="M91" i="33" s="1"/>
  <c r="F27" i="33"/>
  <c r="AB26" i="33"/>
  <c r="S26" i="33"/>
  <c r="F85" i="33"/>
  <c r="G85" i="33" s="1"/>
  <c r="F23" i="33"/>
  <c r="J23" i="33"/>
  <c r="AC23" i="33" s="1"/>
  <c r="H23" i="33"/>
  <c r="U23" i="33" s="1"/>
  <c r="W23" i="33"/>
  <c r="AB23" i="33"/>
  <c r="J19" i="33"/>
  <c r="F81" i="33"/>
  <c r="G81" i="33" s="1"/>
  <c r="F19" i="33"/>
  <c r="S19" i="33" s="1"/>
  <c r="H19" i="33"/>
  <c r="U19" i="33" s="1"/>
  <c r="AB19" i="33"/>
  <c r="J17" i="33"/>
  <c r="H17" i="33"/>
  <c r="F79" i="33"/>
  <c r="G79" i="33" s="1"/>
  <c r="F17" i="33"/>
  <c r="AA17" i="33" s="1"/>
  <c r="F15" i="33"/>
  <c r="J15" i="33"/>
  <c r="H15" i="33"/>
  <c r="G77" i="33"/>
  <c r="G28" i="6"/>
  <c r="F29" i="6"/>
  <c r="G5" i="3"/>
  <c r="B3" i="3" s="1"/>
  <c r="E253" i="3"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D9" i="68"/>
  <c r="G1" i="73"/>
  <c r="C16" i="15"/>
  <c r="C16" i="67"/>
  <c r="U36" i="33" l="1"/>
  <c r="AB36" i="33"/>
  <c r="AA27" i="33"/>
  <c r="S27" i="33"/>
  <c r="H27" i="33"/>
  <c r="J27" i="33"/>
  <c r="AA23" i="33"/>
  <c r="S23" i="33"/>
  <c r="AA19" i="33"/>
  <c r="AC19" i="33"/>
  <c r="W19" i="33"/>
  <c r="U17" i="33"/>
  <c r="AB17" i="33"/>
  <c r="S17" i="33"/>
  <c r="AC17" i="33"/>
  <c r="W17" i="33"/>
  <c r="AC15" i="33"/>
  <c r="W15" i="33"/>
  <c r="AB15" i="33"/>
  <c r="U15" i="33"/>
  <c r="AA15" i="33"/>
  <c r="S15" i="3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60" i="3"/>
  <c r="E57" i="3"/>
  <c r="E187" i="3"/>
  <c r="E240" i="3"/>
  <c r="E297" i="3"/>
  <c r="E348" i="3"/>
  <c r="E375" i="3"/>
  <c r="E58" i="3"/>
  <c r="E488" i="3"/>
  <c r="E462" i="3"/>
  <c r="E425" i="3"/>
  <c r="E47" i="3"/>
  <c r="E64" i="3"/>
  <c r="E46" i="3"/>
  <c r="E103" i="3"/>
  <c r="E160" i="3"/>
  <c r="E142" i="3"/>
  <c r="E200" i="3"/>
  <c r="E267" i="3"/>
  <c r="E249" i="3"/>
  <c r="E300" i="3"/>
  <c r="E371" i="3"/>
  <c r="E386" i="3"/>
  <c r="E354" i="3"/>
  <c r="E584" i="3"/>
  <c r="E66" i="3"/>
  <c r="E24" i="3"/>
  <c r="E48" i="3"/>
  <c r="E87" i="3"/>
  <c r="E127" i="3"/>
  <c r="E250" i="3"/>
  <c r="E284" i="3"/>
  <c r="E355" i="3"/>
  <c r="E381" i="3"/>
  <c r="E68" i="3"/>
  <c r="E63" i="3"/>
  <c r="E81" i="3"/>
  <c r="E154" i="3"/>
  <c r="E179" i="3"/>
  <c r="E222" i="3"/>
  <c r="E323" i="3"/>
  <c r="E373" i="3"/>
  <c r="E513" i="3"/>
  <c r="E21" i="3"/>
  <c r="E165" i="3"/>
  <c r="E244" i="3"/>
  <c r="E149" i="3"/>
  <c r="E167" i="3"/>
  <c r="E141" i="3"/>
  <c r="E312" i="3"/>
  <c r="AD6" i="3"/>
  <c r="E542" i="3"/>
  <c r="E552" i="3"/>
  <c r="E421" i="3"/>
  <c r="E464" i="3"/>
  <c r="E487" i="3"/>
  <c r="E398" i="3"/>
  <c r="E416" i="3"/>
  <c r="E459" i="3"/>
  <c r="E374" i="3"/>
  <c r="E566" i="3"/>
  <c r="E500" i="3"/>
  <c r="E582" i="3"/>
  <c r="E413" i="3"/>
  <c r="E520" i="3"/>
  <c r="E436" i="3"/>
  <c r="E39" i="3"/>
  <c r="E90" i="3"/>
  <c r="E131" i="3"/>
  <c r="E155" i="3"/>
  <c r="E259" i="3"/>
  <c r="E378" i="3"/>
  <c r="E504" i="3"/>
  <c r="E110" i="3"/>
  <c r="E521" i="3"/>
  <c r="E446" i="3"/>
  <c r="E467" i="3"/>
  <c r="E98" i="3"/>
  <c r="E65" i="3"/>
  <c r="E138" i="3"/>
  <c r="E195" i="3"/>
  <c r="E163" i="3"/>
  <c r="E248" i="3"/>
  <c r="E209" i="3"/>
  <c r="E266" i="3"/>
  <c r="E307" i="3"/>
  <c r="E310" i="3"/>
  <c r="E492" i="3"/>
  <c r="E23" i="3"/>
  <c r="E84" i="3"/>
  <c r="E67" i="3"/>
  <c r="E33" i="3"/>
  <c r="E144" i="3"/>
  <c r="E184" i="3"/>
  <c r="E233" i="3"/>
  <c r="E341" i="3"/>
  <c r="Y6" i="3"/>
  <c r="E51" i="3"/>
  <c r="E19" i="3"/>
  <c r="E118" i="3"/>
  <c r="E264" i="3"/>
  <c r="E283" i="3"/>
  <c r="E309" i="3"/>
  <c r="E82" i="3"/>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W27" i="33" l="1"/>
  <c r="AC27" i="33"/>
  <c r="AB27" i="33"/>
  <c r="U27" i="3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C6" i="68" s="1"/>
  <c r="C7" i="68"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5" i="68" l="1"/>
  <c r="C23" i="68" s="1"/>
  <c r="B29" i="1"/>
  <c r="C18" i="12"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J7" i="21"/>
  <c r="D7" i="71"/>
  <c r="C6" i="7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J7" i="35"/>
  <c r="W7" i="35" s="1"/>
  <c r="D6" i="71"/>
  <c r="C5" i="71"/>
  <c r="Q49" i="67"/>
  <c r="J14" i="67"/>
  <c r="J13" i="67" s="1"/>
  <c r="J23" i="67" s="1"/>
  <c r="C36" i="67"/>
  <c r="C57" i="67"/>
  <c r="C64" i="67" s="1"/>
  <c r="C13" i="67"/>
  <c r="Q70" i="67" s="1"/>
  <c r="C33" i="11"/>
  <c r="C39" i="11" s="1"/>
  <c r="C61" i="67"/>
  <c r="C42" i="68"/>
  <c r="C32" i="12"/>
  <c r="B2"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M21" i="15"/>
  <c r="M21" i="67"/>
  <c r="F35" i="15"/>
  <c r="B3" i="12" l="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9"/>
  <c r="D2" i="37"/>
  <c r="L51" i="15"/>
  <c r="D2" i="35"/>
  <c r="D2" i="36"/>
  <c r="D2" i="34"/>
  <c r="C102" i="9" l="1"/>
  <c r="C21" i="9"/>
  <c r="B3" i="33"/>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D19" i="9"/>
  <c r="AO10" i="1"/>
  <c r="AO7" i="1"/>
  <c r="AO11" i="1"/>
  <c r="AO8" i="1"/>
  <c r="AO12" i="1"/>
  <c r="AO6" i="1"/>
  <c r="AO9" i="1"/>
  <c r="C103" i="9" l="1"/>
  <c r="D102" i="9"/>
  <c r="D22" i="9"/>
  <c r="G19"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G14" i="74" s="1"/>
  <c r="G20" i="9"/>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G23"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04" i="9"/>
  <c r="H4" i="52"/>
  <c r="M54" i="9"/>
  <c r="D56" i="9"/>
  <c r="B30" i="72"/>
  <c r="B48" i="72"/>
  <c r="C5" i="74"/>
  <c r="B31" i="72"/>
  <c r="B47" i="72"/>
  <c r="M48" i="9"/>
  <c r="N61" i="9"/>
  <c r="N60" i="9"/>
  <c r="D52" i="9"/>
  <c r="D53" i="9"/>
  <c r="I4" i="52"/>
  <c r="C105" i="9"/>
  <c r="N59" i="9"/>
  <c r="P57" i="9"/>
  <c r="N58" i="9"/>
  <c r="D54" i="9"/>
  <c r="B53" i="72"/>
  <c r="D9" i="52"/>
  <c r="B20" i="72"/>
  <c r="D5" i="53"/>
  <c r="D6" i="53"/>
  <c r="B22" i="72"/>
  <c r="E80" i="9"/>
  <c r="E81" i="9"/>
  <c r="F5" i="52"/>
  <c r="H119" i="9"/>
  <c r="H5" i="52"/>
  <c r="M55" i="9"/>
  <c r="B51" i="72"/>
  <c r="D8" i="52"/>
  <c r="D123" i="9"/>
  <c r="D122" i="9"/>
  <c r="D4" i="52"/>
  <c r="B49" i="72"/>
  <c r="H102" i="9"/>
  <c r="D7" i="53"/>
  <c r="B21" i="72"/>
  <c r="D15" i="53"/>
  <c r="H108" i="9"/>
  <c r="C6" i="74"/>
  <c r="C80" i="9"/>
  <c r="C81" i="9"/>
  <c r="N57" i="9"/>
  <c r="C96" i="9"/>
  <c r="E96" i="9"/>
  <c r="E97" i="9"/>
  <c r="H107" i="9"/>
  <c r="D13" i="53"/>
  <c r="D14" i="53"/>
  <c r="B32" i="72"/>
  <c r="F119" i="9"/>
  <c r="F4" i="52"/>
  <c r="D59" i="9"/>
  <c r="C64" i="9"/>
  <c r="C63" i="9"/>
  <c r="C67" i="9"/>
  <c r="C68" i="9"/>
  <c r="F118" i="9"/>
  <c r="G118" i="9"/>
  <c r="G4" i="52"/>
  <c r="B52" i="72"/>
  <c r="D119" i="9"/>
  <c r="D5" i="52"/>
  <c r="C93" i="9"/>
  <c r="C86" i="9"/>
  <c r="C85" i="9"/>
  <c r="C95" i="9"/>
  <c r="C97" i="9"/>
  <c r="D58" i="9"/>
  <c r="E4" i="52"/>
  <c r="E118" i="9"/>
  <c r="D118" i="9"/>
  <c r="C78" i="9"/>
  <c r="C73" i="9"/>
  <c r="C72" i="9"/>
  <c r="C79" i="9"/>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<sst xmlns="http://schemas.openxmlformats.org/spreadsheetml/2006/main" count="7882" uniqueCount="3450">
  <si>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</si>
  <si>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</si>
  <si>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</si>
  <si>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</si>
  <si>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</si>
  <si>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</si>
  <si>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</si>
  <si>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</si>
  <si>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</si>
  <si>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</si>
  <si>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</si>
  <si>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</si>
  <si>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</si>
  <si>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</si>
  <si>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</si>
  <si>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</si>
  <si>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</si>
  <si>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</si>
  <si>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</si>
  <si>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</si>
  <si>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</si>
  <si>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</si>
  <si>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</si>
  <si>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</si>
  <si>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</si>
  <si>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</si>
  <si>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</si>
  <si>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</si>
  <si>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</si>
  <si>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</si>
  <si>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</si>
  <si>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</si>
  <si>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</si>
  <si>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</si>
  <si>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</si>
  <si>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</si>
  <si>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</si>
  <si>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</si>
  <si>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</si>
  <si>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</si>
  <si>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</si>
  <si>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</si>
  <si>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</si>
  <si>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</si>
  <si>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</si>
  <si>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</si>
  <si>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</si>
  <si>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</si>
  <si>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</si>
  <si>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</si>
  <si>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</si>
  <si>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</si>
  <si>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</si>
  <si>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</si>
  <si>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</si>
  <si>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</si>
  <si>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</si>
  <si>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</si>
  <si>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</si>
  <si>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</si>
  <si>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</si>
  <si>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</si>
  <si>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</si>
  <si>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</si>
  <si>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</si>
  <si>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</si>
  <si>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</si>
  <si>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</si>
  <si>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</si>
  <si>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</si>
  <si>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</si>
  <si>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</si>
  <si>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</si>
  <si>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</si>
  <si>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</si>
  <si>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</si>
  <si>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</si>
  <si>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</si>
  <si>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</si>
  <si>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</si>
  <si>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</si>
  <si>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</si>
  <si>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</si>
  <si>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</si>
  <si>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</si>
  <si>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</si>
  <si>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</si>
  <si>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</si>
  <si>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</si>
  <si>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</si>
  <si>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</si>
  <si>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</si>
  <si>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</si>
  <si>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</si>
  <si>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</si>
  <si>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</si>
  <si>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</si>
  <si>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</si>
  <si>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</si>
  <si>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</si>
  <si>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</si>
  <si>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</si>
  <si>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</si>
  <si>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</si>
  <si>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</si>
  <si>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</si>
  <si>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</si>
  <si>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</si>
  <si>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</si>
  <si>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</si>
  <si>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</si>
  <si>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</si>
  <si>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</si>
  <si>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</si>
  <si>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</si>
  <si>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</si>
  <si>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</si>
  <si>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</si>
  <si>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</si>
  <si>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</si>
  <si>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</si>
  <si>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</si>
  <si>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</si>
  <si>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</si>
  <si>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</si>
  <si>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</si>
  <si>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</si>
  <si>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</si>
  <si>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</si>
  <si>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</si>
  <si>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</si>
  <si>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</si>
  <si>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</si>
  <si>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</si>
  <si>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</si>
  <si>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</si>
  <si>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</si>
  <si>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</si>
  <si>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</si>
  <si>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</si>
  <si>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</si>
  <si>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</si>
  <si>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</si>
  <si>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</si>
  <si>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</si>
  <si>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</si>
  <si>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</si>
  <si>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</si>
  <si>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</si>
  <si>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</si>
  <si>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</si>
  <si>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</si>
  <si>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</si>
  <si>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</si>
  <si>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</si>
  <si>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</si>
  <si>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</si>
  <si>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</si>
  <si>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</si>
  <si>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</si>
  <si>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</si>
  <si>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</si>
  <si>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</si>
  <si>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</si>
  <si>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</si>
  <si>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</si>
  <si>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</si>
  <si>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</si>
  <si>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</si>
  <si>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</si>
  <si>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</si>
  <si>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</si>
  <si>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</si>
  <si>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</si>
  <si>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</si>
  <si>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</si>
  <si>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</si>
  <si>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</si>
  <si>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</si>
  <si>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</si>
  <si>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</si>
  <si>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</si>
  <si>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</si>
  <si>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</si>
  <si>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</si>
  <si>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</si>
  <si>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</si>
  <si>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</si>
  <si>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</si>
  <si>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</si>
  <si>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</si>
  <si>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</si>
  <si>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</si>
  <si>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</si>
  <si>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</si>
  <si>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</si>
  <si>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</si>
  <si>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</si>
  <si>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</si>
  <si>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</si>
  <si>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</si>
  <si>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</si>
  <si>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</si>
  <si>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</si>
  <si>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</si>
  <si>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</si>
  <si>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</si>
  <si>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</si>
  <si>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</si>
  <si>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</si>
  <si>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</si>
  <si>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</si>
  <si>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</si>
  <si>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</si>
  <si>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</si>
  <si>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</si>
  <si>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</si>
  <si>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</si>
  <si>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</si>
  <si>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</si>
  <si>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</si>
  <si>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</si>
  <si>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</si>
  <si>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</si>
  <si>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</si>
  <si>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</si>
  <si>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</si>
  <si>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</si>
  <si>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</si>
  <si>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</si>
  <si>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</si>
  <si>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</si>
  <si>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</si>
  <si>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</si>
  <si>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</si>
  <si>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</si>
  <si>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</si>
  <si>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</si>
  <si>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</si>
  <si>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</si>
  <si>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</si>
  <si>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</si>
  <si>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</si>
  <si>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</si>
  <si>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</si>
  <si>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</si>
  <si>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</si>
  <si>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</si>
  <si>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</si>
  <si>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</si>
  <si>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</si>
  <si>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</si>
  <si>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</si>
  <si>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</si>
  <si>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</si>
  <si>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</si>
  <si>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</si>
  <si>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</si>
  <si>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</si>
  <si>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</si>
  <si>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</si>
  <si>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</si>
  <si>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</si>
  <si>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</si>
  <si>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</si>
  <si>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</si>
  <si>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</si>
  <si>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</si>
  <si>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</si>
  <si>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</si>
  <si>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</si>
  <si>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</si>
  <si>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</si>
  <si>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</si>
  <si>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</si>
  <si>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</si>
  <si>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</si>
  <si>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</si>
  <si>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</si>
  <si>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</si>
  <si>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</si>
  <si>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</si>
  <si>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</si>
  <si>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</si>
  <si>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</si>
  <si>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</si>
  <si>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</si>
  <si>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</si>
  <si>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</si>
  <si>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</si>
  <si>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</si>
  <si>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</si>
  <si>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</si>
  <si>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</si>
  <si>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</si>
  <si>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</si>
  <si>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</si>
  <si>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</si>
  <si>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</si>
  <si>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</si>
  <si>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</si>
  <si>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</si>
  <si>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</si>
  <si>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</si>
  <si>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</si>
  <si>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</si>
  <si>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</si>
  <si>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</si>
  <si>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</si>
  <si>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</si>
  <si>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</si>
  <si>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</si>
  <si>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</si>
  <si>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</si>
  <si>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</si>
  <si>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</si>
  <si>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</si>
  <si>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</si>
  <si>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</si>
  <si>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</si>
  <si>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</si>
  <si>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</si>
  <si>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</si>
  <si>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</si>
  <si>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</si>
  <si>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</si>
  <si>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</si>
  <si>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</si>
  <si>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</si>
  <si>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</si>
  <si>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</si>
  <si>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</si>
  <si>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</si>
  <si>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</si>
  <si>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</si>
  <si>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</si>
  <si>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</si>
  <si>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</si>
  <si>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</si>
  <si>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</si>
  <si>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</si>
  <si>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</si>
  <si>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</si>
  <si>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</si>
  <si>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</si>
  <si>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</si>
  <si>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</si>
  <si>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</si>
  <si>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</si>
  <si>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</si>
  <si>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</si>
  <si>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</si>
  <si>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</si>
  <si>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</si>
  <si>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</si>
  <si>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</si>
  <si>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</si>
  <si>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</si>
  <si>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</si>
  <si>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</si>
  <si>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</si>
  <si>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</si>
  <si>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</si>
  <si>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</si>
  <si>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</si>
  <si>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</si>
  <si>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</si>
  <si>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</si>
  <si>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</si>
  <si>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</si>
  <si>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</si>
  <si>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</si>
  <si>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</si>
  <si>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</si>
  <si>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</si>
  <si>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</si>
  <si>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</si>
  <si>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</si>
  <si>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</si>
  <si>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</si>
  <si>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</si>
  <si>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</si>
  <si>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</si>
  <si>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</si>
  <si>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</si>
  <si>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</si>
  <si>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</si>
  <si>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</si>
  <si>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</si>
  <si>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</si>
  <si>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</si>
  <si>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</si>
  <si>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</si>
  <si>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</si>
  <si>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</si>
  <si>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</si>
  <si>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</si>
  <si>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</si>
  <si>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</si>
  <si>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</si>
  <si>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</si>
  <si>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</si>
  <si>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</si>
  <si>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</si>
  <si>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</si>
  <si>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</si>
  <si>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</si>
  <si>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</si>
  <si>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</si>
  <si>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</si>
  <si>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</si>
  <si>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</si>
  <si>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</si>
  <si>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</si>
  <si>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</si>
  <si>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</si>
  <si>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</si>
  <si>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</si>
  <si>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</si>
  <si>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</si>
  <si>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</si>
  <si>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</si>
  <si>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</si>
  <si>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</si>
  <si>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</si>
  <si>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</si>
  <si>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</si>
  <si>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</si>
  <si>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</si>
  <si>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</si>
  <si>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</si>
  <si>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</si>
  <si>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</si>
  <si>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</si>
  <si>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</si>
  <si>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</si>
  <si>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</si>
  <si>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</si>
  <si>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</si>
  <si>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</si>
  <si>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</si>
  <si>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</si>
  <si>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</si>
  <si>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</si>
  <si>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</si>
  <si>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</si>
  <si>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</si>
  <si>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</si>
  <si>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</si>
  <si>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</si>
  <si>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</si>
  <si>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</si>
  <si>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</si>
  <si>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</si>
  <si>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</si>
  <si>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</si>
  <si>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</si>
  <si>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</si>
  <si>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</si>
  <si>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</si>
  <si>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</si>
  <si>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</si>
  <si>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</si>
  <si>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</si>
  <si>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</si>
  <si>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</si>
  <si>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</si>
  <si>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</si>
  <si>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</si>
  <si>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</si>
  <si>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</si>
  <si>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</si>
  <si>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</si>
  <si>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</si>
  <si>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</si>
  <si>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</si>
  <si>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</si>
  <si>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</si>
  <si>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</si>
  <si>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</si>
  <si>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</si>
  <si>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</si>
  <si>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</si>
  <si>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</si>
  <si>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</si>
  <si>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</si>
  <si>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</si>
  <si>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</si>
  <si>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</si>
  <si>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</si>
  <si>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</si>
  <si>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</si>
  <si>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</si>
  <si>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</si>
  <si>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</si>
  <si>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</si>
  <si>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</si>
  <si>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</si>
  <si>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</si>
  <si>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</si>
  <si>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</si>
  <si>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</si>
  <si>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</si>
  <si>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</si>
  <si>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</si>
  <si>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</si>
  <si>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</si>
  <si>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</si>
  <si>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</si>
  <si>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</si>
  <si>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</si>
  <si>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</si>
  <si>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</si>
  <si>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</si>
  <si>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</si>
  <si>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</si>
  <si>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</si>
  <si>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</si>
  <si>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</si>
  <si>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</si>
  <si>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</si>
  <si>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</si>
  <si>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</si>
  <si>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</si>
  <si>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</si>
  <si>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</si>
  <si>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</si>
  <si>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</si>
  <si>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</si>
  <si>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</si>
  <si>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</si>
  <si>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</si>
  <si>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</si>
  <si>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</si>
  <si>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</si>
  <si>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</si>
  <si>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</si>
  <si>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</si>
  <si>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</si>
  <si>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</si>
  <si>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</si>
  <si>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</si>
  <si>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</si>
  <si>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</si>
  <si>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</si>
  <si>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</si>
  <si>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</si>
  <si>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</si>
  <si>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</si>
  <si>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</si>
  <si>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</si>
  <si>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</si>
  <si>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</si>
  <si>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</si>
  <si>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</si>
  <si>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</si>
  <si>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</si>
  <si>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</si>
  <si>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</si>
  <si>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</si>
  <si>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</si>
  <si>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</si>
  <si>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</si>
  <si>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</si>
  <si>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</si>
  <si>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</si>
  <si>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</si>
  <si>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</si>
  <si>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</si>
  <si>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</si>
  <si>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</si>
  <si>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</si>
  <si>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</si>
  <si>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</si>
  <si>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</si>
  <si>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</si>
  <si>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</si>
  <si>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</si>
  <si>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</si>
  <si>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</si>
  <si>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</si>
  <si>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</si>
  <si>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</si>
  <si>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</si>
  <si>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</si>
  <si>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</si>
  <si>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</si>
  <si>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</si>
  <si>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</si>
  <si>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</si>
  <si>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</si>
  <si>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</si>
  <si>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</si>
  <si>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</si>
  <si>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</si>
  <si>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</si>
  <si>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</si>
  <si>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</si>
  <si>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</si>
  <si>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</si>
  <si>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</si>
  <si>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</si>
  <si>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</si>
  <si>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</si>
  <si>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</si>
  <si>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</si>
  <si>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</si>
  <si>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</si>
  <si>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</si>
  <si>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</si>
  <si>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</si>
  <si>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</si>
  <si>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</si>
  <si>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</si>
  <si>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</si>
  <si>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</si>
  <si>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</si>
  <si>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</si>
  <si>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</si>
  <si>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</si>
  <si>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</si>
  <si>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</si>
  <si>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</si>
  <si>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</si>
  <si>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</si>
  <si>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</si>
  <si>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</si>
  <si>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</si>
  <si>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</si>
  <si>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</si>
  <si>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</si>
  <si>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</si>
  <si>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</si>
  <si>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</si>
  <si>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</si>
  <si>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</si>
  <si>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</si>
  <si>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</si>
  <si>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</si>
  <si>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</si>
  <si>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</si>
  <si>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</si>
  <si>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</si>
  <si>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</si>
  <si>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</si>
  <si>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</si>
  <si>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</si>
  <si>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</si>
  <si>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</si>
  <si>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</si>
  <si>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</si>
  <si>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</si>
  <si>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</si>
  <si>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</si>
  <si>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</si>
  <si>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</si>
  <si>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</si>
  <si>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</si>
  <si>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</si>
  <si>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</si>
  <si>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</si>
  <si>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</si>
  <si>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</si>
  <si>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</si>
  <si>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</si>
  <si>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</si>
  <si>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</si>
  <si>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</si>
  <si>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</si>
  <si>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</si>
  <si>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</si>
  <si>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</si>
  <si>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</si>
  <si>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</si>
  <si>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</si>
  <si>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</si>
  <si>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</si>
  <si>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</si>
  <si>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</si>
  <si>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</si>
  <si>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</si>
  <si>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</si>
  <si>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</si>
  <si>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</si>
  <si>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</si>
  <si>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</si>
  <si>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</si>
  <si>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</si>
  <si>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</si>
  <si>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</si>
  <si>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</si>
  <si>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</si>
  <si>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</si>
  <si>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</si>
  <si>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</si>
  <si>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</si>
  <si>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</si>
  <si>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</si>
  <si>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</si>
  <si>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</si>
  <si>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</si>
  <si>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</si>
  <si>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</si>
  <si>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</si>
  <si>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</si>
  <si>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</si>
  <si>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</si>
  <si>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</si>
  <si>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</si>
  <si>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</si>
  <si>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</si>
  <si>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</si>
  <si>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</si>
  <si>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</si>
  <si>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</si>
  <si>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</si>
  <si>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</si>
  <si>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</si>
  <si>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</si>
  <si>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</si>
  <si>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</si>
  <si>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</si>
  <si>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</si>
  <si>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</si>
  <si>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</si>
  <si>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</si>
  <si>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</si>
  <si>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</si>
  <si>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</si>
  <si>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</si>
  <si>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</si>
  <si>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</si>
  <si>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</si>
  <si>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</si>
  <si>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</si>
  <si>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</si>
  <si>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</si>
  <si>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</si>
  <si>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</si>
  <si>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</si>
  <si>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</si>
  <si>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</si>
  <si>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</si>
  <si>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</si>
  <si>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</si>
  <si>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</si>
  <si>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</si>
  <si>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</si>
  <si>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</si>
  <si>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</si>
  <si>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</si>
  <si>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</si>
  <si>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</si>
  <si>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</si>
  <si>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</si>
  <si>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</si>
  <si>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</si>
  <si>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</si>
  <si>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</si>
  <si>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</si>
  <si>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</si>
  <si>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</si>
  <si>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</si>
  <si>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</si>
  <si>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</si>
  <si>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</si>
  <si>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</si>
  <si>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</si>
  <si>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</si>
  <si>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</si>
  <si>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</si>
  <si>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</si>
  <si>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</si>
  <si>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</si>
  <si>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</si>
  <si>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</si>
  <si>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</si>
  <si>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</si>
  <si>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</si>
  <si>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</si>
  <si>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</si>
  <si>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</si>
  <si>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</si>
  <si>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</si>
  <si>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</si>
  <si>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</si>
  <si>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</si>
  <si>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</si>
  <si>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</si>
  <si>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</si>
  <si>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</si>
  <si>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</si>
  <si>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</si>
  <si>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</si>
  <si>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</si>
  <si>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</si>
  <si>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</si>
  <si>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</si>
  <si>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</si>
  <si>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</si>
  <si>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</si>
  <si>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</si>
  <si>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</si>
  <si>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</si>
  <si>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</si>
  <si>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</si>
  <si>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</si>
  <si>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</si>
  <si>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</si>
  <si>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</si>
  <si>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</si>
  <si>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</si>
  <si>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</si>
  <si>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</si>
  <si>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</si>
  <si>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</si>
  <si>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</si>
  <si>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</si>
  <si>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</si>
  <si>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</si>
  <si>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</si>
  <si>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</si>
  <si>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</si>
  <si>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</si>
  <si>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</si>
  <si>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</si>
  <si>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</si>
  <si>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</si>
  <si>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</si>
  <si>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</si>
  <si>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</si>
  <si>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</si>
  <si>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</si>
  <si>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</si>
  <si>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</si>
  <si>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</si>
  <si>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</si>
  <si>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</si>
  <si>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</si>
  <si>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</si>
  <si>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</si>
  <si>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</si>
  <si>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</si>
  <si>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</si>
  <si>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</si>
  <si>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</si>
  <si>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</si>
  <si>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</si>
  <si>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</si>
  <si>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</si>
  <si>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</si>
  <si>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</si>
  <si>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</si>
  <si>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</si>
  <si>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</si>
  <si>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</si>
  <si>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</si>
  <si>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</si>
  <si>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</si>
  <si>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</si>
  <si>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</si>
  <si>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</si>
  <si>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</si>
  <si>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</si>
  <si>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</si>
  <si>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</si>
  <si>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</si>
  <si>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</si>
  <si>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</si>
  <si>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</si>
  <si>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</si>
  <si>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</si>
  <si>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</si>
  <si>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</si>
  <si>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</si>
  <si>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</si>
  <si>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</si>
  <si>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</si>
  <si>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</si>
  <si>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</si>
  <si>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</si>
  <si>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</si>
  <si>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</si>
  <si>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</si>
  <si>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</si>
  <si>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</si>
  <si>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</si>
  <si>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</si>
  <si>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</si>
  <si>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</si>
  <si>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</si>
  <si>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</si>
  <si>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</si>
  <si>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</si>
  <si>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</si>
  <si>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</si>
  <si>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</si>
  <si>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</si>
  <si>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</si>
  <si>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</si>
  <si>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</si>
  <si>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</si>
  <si>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</si>
  <si>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</si>
  <si>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</si>
  <si>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</si>
  <si>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</si>
  <si>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</si>
  <si>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</si>
  <si>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</si>
  <si>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</si>
  <si>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</si>
  <si>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</si>
  <si>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</si>
  <si>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</si>
  <si>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</si>
  <si>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</si>
  <si>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</si>
  <si>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</si>
  <si>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</si>
  <si>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</si>
  <si>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</si>
  <si>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</si>
  <si>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</si>
  <si>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</si>
  <si>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</si>
  <si>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</si>
  <si>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</si>
  <si>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</si>
  <si>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</si>
  <si>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</si>
  <si>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</si>
  <si>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</si>
  <si>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</si>
  <si>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</si>
  <si>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</si>
  <si>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</si>
  <si>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</si>
  <si>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</si>
  <si>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</si>
  <si>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</si>
  <si>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</si>
  <si>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</si>
  <si>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</si>
  <si>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</si>
  <si>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</si>
  <si>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</si>
  <si>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</si>
  <si>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</si>
  <si>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</si>
  <si>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</si>
  <si>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</si>
  <si>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</si>
  <si>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</si>
  <si>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</si>
  <si>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</si>
  <si>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</si>
  <si>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</si>
  <si>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</si>
  <si>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</si>
  <si>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</si>
  <si>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</si>
  <si>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</si>
  <si>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</si>
  <si>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</si>
  <si>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</si>
  <si>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</si>
  <si>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</si>
  <si>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</si>
  <si>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</si>
  <si>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</si>
  <si>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</si>
  <si>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</si>
  <si>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</si>
  <si>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</si>
  <si>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</si>
  <si>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</si>
  <si>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</si>
  <si>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</si>
  <si>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</si>
  <si>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</si>
  <si>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</si>
  <si>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</si>
  <si>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</si>
  <si>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</si>
  <si>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</si>
  <si>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</si>
  <si>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</si>
  <si>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</si>
  <si>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</si>
  <si>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</si>
  <si>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</si>
  <si>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</si>
  <si>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</si>
  <si>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</si>
  <si>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</si>
  <si>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</si>
  <si>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</si>
  <si>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</si>
  <si>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</si>
  <si>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</si>
  <si>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</si>
  <si>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</si>
  <si>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</si>
  <si>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</si>
  <si>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</si>
  <si>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</si>
  <si>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</si>
  <si>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</si>
  <si>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</si>
  <si>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</si>
  <si>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</si>
  <si>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</si>
  <si>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</si>
  <si>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</si>
  <si>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</si>
  <si>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</si>
  <si>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</si>
  <si>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</si>
  <si>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</si>
  <si>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</si>
  <si>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</si>
  <si>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</si>
  <si>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</si>
  <si>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</si>
  <si>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</si>
  <si>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</si>
  <si>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</si>
  <si>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</si>
  <si>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</si>
  <si>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</si>
  <si>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</si>
  <si>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</si>
  <si>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</si>
  <si>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</si>
  <si>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</si>
  <si>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</si>
  <si>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</si>
  <si>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</si>
  <si>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</si>
  <si>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</si>
  <si>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</si>
  <si>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</si>
  <si>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</si>
  <si>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</si>
  <si>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</si>
  <si>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</si>
  <si>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</si>
  <si>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</si>
  <si>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</si>
  <si>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</si>
  <si>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</si>
  <si>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</si>
  <si>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</si>
  <si>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</si>
  <si>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</si>
  <si>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</si>
  <si>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</si>
  <si>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</si>
  <si>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</si>
  <si>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</si>
  <si>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</si>
  <si>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</si>
  <si>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</si>
  <si>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</si>
  <si>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</si>
  <si>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</si>
  <si>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</si>
  <si>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</si>
  <si>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</si>
  <si>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</si>
  <si>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</si>
  <si>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</si>
  <si>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</si>
  <si>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</si>
  <si>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</si>
  <si>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</si>
  <si>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</si>
  <si>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</si>
  <si>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</si>
  <si>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</si>
  <si>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</si>
  <si>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</si>
  <si>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</si>
  <si>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</si>
  <si>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</si>
  <si>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</si>
  <si>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</si>
  <si>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</si>
  <si>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</si>
  <si>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</si>
  <si>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</si>
  <si>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</si>
  <si>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</si>
  <si>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</si>
  <si>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</si>
  <si>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</si>
  <si>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</si>
  <si>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</si>
  <si>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</si>
  <si>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</si>
  <si>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</si>
  <si>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</si>
  <si>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</si>
  <si>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</si>
  <si>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</si>
  <si>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</si>
  <si>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</si>
  <si>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</si>
  <si>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</si>
  <si>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</si>
  <si>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</si>
  <si>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</si>
  <si>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</si>
  <si>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</si>
  <si>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</si>
  <si>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</si>
  <si>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</si>
  <si>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</si>
  <si>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</si>
  <si>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</si>
  <si>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</si>
  <si>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</si>
  <si>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</si>
  <si>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</si>
  <si>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</si>
  <si>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</si>
  <si>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</si>
  <si>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</si>
  <si>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</si>
  <si>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</si>
  <si>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</si>
  <si>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</si>
  <si>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</si>
  <si>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</si>
  <si>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</si>
  <si>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</si>
  <si>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</si>
  <si>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</si>
  <si>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</si>
  <si>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</si>
  <si>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</si>
  <si>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</si>
  <si>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</si>
  <si>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</si>
  <si>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</si>
  <si>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</si>
  <si>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</si>
  <si>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</si>
  <si>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</si>
  <si>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</si>
  <si>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</si>
  <si>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</si>
  <si>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</si>
  <si>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</si>
  <si>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</si>
  <si>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</si>
  <si>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</si>
  <si>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</si>
  <si>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</si>
  <si>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</si>
  <si>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</si>
  <si>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</si>
  <si>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</si>
  <si>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</si>
  <si>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</si>
  <si>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</si>
  <si>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</si>
  <si>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</si>
  <si>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</si>
  <si>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</si>
  <si>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</si>
  <si>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</si>
  <si>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</si>
  <si>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</si>
  <si>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</si>
  <si>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</si>
  <si>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</si>
  <si>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</si>
  <si>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</si>
  <si>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</si>
  <si>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</si>
  <si>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</si>
  <si>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</si>
  <si>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</si>
  <si>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</si>
  <si>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</si>
  <si>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</si>
  <si>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</si>
  <si>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</si>
  <si>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</si>
  <si>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</si>
  <si>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</si>
  <si>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</si>
  <si>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</si>
  <si>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</si>
  <si>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</si>
  <si>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</si>
  <si>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</si>
  <si>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</si>
  <si>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</si>
  <si>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</si>
  <si>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</si>
  <si>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</si>
  <si>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</si>
  <si>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</si>
  <si>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</si>
  <si>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</si>
  <si>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</si>
  <si>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</si>
  <si>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</si>
  <si>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</si>
  <si>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</si>
  <si>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</si>
  <si>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</si>
  <si>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</si>
  <si>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</si>
  <si>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</si>
  <si>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</si>
  <si>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</si>
  <si>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</si>
  <si>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</si>
  <si>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</si>
  <si>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</si>
  <si>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</si>
  <si>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</si>
  <si>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</si>
  <si>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</si>
  <si>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</si>
  <si>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</si>
  <si>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</si>
  <si>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</si>
  <si>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</si>
  <si>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</si>
  <si>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</si>
  <si>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</si>
  <si>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</si>
  <si>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</si>
  <si>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</si>
  <si>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</si>
  <si>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</si>
  <si>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</si>
  <si>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</si>
  <si>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</si>
  <si>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</si>
  <si>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</si>
  <si>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</si>
  <si>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</si>
  <si>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</si>
  <si>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</si>
  <si>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</si>
  <si>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</si>
  <si>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</si>
  <si>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</si>
  <si>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</si>
  <si>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</si>
  <si>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</si>
  <si>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</si>
  <si>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</si>
  <si>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</si>
  <si>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</si>
  <si>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</si>
  <si>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</si>
  <si>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</si>
  <si>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</si>
  <si>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</si>
  <si>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</si>
  <si>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</si>
  <si>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</si>
  <si>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</si>
  <si>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</si>
  <si>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</si>
  <si>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</si>
  <si>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</si>
  <si>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</si>
  <si>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</si>
  <si>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</si>
  <si>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</si>
  <si>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</si>
  <si>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</si>
  <si>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</si>
  <si>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</si>
  <si>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</si>
  <si>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</si>
  <si>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</si>
  <si>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</si>
  <si>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</si>
  <si>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</si>
  <si>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</si>
  <si>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</si>
  <si>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</si>
  <si>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</si>
  <si>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</si>
  <si>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</si>
  <si>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</si>
  <si>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</si>
  <si>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</si>
  <si>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</si>
  <si>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</si>
  <si>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</si>
  <si>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</si>
  <si>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</si>
  <si>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</si>
  <si>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</si>
  <si>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</si>
  <si>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</si>
  <si>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</si>
  <si>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</si>
  <si>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</si>
  <si>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</si>
  <si>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</si>
  <si>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</si>
  <si>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</si>
  <si>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</si>
  <si>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</si>
  <si>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</si>
  <si>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</si>
  <si>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</si>
  <si>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</si>
  <si>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</si>
  <si>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</si>
  <si>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</si>
  <si>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</si>
  <si>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</si>
  <si>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</si>
  <si>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</si>
  <si>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</si>
  <si>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</si>
  <si>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</si>
  <si>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</si>
  <si>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</si>
  <si>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</si>
  <si>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</si>
  <si>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</si>
  <si>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</si>
  <si>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</si>
  <si>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</si>
  <si>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</si>
  <si>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</si>
  <si>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</si>
  <si>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</si>
  <si>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</si>
  <si>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</si>
  <si>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</si>
  <si>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</si>
  <si>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</si>
  <si>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</si>
  <si>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</si>
  <si>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</si>
  <si>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</si>
  <si>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</si>
  <si>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</si>
  <si>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</si>
  <si>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</si>
  <si>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</si>
  <si>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</si>
  <si>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</si>
  <si>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</si>
  <si>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</si>
  <si>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</si>
  <si>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</si>
  <si>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</si>
  <si>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</si>
  <si>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</si>
  <si>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</si>
  <si>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</si>
  <si>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</si>
  <si>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</si>
  <si>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</si>
  <si>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</si>
  <si>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</si>
  <si>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</si>
  <si>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</si>
  <si>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</si>
  <si>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</si>
  <si>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</si>
  <si>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</si>
  <si>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</si>
  <si>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</si>
  <si>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</si>
  <si>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</si>
  <si>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</si>
  <si>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</si>
  <si>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</si>
  <si>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</si>
  <si>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</si>
  <si>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</si>
  <si>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</si>
  <si>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</si>
  <si>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</si>
  <si>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</si>
  <si>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</si>
  <si>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</si>
  <si>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</si>
  <si>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</si>
  <si>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</si>
  <si>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</si>
  <si>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</si>
  <si>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</si>
  <si>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</si>
  <si>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</si>
  <si>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</si>
  <si>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</si>
  <si>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</si>
  <si>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</si>
  <si>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</si>
  <si>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</si>
  <si>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</si>
  <si>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</si>
  <si>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</si>
  <si>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</si>
  <si>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</si>
  <si>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</si>
  <si>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</si>
  <si>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</si>
  <si>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</si>
  <si>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</si>
  <si>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</si>
  <si>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</si>
  <si>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</si>
  <si>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</si>
  <si>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</si>
  <si>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</si>
  <si>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</si>
  <si>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</si>
  <si>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</si>
  <si>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</si>
  <si>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</si>
  <si>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</si>
  <si>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</si>
  <si>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</si>
  <si>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</si>
  <si>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</si>
  <si>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</si>
  <si>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</si>
  <si>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</si>
  <si>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</si>
  <si>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</si>
  <si>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</si>
  <si>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</si>
  <si>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</si>
  <si>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</si>
  <si>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</si>
  <si>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</si>
  <si>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</si>
  <si>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</si>
  <si>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</si>
  <si>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</si>
  <si>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</si>
  <si>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</si>
  <si>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</si>
  <si>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</si>
  <si>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</si>
  <si>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</si>
  <si>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</si>
  <si>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</si>
  <si>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</si>
  <si>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</si>
  <si>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</si>
  <si>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</si>
  <si>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</si>
  <si>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</si>
  <si>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</si>
  <si>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</si>
  <si>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</si>
  <si>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</si>
  <si>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</si>
  <si>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</si>
  <si>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</si>
  <si>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</si>
  <si>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</si>
  <si>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</si>
  <si>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</si>
  <si>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</si>
  <si>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</si>
  <si>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</si>
  <si>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</si>
  <si>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</si>
  <si>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</si>
  <si>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</si>
  <si>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</si>
  <si>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</si>
  <si>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</si>
  <si>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</si>
  <si>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</si>
  <si>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</si>
  <si>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</si>
  <si>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</si>
  <si>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</si>
  <si>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</si>
  <si>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</si>
  <si>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</si>
  <si>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</si>
  <si>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</si>
  <si>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</si>
  <si>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</si>
  <si>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</si>
  <si>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</si>
  <si>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</si>
  <si>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</si>
  <si>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</si>
  <si>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</si>
  <si>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</si>
  <si>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</si>
  <si>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</si>
  <si>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</si>
  <si>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</si>
  <si>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</si>
  <si>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</si>
  <si>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</si>
  <si>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</si>
  <si>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</si>
  <si>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</si>
  <si>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</si>
  <si>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</si>
  <si>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</si>
  <si>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</si>
  <si>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</si>
  <si>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</si>
  <si>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</si>
  <si>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</si>
  <si>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</si>
  <si>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</si>
  <si>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</si>
  <si>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</si>
  <si>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</si>
  <si>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</si>
  <si>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</si>
  <si>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</si>
  <si>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</si>
  <si>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</si>
  <si>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</si>
  <si>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</si>
  <si>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</si>
  <si>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</si>
  <si>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</si>
  <si>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</si>
  <si>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</si>
  <si>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</si>
  <si>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</si>
  <si>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</si>
  <si>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</si>
  <si>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</si>
  <si>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</si>
  <si>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</si>
  <si>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</si>
  <si>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</si>
  <si>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</si>
  <si>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</si>
  <si>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</si>
  <si>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</si>
  <si>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</si>
  <si>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</si>
  <si>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</si>
  <si>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</si>
  <si>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</si>
  <si>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</si>
  <si>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</si>
  <si>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</si>
  <si>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</si>
  <si>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</si>
  <si>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</si>
  <si>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</si>
  <si>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</si>
  <si>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</si>
  <si>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</si>
  <si>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</si>
  <si>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</si>
  <si>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</si>
  <si>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</si>
  <si>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</si>
  <si>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</si>
  <si>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</si>
  <si>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</si>
  <si>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</si>
  <si>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</si>
  <si>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</si>
  <si>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</si>
  <si>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</si>
  <si>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</si>
  <si>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</si>
  <si>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</si>
  <si>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</si>
  <si>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</si>
  <si>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</si>
  <si>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</si>
  <si>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</si>
  <si>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</si>
  <si>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</si>
  <si>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</si>
  <si>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</si>
  <si>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</si>
  <si>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</si>
  <si>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</si>
  <si>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</si>
  <si>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</si>
  <si>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</si>
  <si>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</si>
  <si>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</si>
  <si>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</si>
  <si>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</si>
  <si>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</si>
  <si>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</si>
  <si>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</si>
  <si>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</si>
  <si>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</si>
  <si>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</si>
  <si>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</si>
  <si>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</si>
  <si>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</si>
  <si>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</si>
  <si>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</si>
  <si>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</si>
  <si>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</si>
  <si>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</si>
  <si>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</si>
  <si>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</si>
  <si>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</si>
  <si>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</si>
  <si>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</si>
  <si>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</si>
  <si>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</si>
  <si>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</si>
  <si>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</si>
  <si>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</si>
  <si>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</si>
  <si>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</si>
  <si>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</si>
  <si>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</si>
  <si>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</si>
  <si>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</si>
  <si>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</si>
  <si>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</si>
  <si>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</si>
  <si>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</si>
  <si>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</si>
  <si>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</si>
  <si>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</si>
  <si>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</si>
  <si>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</si>
  <si>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</si>
  <si>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</si>
  <si>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</si>
  <si>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</si>
  <si>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</si>
  <si>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</si>
  <si>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</si>
  <si>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</si>
  <si>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</si>
  <si>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</si>
  <si>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</si>
  <si>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</si>
  <si>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</si>
  <si>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</si>
  <si>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</si>
  <si>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</si>
  <si>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</si>
  <si>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</si>
  <si>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</si>
  <si>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</si>
  <si>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</si>
  <si>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</si>
  <si>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</si>
  <si>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</si>
  <si>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</si>
  <si>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</si>
  <si>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</si>
  <si>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</si>
  <si>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</si>
  <si>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</si>
  <si>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</si>
  <si>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</si>
  <si>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</si>
  <si>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</si>
  <si>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</si>
  <si>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</si>
  <si>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</si>
  <si>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</si>
  <si>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</si>
  <si>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</si>
  <si>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</si>
  <si>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</si>
  <si>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</si>
  <si>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</si>
  <si>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</si>
  <si>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</si>
  <si>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</si>
  <si>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</si>
  <si>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</si>
  <si>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</si>
  <si>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</si>
  <si>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</si>
  <si>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</si>
  <si>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</si>
  <si>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</si>
  <si>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</si>
  <si>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</si>
  <si>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</si>
  <si>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</si>
  <si>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</si>
  <si>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</si>
  <si>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</si>
  <si>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</si>
  <si>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</si>
  <si>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</si>
  <si>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</si>
  <si>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</si>
  <si>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</si>
  <si>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</si>
  <si>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</si>
  <si>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</si>
  <si>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</si>
  <si>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</si>
  <si>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</si>
  <si>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</si>
  <si>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</si>
  <si>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</si>
  <si>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</si>
  <si>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</si>
  <si>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</si>
  <si>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</si>
  <si>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</si>
  <si>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</si>
  <si>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</si>
  <si>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</si>
  <si>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</si>
  <si>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</si>
  <si>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</si>
  <si>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</si>
  <si>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</si>
  <si>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</si>
  <si>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</si>
  <si>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</si>
  <si>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</si>
  <si>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</si>
  <si>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</si>
  <si>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</si>
  <si>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</si>
  <si>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</si>
  <si>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</si>
  <si>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</si>
  <si>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</si>
  <si>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</si>
  <si>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</si>
  <si>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</si>
  <si>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</si>
  <si>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</si>
  <si>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</si>
  <si>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</si>
  <si>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</si>
  <si>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</si>
  <si>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</si>
  <si>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</si>
  <si>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</si>
  <si>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</si>
  <si>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</si>
  <si>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</si>
  <si>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</si>
  <si>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</si>
  <si>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</si>
  <si>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</si>
  <si>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</si>
  <si>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</si>
  <si>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</si>
  <si>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</si>
  <si>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</si>
  <si>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</si>
  <si>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</si>
  <si>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</si>
  <si>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</si>
  <si>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</si>
  <si>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</si>
  <si>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</si>
  <si>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</si>
  <si>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</si>
  <si>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</si>
  <si>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</si>
  <si>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</si>
  <si>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</si>
  <si>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</si>
  <si>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</si>
  <si>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</si>
  <si>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</si>
  <si>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</si>
  <si>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</si>
  <si>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</si>
  <si>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</si>
  <si>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</si>
  <si>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</si>
  <si>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</si>
  <si>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</si>
  <si>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</si>
  <si>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</si>
  <si>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</si>
  <si>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</si>
  <si>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</si>
  <si>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</si>
  <si>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</si>
  <si>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</si>
  <si>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</si>
  <si>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</si>
  <si>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</si>
  <si>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</si>
  <si>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</si>
  <si>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</si>
  <si>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</si>
  <si>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</si>
  <si>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</si>
  <si>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</si>
  <si>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</si>
  <si>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</si>
  <si>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</si>
  <si>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</si>
  <si>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</si>
  <si>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</si>
  <si>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</si>
  <si>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</si>
  <si>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</si>
  <si>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</si>
  <si>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</si>
  <si>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</si>
  <si>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</si>
  <si>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</si>
  <si>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</si>
  <si>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</si>
  <si>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</si>
  <si>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</si>
  <si>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</si>
  <si>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</si>
  <si>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</si>
  <si>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</si>
  <si>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</si>
  <si>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</si>
  <si>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</si>
  <si>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</si>
  <si>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</si>
  <si>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</si>
  <si>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</si>
  <si>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</si>
  <si>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</si>
  <si>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</si>
  <si>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</si>
  <si>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</si>
  <si>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</si>
  <si>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</si>
  <si>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</si>
  <si>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</si>
  <si>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</si>
  <si>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</si>
  <si>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</si>
  <si>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</si>
  <si>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</si>
  <si>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</si>
  <si>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</si>
  <si>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</si>
  <si>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</si>
  <si>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</si>
  <si>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</si>
  <si>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</si>
  <si>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</si>
  <si>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</si>
  <si>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</si>
  <si>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</si>
  <si>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</si>
  <si>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</si>
  <si>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</si>
  <si>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</si>
  <si>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</si>
  <si>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</si>
  <si>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</si>
  <si>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</si>
  <si>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</si>
  <si>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</si>
  <si>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</si>
  <si>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</si>
  <si>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</si>
  <si>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</si>
  <si>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</si>
  <si>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</si>
  <si>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</si>
  <si>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</si>
  <si>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</si>
  <si>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</si>
  <si>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</si>
  <si>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</si>
  <si>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</si>
  <si>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</si>
  <si>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</si>
  <si>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</si>
  <si>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</si>
  <si>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</si>
  <si>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</si>
  <si>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</si>
  <si>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</si>
  <si>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</si>
  <si>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</si>
  <si>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</si>
  <si>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</si>
  <si>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</si>
  <si>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</si>
  <si>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</si>
  <si>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</si>
  <si>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</si>
  <si>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</si>
  <si>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</si>
  <si>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</si>
  <si>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</si>
  <si>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</si>
  <si>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</si>
  <si>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</si>
  <si>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</si>
  <si>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</si>
  <si>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</si>
  <si>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</si>
  <si>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</si>
  <si>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</si>
  <si>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</si>
  <si>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</si>
  <si>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</si>
  <si>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</si>
  <si>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</si>
  <si>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</si>
  <si>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</si>
  <si>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</si>
  <si>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</si>
  <si>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</si>
  <si>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</si>
  <si>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</si>
  <si>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</si>
  <si>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</si>
  <si>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</si>
  <si>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</si>
  <si>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</si>
  <si>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</si>
  <si>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</si>
  <si>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</si>
  <si>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</si>
  <si>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</si>
  <si>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</si>
  <si>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</si>
  <si>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</si>
  <si>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</si>
  <si>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</si>
  <si>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</si>
  <si>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</si>
  <si>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</si>
  <si>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</si>
  <si>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</si>
  <si>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</si>
  <si>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</si>
  <si>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</si>
  <si>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</si>
  <si>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</si>
  <si>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</si>
  <si>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</si>
  <si>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</si>
  <si>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</si>
  <si>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</si>
  <si>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</si>
  <si>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</si>
  <si>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</si>
  <si>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</si>
  <si>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</si>
  <si>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</si>
  <si>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</si>
  <si>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</si>
  <si>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</si>
  <si>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</si>
  <si>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</si>
  <si>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</si>
  <si>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</si>
  <si>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</si>
  <si>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</si>
  <si>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</si>
  <si>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</si>
  <si>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</si>
  <si>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</si>
  <si>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</si>
  <si>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</si>
  <si>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</si>
  <si>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</si>
  <si>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</si>
  <si>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</si>
  <si>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</si>
  <si>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</si>
  <si>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</si>
  <si>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</si>
  <si>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</si>
  <si>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</si>
  <si>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</si>
  <si>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</si>
  <si>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</si>
  <si>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</si>
  <si>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</si>
  <si>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</si>
  <si>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</si>
  <si>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</si>
  <si>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</si>
  <si>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</si>
  <si>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</si>
  <si>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</si>
  <si>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</si>
  <si>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</si>
  <si>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</si>
  <si>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</si>
  <si>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</si>
  <si>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</si>
  <si>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</si>
  <si>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</si>
  <si>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</si>
  <si>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</si>
  <si>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</si>
  <si>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</si>
  <si>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</si>
  <si>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</si>
  <si>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</si>
  <si>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</si>
  <si>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</si>
  <si>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</si>
  <si>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</si>
  <si>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</si>
  <si>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</si>
  <si>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</si>
  <si>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</si>
  <si>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</si>
  <si>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</si>
  <si>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</si>
  <si>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</si>
  <si>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</si>
  <si>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</si>
  <si>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</si>
  <si>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</si>
  <si>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</si>
  <si>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</si>
  <si>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</si>
  <si>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</si>
  <si>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</si>
  <si>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</si>
  <si>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</si>
  <si>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</si>
  <si>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</si>
  <si>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</si>
  <si>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</si>
  <si>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</si>
  <si>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</si>
  <si>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</si>
  <si>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</si>
  <si>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</si>
  <si>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</si>
  <si>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</si>
  <si>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</si>
  <si>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</si>
  <si>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</si>
  <si>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</si>
  <si>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</si>
  <si>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</si>
  <si>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</si>
  <si>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</si>
  <si>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</si>
  <si>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</si>
  <si>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</si>
  <si>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</si>
  <si>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</si>
  <si>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</si>
  <si>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</si>
  <si>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</si>
  <si>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</si>
  <si>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</si>
  <si>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</si>
  <si>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</si>
  <si>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</si>
  <si>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</si>
  <si>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</si>
  <si>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</si>
  <si>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</si>
  <si>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</si>
  <si>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</si>
  <si>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</si>
  <si>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</si>
  <si>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</si>
  <si>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</si>
  <si>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</si>
  <si>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</si>
  <si>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</si>
  <si>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</si>
  <si>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</si>
  <si>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</si>
  <si>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</si>
  <si>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</si>
  <si>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</si>
  <si>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</si>
  <si>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</si>
  <si>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</si>
  <si>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</si>
  <si>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</si>
  <si>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</si>
  <si>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</si>
  <si>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</si>
  <si>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</si>
  <si>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</si>
  <si>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</si>
  <si>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</si>
  <si>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</si>
  <si>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</si>
  <si>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</si>
  <si>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</si>
  <si>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</si>
  <si>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</si>
  <si>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</si>
  <si>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</si>
  <si>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</si>
  <si>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</si>
  <si>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</si>
  <si>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</si>
  <si>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</si>
  <si>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</si>
  <si>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</si>
  <si>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</si>
  <si>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</si>
  <si>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</si>
  <si>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</si>
  <si>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</si>
  <si>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</si>
  <si>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</si>
  <si>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</si>
  <si>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</si>
  <si>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</si>
  <si>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</si>
  <si>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</si>
  <si>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</si>
  <si>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</si>
  <si>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</si>
  <si>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</si>
  <si>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</si>
  <si>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</si>
  <si>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</si>
  <si>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</si>
  <si>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</si>
  <si>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</si>
  <si>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</si>
  <si>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</si>
  <si>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</si>
  <si>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</si>
  <si>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</si>
  <si>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</si>
  <si>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</si>
  <si>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</si>
  <si>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</si>
  <si>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</si>
  <si>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</si>
  <si>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</si>
  <si>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</si>
  <si>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</si>
  <si>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</si>
  <si>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</si>
  <si>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</si>
  <si>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</si>
  <si>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</si>
  <si>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</si>
  <si>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</si>
  <si>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</si>
  <si>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</si>
  <si>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</si>
  <si>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</si>
  <si>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</si>
  <si>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</si>
  <si>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</si>
  <si>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</si>
  <si>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</si>
  <si>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</si>
  <si>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</si>
  <si>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</si>
  <si>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</si>
  <si>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</si>
  <si>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</si>
  <si>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</si>
  <si>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</si>
  <si>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</si>
  <si>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</si>
  <si>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</si>
  <si>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</si>
  <si>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</si>
  <si>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</si>
  <si>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</si>
  <si>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</si>
  <si>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</si>
  <si>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</si>
  <si>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</si>
  <si>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</si>
  <si>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</si>
  <si>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</si>
  <si>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</si>
  <si>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</si>
  <si>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</si>
  <si>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</si>
  <si>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</si>
  <si>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</si>
  <si>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</si>
  <si>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</si>
  <si>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</si>
  <si>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</si>
  <si>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</si>
  <si>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</si>
  <si>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</si>
  <si>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</si>
  <si>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</si>
  <si>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</si>
  <si>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</si>
  <si>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</si>
  <si>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</si>
  <si>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</si>
  <si>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</si>
  <si>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</si>
  <si>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</si>
  <si>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</si>
  <si>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</si>
  <si>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</si>
  <si>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</si>
  <si>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</si>
  <si>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</si>
  <si>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</si>
  <si>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</si>
  <si>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</si>
  <si>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</si>
  <si>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</si>
  <si>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</si>
  <si>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</si>
  <si>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</si>
  <si>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</si>
  <si>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</si>
  <si>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</si>
  <si>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</si>
  <si>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</si>
  <si>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</si>
  <si>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</si>
  <si>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</si>
  <si>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</si>
  <si>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</si>
  <si>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</si>
  <si>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</si>
  <si>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</si>
  <si>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</si>
  <si>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</si>
  <si>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</si>
  <si>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</si>
  <si>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</si>
  <si>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</si>
  <si>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</si>
  <si>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</si>
  <si>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</si>
  <si>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</si>
  <si>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</si>
  <si>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</si>
  <si>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</si>
  <si>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</si>
  <si>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</si>
  <si>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</si>
  <si>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</si>
  <si>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</si>
  <si>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</si>
  <si>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</si>
  <si>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</si>
  <si>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</si>
  <si>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</si>
  <si>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</si>
  <si>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</si>
  <si>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</si>
  <si>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</si>
  <si>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</si>
  <si>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</si>
  <si>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</si>
  <si>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</si>
  <si>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</si>
  <si>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</si>
  <si>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</si>
  <si>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</si>
  <si>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</si>
  <si>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</si>
  <si>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</si>
  <si>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</si>
  <si>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</si>
  <si>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</si>
  <si>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</si>
  <si>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</si>
  <si>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</si>
  <si>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</si>
  <si>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</si>
  <si>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</si>
  <si>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</si>
  <si>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</si>
  <si>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</si>
  <si>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</si>
  <si>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</si>
  <si>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</si>
  <si>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</si>
  <si>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</si>
  <si>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</si>
  <si>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</si>
  <si>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</si>
  <si>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</si>
  <si>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</si>
  <si>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</si>
  <si>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</si>
  <si>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</si>
  <si>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</si>
  <si>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</si>
  <si>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</si>
  <si>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</si>
  <si>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</si>
  <si>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</si>
  <si>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</si>
  <si>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</si>
  <si>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</si>
  <si>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</si>
  <si>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</si>
  <si>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</si>
  <si>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</si>
  <si>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</si>
  <si>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</si>
  <si>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</si>
  <si>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</si>
  <si>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</si>
  <si>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</si>
  <si>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</si>
  <si>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</si>
  <si>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</si>
  <si>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</si>
  <si>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</si>
  <si>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</si>
  <si>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</si>
  <si>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</si>
  <si>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</si>
  <si>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</si>
  <si>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</si>
  <si>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</si>
  <si>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</si>
  <si>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</si>
  <si>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</si>
  <si>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</si>
  <si>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</si>
  <si>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</si>
  <si>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</si>
  <si>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</si>
  <si>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</si>
  <si>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</si>
  <si>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</si>
  <si>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</si>
  <si>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</si>
  <si>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</si>
  <si>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</si>
  <si>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</si>
  <si>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</si>
  <si>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</si>
  <si>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</si>
  <si>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</si>
  <si>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</si>
  <si>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</si>
  <si>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</si>
  <si>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</si>
  <si>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</si>
  <si>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</si>
  <si>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</si>
  <si>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</si>
  <si>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</si>
  <si>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</si>
  <si>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</si>
  <si>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</si>
  <si>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</si>
  <si>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</si>
  <si>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</si>
  <si>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</si>
  <si>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</si>
  <si>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</si>
  <si>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</si>
  <si>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</si>
  <si>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</si>
  <si>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</si>
  <si>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</si>
  <si>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</si>
  <si>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</si>
  <si>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</si>
  <si>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</si>
  <si>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</si>
  <si>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</si>
  <si>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</si>
  <si>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</si>
  <si>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</si>
  <si>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</si>
  <si>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</si>
  <si>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</si>
  <si>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</si>
  <si>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</si>
  <si>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</si>
  <si>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</si>
  <si>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</si>
  <si>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</si>
  <si>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</si>
  <si>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</si>
  <si>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</si>
  <si>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</si>
  <si>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</si>
  <si>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</si>
  <si>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</si>
  <si>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</si>
  <si>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</si>
  <si>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</si>
  <si>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</si>
  <si>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</si>
  <si>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</si>
  <si>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</si>
  <si>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</si>
  <si>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</si>
  <si>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</si>
  <si>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</si>
  <si>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</si>
  <si>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</si>
  <si>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</si>
  <si>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</si>
  <si>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</si>
  <si>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</si>
  <si>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</si>
  <si>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</si>
  <si>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</si>
  <si>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</si>
  <si>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</si>
  <si>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</si>
  <si>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</si>
  <si>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</si>
  <si>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</si>
  <si>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</si>
  <si>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</si>
  <si>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</si>
  <si>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</si>
  <si>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</si>
  <si>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</si>
  <si>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</si>
  <si>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</si>
  <si>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</si>
  <si>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</si>
  <si>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</si>
  <si>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</si>
  <si>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</si>
  <si>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</si>
  <si>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</si>
  <si>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</si>
  <si>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</si>
  <si>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</si>
  <si>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</si>
  <si>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</si>
  <si>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</si>
  <si>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</si>
  <si>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</si>
  <si>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</si>
  <si>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</si>
  <si>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</si>
  <si>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</si>
  <si>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</si>
  <si>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</si>
  <si>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</si>
  <si>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</si>
  <si>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</si>
  <si>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</si>
  <si>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</si>
  <si>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</si>
  <si>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</si>
  <si>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</si>
  <si>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</si>
  <si>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</si>
  <si>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</si>
  <si>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</si>
  <si>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</si>
  <si>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</si>
  <si>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</si>
  <si>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</si>
  <si>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</si>
  <si>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</si>
  <si>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</si>
  <si>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</si>
  <si>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</si>
  <si>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</si>
  <si>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</si>
  <si>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</si>
  <si>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</si>
  <si>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</si>
  <si>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</si>
  <si>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</si>
  <si>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</si>
  <si>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</si>
  <si>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</si>
  <si>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</si>
  <si>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</si>
  <si>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</si>
  <si>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</si>
  <si>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</si>
  <si>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</si>
  <si>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</si>
  <si>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</si>
  <si>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</si>
  <si>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</si>
  <si>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</si>
  <si>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</si>
  <si>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</si>
  <si>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</si>
  <si>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</si>
  <si>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</si>
  <si>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</si>
  <si>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</si>
  <si>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</si>
  <si>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</si>
  <si>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</si>
  <si>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</si>
  <si>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</si>
  <si>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</si>
  <si>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</si>
  <si>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</si>
  <si>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</si>
  <si>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</si>
  <si>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</si>
  <si>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</si>
  <si>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</si>
  <si>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</si>
  <si>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</si>
  <si>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</si>
  <si>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</si>
  <si>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</si>
  <si>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</si>
  <si>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</si>
  <si>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</si>
  <si>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</si>
  <si>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</si>
  <si>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</si>
  <si>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</si>
  <si>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</si>
  <si>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</si>
  <si>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</si>
  <si>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</si>
  <si>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</si>
  <si>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</si>
  <si>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</si>
  <si>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</si>
  <si>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</si>
  <si>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</si>
  <si>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</si>
  <si>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</si>
  <si>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</si>
  <si>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</si>
  <si>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</si>
  <si>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</si>
  <si>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</si>
  <si>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</si>
  <si>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</si>
  <si>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</si>
  <si>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</si>
  <si>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</si>
  <si>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</si>
  <si>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</si>
  <si>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</si>
  <si>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</si>
  <si>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</si>
  <si>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</si>
  <si>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</si>
  <si>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</si>
  <si>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</si>
  <si>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</si>
  <si>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</si>
  <si>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</si>
  <si>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</si>
  <si>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</si>
  <si>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</si>
  <si>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</si>
  <si>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</si>
  <si>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</si>
  <si>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</si>
  <si>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</si>
  <si>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</si>
  <si>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</si>
  <si>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</si>
  <si>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</si>
  <si>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</si>
  <si>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</si>
  <si>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</si>
  <si>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</si>
  <si>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</si>
  <si>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</si>
  <si>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</si>
  <si>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</si>
  <si>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</si>
  <si>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</si>
  <si>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</si>
  <si>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</si>
  <si>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</si>
  <si>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</si>
  <si>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</si>
  <si>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</si>
  <si>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</si>
  <si>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</si>
  <si>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</si>
  <si>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</si>
  <si>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</si>
  <si>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</si>
  <si>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</si>
  <si>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</si>
  <si>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</si>
  <si>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</si>
  <si>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</si>
  <si>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</si>
  <si>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</si>
  <si>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</si>
  <si>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</si>
  <si>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</si>
  <si>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</si>
  <si>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</si>
  <si>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</si>
  <si>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</si>
  <si>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</si>
  <si>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</si>
  <si>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</si>
  <si>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</si>
  <si>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</si>
  <si>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</si>
  <si>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</si>
  <si>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</si>
  <si>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</si>
  <si>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</si>
  <si>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</si>
  <si>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</si>
  <si>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</si>
  <si>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</si>
  <si>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</si>
  <si>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</si>
  <si>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</si>
  <si>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</si>
  <si>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</si>
  <si>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</si>
  <si>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</si>
  <si>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</si>
  <si>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</si>
  <si>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</si>
  <si>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</si>
  <si>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</si>
  <si>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</si>
  <si>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</si>
  <si>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</si>
  <si>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</si>
  <si>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</si>
  <si>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</si>
  <si>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</si>
  <si>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</si>
  <si>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</si>
  <si>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</si>
  <si>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</si>
  <si>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</si>
  <si>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</si>
  <si>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</si>
  <si>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</si>
  <si>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</si>
  <si>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</si>
  <si>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</si>
  <si>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</si>
  <si>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</si>
  <si>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</si>
  <si>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</si>
  <si>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</si>
  <si>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</si>
  <si>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</si>
  <si>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</si>
  <si>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</si>
  <si>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</si>
  <si>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</si>
  <si>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</si>
  <si>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</si>
  <si>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</si>
  <si>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</si>
  <si>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</si>
  <si>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</si>
  <si>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</si>
  <si>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</si>
  <si>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</si>
  <si>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</si>
  <si>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</si>
  <si>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</si>
  <si>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</si>
  <si>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</si>
  <si>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</si>
  <si>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</si>
  <si>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</si>
  <si>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</si>
  <si>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</si>
  <si>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</si>
  <si>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</si>
  <si>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</si>
  <si>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</si>
  <si>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</si>
  <si>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</si>
  <si>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</si>
  <si>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</si>
  <si>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</si>
  <si>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</si>
  <si>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</si>
  <si>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</si>
  <si>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</si>
  <si>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</si>
  <si>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</si>
  <si>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</si>
  <si>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</si>
  <si>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</si>
  <si>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</si>
  <si>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</si>
  <si>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</si>
  <si>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</si>
  <si>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</si>
  <si>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</si>
  <si>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</si>
  <si>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</si>
  <si>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</si>
  <si>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</si>
  <si>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</si>
  <si>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</si>
  <si>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</si>
  <si>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</si>
  <si>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</si>
  <si>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</si>
  <si>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</si>
  <si>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</si>
  <si>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</si>
  <si>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</si>
  <si>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</si>
  <si>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</si>
  <si>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</si>
  <si>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</si>
  <si>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</si>
  <si>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</si>
  <si>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</si>
  <si>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</si>
  <si>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</si>
  <si>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</si>
  <si>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</si>
  <si>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</si>
  <si>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</si>
  <si>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</si>
  <si>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</si>
  <si>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</si>
  <si>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</si>
  <si>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</si>
  <si>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</si>
  <si>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</si>
  <si>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</si>
  <si>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</si>
  <si>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</si>
  <si>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</si>
  <si>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</si>
  <si>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</si>
  <si>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</si>
  <si>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</si>
  <si>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</si>
  <si>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</si>
  <si>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</si>
  <si>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</si>
  <si>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</si>
  <si>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</si>
  <si>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</si>
  <si>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</si>
  <si>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</si>
  <si>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</si>
  <si>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</si>
  <si>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</si>
  <si>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</si>
  <si>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</si>
  <si>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</si>
  <si>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</si>
  <si>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</si>
  <si>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</si>
  <si>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</si>
  <si>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</si>
  <si>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</si>
  <si>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</si>
  <si>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</si>
  <si>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</si>
  <si>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</si>
  <si>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</si>
  <si>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</si>
  <si>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</si>
  <si>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</si>
  <si>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</si>
  <si>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</si>
  <si>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</si>
  <si>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</si>
  <si>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</si>
  <si>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</si>
  <si>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</si>
  <si>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</si>
  <si>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</si>
  <si>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</si>
  <si>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</si>
  <si>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</si>
  <si>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</si>
  <si>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</si>
  <si>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</si>
  <si>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</si>
  <si>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</si>
  <si>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</si>
  <si>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</si>
  <si>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</si>
  <si>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</si>
  <si>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</si>
  <si>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</si>
  <si>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</si>
  <si>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</si>
  <si>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</si>
  <si>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</si>
  <si>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</si>
  <si>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</si>
  <si>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</si>
  <si>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</si>
  <si>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</si>
  <si>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</si>
  <si>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</si>
  <si>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</si>
  <si>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</si>
  <si>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</si>
  <si>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</si>
  <si>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</si>
  <si>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</si>
  <si>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</si>
  <si>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</si>
  <si>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</si>
  <si>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</si>
  <si>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</si>
  <si>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</si>
  <si>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</si>
  <si>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</si>
  <si>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</si>
  <si>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</si>
  <si>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</si>
  <si>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</si>
  <si>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</si>
  <si>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</si>
  <si>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</si>
  <si>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</si>
  <si>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</si>
  <si>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</si>
  <si>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</si>
  <si>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</si>
  <si>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</si>
  <si>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</si>
  <si>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</si>
  <si>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</si>
  <si>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</si>
  <si>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</si>
  <si>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</si>
  <si>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</si>
  <si>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</si>
  <si>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</si>
  <si>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</si>
  <si>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</si>
  <si>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</si>
  <si>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</si>
  <si>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</si>
  <si>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</si>
  <si>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</si>
  <si>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</si>
  <si>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</si>
  <si>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</si>
  <si>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</si>
  <si>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</si>
  <si>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</si>
  <si>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</si>
  <si>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</si>
  <si>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</si>
  <si>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</si>
  <si>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</si>
  <si>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</si>
  <si>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</si>
  <si>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</si>
  <si>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</si>
  <si>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</si>
  <si>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</si>
  <si>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</si>
  <si>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</si>
  <si>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</si>
  <si>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</si>
  <si>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</si>
  <si>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</si>
  <si>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</si>
  <si>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</si>
  <si>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</si>
  <si>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</si>
  <si>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</si>
  <si>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</si>
  <si>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</si>
  <si>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</si>
  <si>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</si>
  <si>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</si>
  <si>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</si>
  <si>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</si>
  <si>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</si>
  <si>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</si>
  <si>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</si>
  <si>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</si>
  <si>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</si>
  <si>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</si>
  <si>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</si>
  <si>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</si>
  <si>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</si>
  <si>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</si>
  <si>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</si>
  <si>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</si>
  <si>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</si>
  <si>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</si>
  <si>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</si>
  <si>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</si>
  <si>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</si>
  <si>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</si>
  <si>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</si>
  <si>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</si>
  <si>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</si>
  <si>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</si>
  <si>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</si>
  <si>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</si>
  <si>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</si>
  <si>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</si>
  <si>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</si>
  <si>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</si>
  <si>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</si>
  <si>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</si>
  <si>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</si>
  <si>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</si>
  <si>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</si>
  <si>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</si>
  <si>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</si>
  <si>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</si>
  <si>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</si>
  <si>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</si>
  <si>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</si>
  <si>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</si>
  <si>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</si>
  <si>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</si>
  <si>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</si>
  <si>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</si>
  <si>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</si>
  <si>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</si>
  <si>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</si>
  <si>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</si>
  <si>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</si>
  <si>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</si>
  <si>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</si>
  <si>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</si>
  <si>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</si>
  <si>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</si>
  <si>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</si>
  <si>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</si>
  <si>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</si>
  <si>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</si>
  <si>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</si>
  <si>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</si>
  <si>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</si>
  <si>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</si>
  <si>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</si>
  <si>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</si>
  <si>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</si>
  <si>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</si>
  <si>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</si>
  <si>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</si>
  <si>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</si>
  <si>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</si>
  <si>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</si>
  <si>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</si>
  <si>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</si>
  <si>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</si>
  <si>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</si>
  <si>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</si>
  <si>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</si>
  <si>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</si>
  <si>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</si>
  <si>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</si>
  <si>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</si>
  <si>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</si>
  <si>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</si>
  <si>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</si>
  <si>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</si>
  <si>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</si>
  <si>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</si>
  <si>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</si>
  <si>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</si>
  <si>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</si>
  <si>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</si>
  <si>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</si>
  <si>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</si>
  <si>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</si>
  <si>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</si>
  <si>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</si>
  <si>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</si>
  <si>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</si>
  <si>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</si>
  <si>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</si>
  <si>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</si>
  <si>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</si>
  <si>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</si>
  <si>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</si>
  <si>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</si>
  <si>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</si>
  <si>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</si>
  <si>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</si>
  <si>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</si>
  <si>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</si>
  <si>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</si>
  <si>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</si>
  <si>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</si>
  <si>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</si>
  <si>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</si>
  <si>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</si>
  <si>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</si>
  <si>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</si>
  <si>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</si>
  <si>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</si>
  <si>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</si>
  <si>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</si>
  <si>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</si>
  <si>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</si>
  <si>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</si>
  <si>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</si>
  <si>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</si>
  <si>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</si>
  <si>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</si>
  <si>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</si>
  <si>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</si>
  <si>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</si>
  <si>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</si>
  <si>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</si>
  <si>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</si>
  <si>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</si>
  <si>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</si>
  <si>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</si>
  <si>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</si>
  <si>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</si>
  <si>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</si>
  <si>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</si>
  <si>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</si>
  <si>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</si>
  <si>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</si>
  <si>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</si>
  <si>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</si>
  <si>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</si>
  <si>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</si>
  <si>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</si>
  <si>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</si>
  <si>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</si>
  <si>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</si>
  <si>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</si>
  <si>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</si>
  <si>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</si>
  <si>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</si>
  <si>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</si>
  <si>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</si>
  <si>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</si>
  <si>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</si>
  <si>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</si>
  <si>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</si>
  <si>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</si>
  <si>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</si>
  <si>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</si>
  <si>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</si>
  <si>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</si>
  <si>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</si>
  <si>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</si>
  <si>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</si>
  <si>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</si>
  <si>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</si>
  <si>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</si>
  <si>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</si>
  <si>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</si>
  <si>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</si>
  <si>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</si>
  <si>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</si>
  <si>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</si>
  <si>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</si>
  <si>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</si>
  <si>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</si>
  <si>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</si>
  <si>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</si>
  <si>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</si>
  <si>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</si>
  <si>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</si>
  <si>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</si>
  <si>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</si>
  <si>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</si>
  <si>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</si>
  <si>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</si>
  <si>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</si>
  <si>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</si>
  <si>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</si>
  <si>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</si>
  <si>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</si>
  <si>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</si>
  <si>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</si>
  <si>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</si>
  <si>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</si>
  <si>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</si>
  <si>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</si>
  <si>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</si>
  <si>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</si>
  <si>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</si>
  <si>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</si>
  <si>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</si>
  <si>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</si>
  <si>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</si>
  <si>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</si>
  <si>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</si>
  <si>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</si>
  <si>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</si>
  <si>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</si>
  <si>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</si>
  <si>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</si>
  <si>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</si>
  <si>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</si>
  <si>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</si>
  <si>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</si>
  <si>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</si>
  <si>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</si>
  <si>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</si>
  <si>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</si>
  <si>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</si>
  <si>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</si>
  <si>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</si>
  <si>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</si>
  <si>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</si>
  <si>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</si>
  <si>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</si>
  <si>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</si>
  <si>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</si>
  <si>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</si>
  <si>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</si>
  <si>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</si>
  <si>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</si>
  <si>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</si>
  <si>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</si>
  <si>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</si>
  <si>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</si>
  <si>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</si>
  <si>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</si>
  <si>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</si>
  <si>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</si>
  <si>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</si>
  <si>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</si>
  <si>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</si>
  <si>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</si>
  <si>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</si>
  <si>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</si>
  <si>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</si>
  <si>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</si>
  <si>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</si>
  <si>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</si>
  <si>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</si>
  <si>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</si>
  <si>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</si>
  <si>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</si>
  <si>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</si>
  <si>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</si>
  <si>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</si>
  <si>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</si>
  <si>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</si>
  <si>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</si>
  <si>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</si>
  <si>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</si>
  <si>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</si>
  <si>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</si>
  <si>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</si>
  <si>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</si>
  <si>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</si>
  <si>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</si>
  <si>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</si>
  <si>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</si>
  <si>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</si>
  <si>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</si>
  <si>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</si>
  <si>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</si>
  <si>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</si>
  <si>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</si>
  <si>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</si>
  <si>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</si>
  <si>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</si>
  <si>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</si>
  <si>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</si>
  <si>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</si>
  <si>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</si>
  <si>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</si>
  <si>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</si>
  <si>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</si>
  <si>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</si>
  <si>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</si>
  <si>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</si>
  <si>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</si>
  <si>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</si>
  <si>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</si>
  <si>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</si>
  <si>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</si>
  <si>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</si>
  <si>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</si>
  <si>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</si>
  <si>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</si>
  <si>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</si>
  <si>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</si>
  <si>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</si>
  <si>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</si>
  <si>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</si>
  <si>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</si>
  <si>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</si>
  <si>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</si>
  <si>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</si>
  <si>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</si>
  <si>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</si>
  <si>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</si>
  <si>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</si>
  <si>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</si>
  <si>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</si>
  <si>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</si>
  <si>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</si>
  <si>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</si>
  <si>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</si>
  <si>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</si>
  <si>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</si>
  <si>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</si>
  <si>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</si>
  <si>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</si>
  <si>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</si>
  <si>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</si>
  <si>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</si>
  <si>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</si>
  <si>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</si>
  <si>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</si>
  <si>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</si>
  <si>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</si>
  <si>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</si>
  <si>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</si>
  <si>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</si>
  <si>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</si>
  <si>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</si>
  <si>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</si>
  <si>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</si>
  <si>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</si>
  <si>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</si>
  <si>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</si>
  <si>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</si>
  <si>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</si>
  <si>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</si>
  <si>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</si>
  <si>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</si>
  <si>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</si>
  <si>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</si>
  <si>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</si>
  <si>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</si>
  <si>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</si>
  <si>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</si>
  <si>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</si>
  <si>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</si>
  <si>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</si>
  <si>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</si>
  <si>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</si>
  <si>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</si>
  <si>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</si>
  <si>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</si>
  <si>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</si>
  <si>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</si>
  <si>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</si>
  <si>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</si>
  <si>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</si>
  <si>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</si>
  <si>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</si>
  <si>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</si>
  <si>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</si>
  <si>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</si>
  <si>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</si>
  <si>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</si>
  <si>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</si>
  <si>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</si>
  <si>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</si>
  <si>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</si>
  <si>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</si>
  <si>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</si>
  <si>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</si>
  <si>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</si>
  <si>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</si>
  <si>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</si>
  <si>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</si>
  <si>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</si>
  <si>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</si>
  <si>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</si>
  <si>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</si>
  <si>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</si>
  <si>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</si>
  <si>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</si>
  <si>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</si>
  <si>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</si>
  <si>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</si>
  <si>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</si>
  <si>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</si>
  <si>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</si>
  <si>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</si>
  <si>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</si>
  <si>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</si>
  <si>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</si>
  <si>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</si>
  <si>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</si>
  <si>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</si>
  <si>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</si>
  <si>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</si>
  <si>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</si>
  <si>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</si>
  <si>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</si>
  <si>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</si>
  <si>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</si>
  <si>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</si>
  <si>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</si>
  <si>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</si>
  <si>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</si>
  <si>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</si>
  <si>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</si>
  <si>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</si>
  <si>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</si>
  <si>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</si>
  <si>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</si>
  <si>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</si>
  <si>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</si>
  <si>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</si>
  <si>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</si>
  <si>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</si>
  <si>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</si>
  <si>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</si>
  <si>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</si>
  <si>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</si>
  <si>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</si>
  <si>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</si>
  <si>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</si>
  <si>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</si>
  <si>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</si>
  <si>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</si>
  <si>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</si>
  <si>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</si>
  <si>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</si>
  <si>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</si>
  <si>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</si>
  <si>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</si>
  <si>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</si>
  <si>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</si>
  <si>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</si>
  <si>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</si>
  <si>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</si>
  <si>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</si>
  <si>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</si>
  <si>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</si>
  <si>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</si>
  <si>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</si>
  <si>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</si>
  <si>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</si>
  <si>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</si>
  <si>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</si>
  <si>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</si>
  <si>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</si>
  <si>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</si>
  <si>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</si>
  <si>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</si>
  <si>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</si>
  <si>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</si>
  <si>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</si>
  <si>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</si>
  <si>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</si>
  <si>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</si>
  <si>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</si>
  <si>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</si>
  <si>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</si>
  <si>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</si>
  <si>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</si>
  <si>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</si>
  <si>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</si>
  <si>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</si>
  <si>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</si>
  <si>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</si>
  <si>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</si>
  <si>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地上</t>
  </si>
  <si>
    <t>是</t>
  </si>
  <si>
    <r>
      <t>25</t>
    </r>
    <r>
      <rPr>
        <sz val="10"/>
        <color indexed="8"/>
        <rFont val="宋体"/>
        <family val="3"/>
        <charset val="134"/>
      </rPr>
      <t>号配套公建</t>
    </r>
    <phoneticPr fontId="3" type="noConversion"/>
  </si>
  <si>
    <t>25号配套公建</t>
    <phoneticPr fontId="7" type="noConversion"/>
  </si>
  <si>
    <t>春晖园</t>
    <phoneticPr fontId="3" type="noConversion"/>
  </si>
  <si>
    <t>环保科技示范园</t>
    <phoneticPr fontId="3" type="noConversion"/>
  </si>
  <si>
    <t>正常</t>
  </si>
  <si>
    <t>一般</t>
  </si>
  <si>
    <t>较差</t>
  </si>
  <si>
    <t>七通</t>
  </si>
  <si>
    <t>较好</t>
    <phoneticPr fontId="3" type="noConversion"/>
  </si>
  <si>
    <t>一般</t>
    <phoneticPr fontId="3" type="noConversion"/>
  </si>
  <si>
    <t>较差</t>
    <phoneticPr fontId="3" type="noConversion"/>
  </si>
  <si>
    <t>一般</t>
    <phoneticPr fontId="30" type="noConversion"/>
  </si>
  <si>
    <t>较差</t>
    <phoneticPr fontId="30" type="noConversion"/>
  </si>
  <si>
    <t>较大</t>
    <phoneticPr fontId="3" type="noConversion"/>
  </si>
  <si>
    <t>较小</t>
    <phoneticPr fontId="3" type="noConversion"/>
  </si>
  <si>
    <t>大</t>
    <phoneticPr fontId="30" type="noConversion"/>
  </si>
  <si>
    <t>小</t>
  </si>
  <si>
    <t>小</t>
    <phoneticPr fontId="30" type="noConversion"/>
  </si>
  <si>
    <t>较小</t>
  </si>
  <si>
    <r>
      <t>1</t>
    </r>
    <r>
      <rPr>
        <sz val="11"/>
        <color indexed="8"/>
        <rFont val="宋体"/>
        <family val="3"/>
        <charset val="134"/>
      </rPr>
      <t>层</t>
    </r>
    <phoneticPr fontId="3" type="noConversion"/>
  </si>
  <si>
    <r>
      <t>2</t>
    </r>
    <r>
      <rPr>
        <sz val="11"/>
        <color indexed="8"/>
        <rFont val="宋体"/>
        <family val="3"/>
        <charset val="134"/>
      </rPr>
      <t>层</t>
    </r>
    <phoneticPr fontId="3" type="noConversion"/>
  </si>
  <si>
    <r>
      <t>1-2</t>
    </r>
    <r>
      <rPr>
        <sz val="11"/>
        <color indexed="8"/>
        <rFont val="宋体"/>
        <family val="3"/>
        <charset val="134"/>
      </rPr>
      <t>层</t>
    </r>
    <phoneticPr fontId="30" type="noConversion"/>
  </si>
  <si>
    <t>1-2层</t>
  </si>
  <si>
    <t>1层</t>
  </si>
  <si>
    <t>社区配套商业</t>
    <phoneticPr fontId="3" type="noConversion"/>
  </si>
  <si>
    <t>住宅底商</t>
    <phoneticPr fontId="3" type="noConversion"/>
  </si>
  <si>
    <t>写字楼底商</t>
    <phoneticPr fontId="3" type="noConversion"/>
  </si>
  <si>
    <t>钢混</t>
    <phoneticPr fontId="3" type="noConversion"/>
  </si>
  <si>
    <t>精装修</t>
    <phoneticPr fontId="3" type="noConversion"/>
  </si>
  <si>
    <t>普通装修</t>
    <phoneticPr fontId="3" type="noConversion"/>
  </si>
  <si>
    <t>简单装修</t>
    <phoneticPr fontId="3" type="noConversion"/>
  </si>
  <si>
    <t>社区配套商业</t>
  </si>
  <si>
    <t>住宅底商</t>
  </si>
  <si>
    <t>钢混</t>
  </si>
  <si>
    <t>精装修</t>
  </si>
  <si>
    <t>简单装修</t>
  </si>
  <si>
    <t>成新度</t>
  </si>
  <si>
    <t>抵押</t>
  </si>
  <si>
    <t>房地产抵押价值</t>
  </si>
  <si>
    <t>北京市</t>
  </si>
  <si>
    <t>企业</t>
  </si>
  <si>
    <t>收益法</t>
  </si>
  <si>
    <t>25号配套公建</t>
  </si>
  <si>
    <t>非生产用房</t>
  </si>
  <si>
    <t>否</t>
  </si>
  <si>
    <t>售价</t>
  </si>
  <si>
    <t>项目模式</t>
  </si>
  <si>
    <t>比较法-商业</t>
  </si>
  <si>
    <t>自定义容积率</t>
  </si>
  <si>
    <t>不临65条商业街</t>
  </si>
  <si>
    <t>与级别开发程度不一致</t>
  </si>
  <si>
    <t>通路</t>
  </si>
  <si>
    <t>通电</t>
  </si>
  <si>
    <t>通讯</t>
  </si>
  <si>
    <t>通上水</t>
  </si>
  <si>
    <t>通下水</t>
  </si>
  <si>
    <t>燃气</t>
  </si>
  <si>
    <t>平整</t>
  </si>
  <si>
    <t>楼层修正</t>
  </si>
  <si>
    <t>未包含在土地购买价格中</t>
  </si>
  <si>
    <t>全部缴纳</t>
  </si>
  <si>
    <t>已包含在土地取得成本中</t>
  </si>
  <si>
    <t>内部道路</t>
  </si>
  <si>
    <t>外部道路</t>
  </si>
  <si>
    <t>外部道路</t>
    <phoneticPr fontId="30" type="noConversion"/>
  </si>
  <si>
    <t>内部道路</t>
    <phoneticPr fontId="30"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</si>
  <si>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</si>
  <si>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</si>
  <si>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面积</t>
    <phoneticPr fontId="3"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</si>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</sst>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532562</xdr:colOff>
      <xdr:row>8</xdr:row>
      <xdr:rowOff>95067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04762" cy="1466667"/>
        </a:xfrm>
        <a:prstGeom prst="rect">
          <a:avLst/>
        </a:prstGeom>
      </xdr:spPr>
    </xdr:pic>
    <xdr:clientData/>
  </xdr:twoCellAnchor>
  <xdr:twoCellAnchor editAs="oneCell">
    <xdr:from>
      <xdr:col>0</xdr:col>
      <xdr:colOff>0</xdr:colOff>
      <xdr:row>10</xdr:row>
      <xdr:rowOff>0</xdr:rowOff>
    </xdr:from>
    <xdr:to>
      <xdr:col>17</xdr:col>
      <xdr:colOff>65210</xdr:colOff>
      <xdr:row>51</xdr:row>
      <xdr:rowOff>8646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11723810" cy="70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估价对象为北京市房地产，为所有。根据《国有土地使用证》[]，估价对象（分摊）出让国有建设用地使用权面积为0平方米，建筑面积为752.09平方米。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估价对象为北京市房地产,属开发建设的，该项目尚在开发建设中。根据《国有土地使用证》[]，估价对象（分摊）出让国有建设用地使用权面积为0平方米，规划建筑面积为752.09平方米。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2023年7月5日（评估专业人员实地查勘之日）</v>
      </c>
    </row>
    <row r="13" spans="1:2" s="1203" customFormat="1">
      <c r="A13" s="1201" t="s">
        <v>529</v>
      </c>
      <c r="B13" s="1202" t="str">
        <f>'预评函-1'!A18</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752.09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45112</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3.46</v>
      </c>
      <c r="D5" s="3025">
        <f>IF(ISERROR(ROUND(POWER(1+E5,A5-C5)*(POWER(1+E5,C5)-1)/(POWER(1+E5,A5)-1),3)),0,ROUND(POWER(1+E5,A5-C5)*(POWER(1+E5,C5)-1)/(POWER(1+E5,A5)-1),4))</f>
        <v>0.1603</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13.46</v>
      </c>
      <c r="D6" s="3025">
        <f>IF(ISERROR(ROUND(POWER(1+E6,A6-C6)*(POWER(1+E6,C6)-1)/(POWER(1+E6,A6)-1),3)),0,ROUND(POWER(1+E6,A6-C6)*(POWER(1+E6,C6)-1)/(POWER(1+E6,A6)-1),4))</f>
        <v>0.4773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33.479999999999997</v>
      </c>
      <c r="D7" s="3025">
        <f>IF(ISERROR(ROUND(POWER(1+E7,A7-C7)*(POWER(1+E7,C7)-1)/(POWER(1+E7,A7)-1),3)),0,ROUND(POWER(1+E7,A7-C7)*(POWER(1+E7,C7)-1)/(POWER(1+E7,A7)-1),4))</f>
        <v>0.78120000000000001</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5" zoomScaleNormal="100" zoomScaleSheetLayoutView="115" workbookViewId="0">
      <selection activeCell="D41" sqref="D4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f>D3</f>
        <v>45112</v>
      </c>
      <c r="C3" s="2374" t="s">
        <v>2171</v>
      </c>
      <c r="D3" s="2373">
        <v>45112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3417</v>
      </c>
      <c r="C8" s="2390"/>
      <c r="D8" s="3503" t="s">
        <v>2177</v>
      </c>
      <c r="E8" s="2391"/>
      <c r="F8" s="2392"/>
      <c r="G8" s="2663"/>
      <c r="H8" s="2663"/>
      <c r="I8" s="2663"/>
      <c r="J8" s="2439"/>
      <c r="K8" s="2614"/>
      <c r="L8" s="2613"/>
      <c r="M8" s="2613"/>
      <c r="N8" s="2439"/>
      <c r="O8" s="2450"/>
      <c r="P8" s="2439"/>
      <c r="Q8" s="2439"/>
      <c r="R8" s="2439"/>
    </row>
    <row r="9" spans="1:30" ht="13.5" thickBot="1">
      <c r="A9" s="2393" t="s">
        <v>2178</v>
      </c>
      <c r="B9" s="2394" t="s">
        <v>3418</v>
      </c>
      <c r="C9" s="2395"/>
      <c r="D9" s="3504"/>
      <c r="E9" s="2394"/>
      <c r="F9" s="2396"/>
      <c r="G9" s="2665"/>
      <c r="H9" s="2665"/>
      <c r="I9" s="2665"/>
      <c r="J9" s="2439"/>
      <c r="K9" s="2616"/>
      <c r="L9" s="2613"/>
      <c r="M9" s="2613"/>
      <c r="N9" s="2439"/>
      <c r="O9" s="2450"/>
      <c r="P9" s="2439"/>
      <c r="Q9" s="2439"/>
      <c r="R9" s="2439"/>
    </row>
    <row r="10" spans="1:30" ht="13.5" thickTop="1">
      <c r="A10" s="2397" t="s">
        <v>2179</v>
      </c>
      <c r="B10" s="2398" t="s">
        <v>3419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3420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52048</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752.09</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29</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132</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9" sqref="L2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752.09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752.09</v>
      </c>
      <c r="H5" s="13">
        <f t="shared" ref="H5:AT5" si="0">SUM(H13:H656)</f>
        <v>752.09</v>
      </c>
      <c r="I5" s="13">
        <f t="shared" si="0"/>
        <v>752.09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752.09</v>
      </c>
      <c r="BA5" s="15">
        <f t="shared" si="1"/>
        <v>752.09</v>
      </c>
      <c r="BB5" s="15">
        <f t="shared" si="1"/>
        <v>752.09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25.5">
      <c r="A13" s="1051"/>
      <c r="B13" s="1051"/>
      <c r="C13" s="1051" t="s">
        <v>3380</v>
      </c>
      <c r="D13" s="1625" t="s">
        <v>3379</v>
      </c>
      <c r="E13" s="13">
        <f>IF($C$3="是",ROUND($A$3*G13/$B$3,2),ROUND($A$3*(G13-AT13)/$B$3,2))</f>
        <v>0</v>
      </c>
      <c r="F13" s="29"/>
      <c r="G13" s="30">
        <f>H13+AC13+AT13</f>
        <v>752.09</v>
      </c>
      <c r="H13" s="17">
        <f>SUMIF(I$12:AB$12,"总值",I13:AB13)</f>
        <v>752.09</v>
      </c>
      <c r="I13" s="1626">
        <v>752.09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25号配套公建</v>
      </c>
      <c r="AY13" s="1349">
        <f>ROUND($AY$6*AZ13/$AZ$5,2)</f>
        <v>0</v>
      </c>
      <c r="AZ13" s="13">
        <f>BA13+BL13</f>
        <v>752.09</v>
      </c>
      <c r="BA13" s="13">
        <f>SUM(BB13:BK13)</f>
        <v>752.09</v>
      </c>
      <c r="BB13" s="13">
        <f>IF($D13="是",I13-J13,0)</f>
        <v>752.09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1" sqref="F1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752.09</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752.09</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1.5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752.09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752.09</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3381</v>
      </c>
      <c r="D19" s="45">
        <f>ROUND($D$3*E19/$E$3,2)</f>
        <v>0</v>
      </c>
      <c r="E19" s="53">
        <f t="shared" ref="E19:E26" si="1">SUM(F19:G19)</f>
        <v>752.09</v>
      </c>
      <c r="F19" s="2795">
        <f>'数据-基础表'!I13</f>
        <v>752.09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752.09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752.09</v>
      </c>
      <c r="F27" s="1140">
        <f>IF(SUM(F19:F26)=E8,SUM(F19:F26),"地上面积有误")</f>
        <v>752.09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752.09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752.09</v>
      </c>
      <c r="F31" s="677">
        <f>F27+F30</f>
        <v>752.09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R6" activePane="bottomRight" state="frozen"/>
      <selection activeCell="C50" sqref="C50"/>
      <selection pane="topRight" activeCell="C50" sqref="C50"/>
      <selection pane="bottomLeft" activeCell="C50" sqref="C50"/>
      <selection pane="bottomRight" activeCell="Y25" sqref="Y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45112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25号配套公建</v>
      </c>
      <c r="B6" s="1713" t="str">
        <f>IF(A6=0,"","经营性")</f>
        <v>经营性</v>
      </c>
      <c r="C6" s="1714" t="s">
        <v>673</v>
      </c>
      <c r="D6" s="858">
        <f>SUMIF(项目基本情况!C$12:I$12,C6,项目基本情况!C$14:I$14)</f>
        <v>40</v>
      </c>
      <c r="E6" s="857">
        <f>IF(B6="","",SUMIF(项目基本情况!C$12:I$12,C6,项目基本情况!C$13:I$13))</f>
        <v>52048</v>
      </c>
      <c r="F6" s="64">
        <f>SUMIF(项目基本情况!C$12:I$12,C6,项目基本情况!C$15:I$15)</f>
        <v>19</v>
      </c>
      <c r="G6" s="65">
        <f>IF(ISERROR(ROUND(POWER(1+H6,D6-F6)*(POWER(1+H6,F6)-1)/(POWER(1+H6,D6)-1),3)),0,ROUND(POWER(1+H6,D6-F6)*(POWER(1+H6,F6)-1)/(POWER(1+H6,D6)-1),3))</f>
        <v>0.70399999999999996</v>
      </c>
      <c r="H6" s="732">
        <v>0.05</v>
      </c>
      <c r="I6" s="732">
        <v>5.5E-2</v>
      </c>
      <c r="J6" s="66">
        <v>7.4999999999999997E-2</v>
      </c>
      <c r="K6" s="1030">
        <f>SUMIF('数据-汇总表'!C$19:C$33,A6,'数据-汇总表'!E$19:E$33)</f>
        <v>752.09</v>
      </c>
      <c r="L6" s="733">
        <v>4000</v>
      </c>
      <c r="M6" s="67">
        <f t="shared" ref="M6:M14" si="0">ROUND(K6*L6/10000,0)</f>
        <v>301</v>
      </c>
      <c r="N6" s="731">
        <f>(ROUND(1-(2023-2004)/60,2)+90%)/2</f>
        <v>0.79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8.6</v>
      </c>
      <c r="V6" s="70">
        <v>2.5000000000000001E-2</v>
      </c>
      <c r="W6" s="70">
        <v>0.1</v>
      </c>
      <c r="X6" s="1040"/>
      <c r="Y6" s="71">
        <f>N6</f>
        <v>0.79</v>
      </c>
      <c r="Z6" s="72"/>
      <c r="AA6" s="66"/>
      <c r="AB6" s="66"/>
      <c r="AC6" s="1040"/>
      <c r="AD6" s="73"/>
      <c r="AE6" s="1041">
        <f ca="1">IF(AN6="",0,SUMIF(INDIRECT("'"&amp;AN6&amp;"'"&amp;"!E:E"),$AE$5,INDIRECT("'"&amp;AN6&amp;"'"&amp;"!F:F")))</f>
        <v>19</v>
      </c>
      <c r="AF6" s="1348"/>
      <c r="AG6" s="138">
        <f>IF(AF6="",0,AE6-AF6)</f>
        <v>0</v>
      </c>
      <c r="AH6" s="74"/>
      <c r="AI6" s="76">
        <v>365</v>
      </c>
      <c r="AJ6" s="77"/>
      <c r="AK6" s="78">
        <v>0.01</v>
      </c>
      <c r="AL6" s="79">
        <v>1E-3</v>
      </c>
      <c r="AM6" s="80">
        <v>0.01</v>
      </c>
      <c r="AN6" s="1715" t="s">
        <v>3421</v>
      </c>
      <c r="AO6" s="52">
        <f ca="1">SUMIF(INDIRECT("'"&amp;AN6&amp;"'"&amp;"!A:A"),"总价",INDIRECT("'"&amp;AN6&amp;"'"&amp;"!B:B"))</f>
        <v>2448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0.70399999999999996</v>
      </c>
      <c r="H16" s="90">
        <f>ROUND(SUMPRODUCT(H6:H13,K6:K13)/SUMPRODUCT((H6:H13&gt;0)*(K6:K13)),3)</f>
        <v>0.05</v>
      </c>
      <c r="I16" s="91"/>
      <c r="J16" s="91"/>
      <c r="K16" s="92">
        <f>SUM(K6:K15)</f>
        <v>752.09</v>
      </c>
      <c r="L16" s="93">
        <f>ROUND(M16*10000/SUM(K6:K14),0)</f>
        <v>4002</v>
      </c>
      <c r="M16" s="93">
        <f>SUM(M6:M14)</f>
        <v>301</v>
      </c>
      <c r="N16" s="94">
        <f>ROUND(SUMPRODUCT(M6:M14,N6:N14)/M16,3)</f>
        <v>0.79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3794" t="s">
        <v>3448</v>
      </c>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t="s">
        <v>3446</v>
      </c>
      <c r="V19" s="2671">
        <f>'数据-汇总表'!F19-'数据-取费表'!V20</f>
        <v>552.09</v>
      </c>
      <c r="W19" s="2671">
        <v>1</v>
      </c>
      <c r="X19" s="2671">
        <f>12*0.8</f>
        <v>9.6000000000000014</v>
      </c>
      <c r="Y19" s="2671">
        <f>X19*V19</f>
        <v>5300.0640000000012</v>
      </c>
      <c r="Z19" s="2671">
        <f>W19*V19</f>
        <v>552.09</v>
      </c>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t="s">
        <v>3447</v>
      </c>
      <c r="V20" s="2671">
        <v>200</v>
      </c>
      <c r="W20" s="2671">
        <v>0.7</v>
      </c>
      <c r="X20" s="2671">
        <f>X19*W20</f>
        <v>6.7200000000000006</v>
      </c>
      <c r="Y20" s="2671">
        <f>X20*V20</f>
        <v>1344.0000000000002</v>
      </c>
      <c r="Z20" s="2671">
        <f>W20*V20</f>
        <v>140</v>
      </c>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f>SUM(V19:V20)</f>
        <v>752.09</v>
      </c>
      <c r="W21" s="2671">
        <f>Z21/V21</f>
        <v>0.92022231381882491</v>
      </c>
      <c r="X21" s="2671">
        <f>Y21/V21</f>
        <v>8.8341342126607199</v>
      </c>
      <c r="Y21" s="2671">
        <f>SUM(Y19:Y20)</f>
        <v>6644.0640000000012</v>
      </c>
      <c r="Z21" s="2671">
        <f>SUM(Z19:Z20)</f>
        <v>692.09</v>
      </c>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成本法!C8</f>
        <v>15</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752.09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45112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3203</v>
      </c>
      <c r="C5" s="2512">
        <f ca="1">IF(B5=D14,结果表!H102,ROUND(B5*10000/$B$1,0))</f>
        <v>0</v>
      </c>
      <c r="D5" s="2512" t="e">
        <f ca="1">ROUND(B5*10000/$B$2,0)</f>
        <v>#DIV/0!</v>
      </c>
      <c r="E5" s="2686"/>
      <c r="F5" s="2687"/>
      <c r="G5" s="2687"/>
      <c r="H5" s="2688"/>
      <c r="I5" s="2688"/>
      <c r="J5" s="2688"/>
      <c r="K5" s="2688"/>
    </row>
    <row r="6" spans="1:11" ht="16.5">
      <c r="A6" s="2512" t="s">
        <v>656</v>
      </c>
      <c r="B6" s="2512">
        <f ca="1">SUM(G14:G23)</f>
        <v>3203</v>
      </c>
      <c r="C6" s="2512">
        <f ca="1">IF(B6=G14,结果表!H108,ROUND(B6*10000/$B$1,0))</f>
        <v>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752.09</v>
      </c>
      <c r="C14" s="2518"/>
      <c r="D14" s="2518">
        <f ca="1">结果表!G19</f>
        <v>3203</v>
      </c>
      <c r="E14" s="2518">
        <f ca="1">ROUND(D14*10000/B14,0)</f>
        <v>42588</v>
      </c>
      <c r="F14" s="2518" t="e">
        <f ca="1">ROUND(D14*10000/C14,0)</f>
        <v>#DIV/0!</v>
      </c>
      <c r="G14" s="2518">
        <f ca="1">D14</f>
        <v>3203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30" zoomScaleNormal="100" zoomScaleSheetLayoutView="130"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3427</v>
      </c>
      <c r="D4" s="1756" t="s">
        <v>3421</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7</v>
      </c>
      <c r="D14" s="3576">
        <v>3</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3" t="s">
        <v>2131</v>
      </c>
      <c r="F18" s="3564"/>
      <c r="G18" s="3564"/>
      <c r="H18" s="3564"/>
      <c r="I18" s="3564"/>
      <c r="K18" s="302" t="s">
        <v>1289</v>
      </c>
      <c r="L18" s="302">
        <f>IF(C1="",'数据-汇总表'!E3,SUMIF(项目类型,C1,'数据-汇总表'!E17:E26)+SUMIF(项目类型,C1,'数据-汇总表'!I17:I26))</f>
        <v>752.09</v>
      </c>
      <c r="M18" s="302">
        <f>IF(C1="",'数据-汇总表'!E3,SUMIF(项目类型,C1,'数据-汇总表'!E17:E26))</f>
        <v>752.09</v>
      </c>
    </row>
    <row r="19" spans="1:36" ht="15">
      <c r="A19" s="1761" t="s">
        <v>1290</v>
      </c>
      <c r="B19" s="1762" t="s">
        <v>1291</v>
      </c>
      <c r="C19" s="134">
        <f ca="1">SUMIF(INDIRECT("'"&amp;C4&amp;"'"&amp;"!A:A"),结果表!B19,INDIRECT("'"&amp;C4&amp;"'"&amp;"!B:B"))</f>
        <v>3526</v>
      </c>
      <c r="D19" s="135">
        <f ca="1">SUMIF(INDIRECT("'"&amp;D4&amp;"'"&amp;"!A:A"),结果表!B19,INDIRECT("'"&amp;D4&amp;"'"&amp;"!B:B"))</f>
        <v>2448</v>
      </c>
      <c r="E19" s="1761" t="s">
        <v>1292</v>
      </c>
      <c r="F19" s="1762" t="s">
        <v>1291</v>
      </c>
      <c r="G19" s="136">
        <f ca="1">ROUND(C19*$C$18+D19*$D$18,0)</f>
        <v>3203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46877</v>
      </c>
      <c r="D20" s="138">
        <f ca="1">SUMIF(INDIRECT("'"&amp;D4&amp;"'"&amp;"!A:A"),结果表!B20,INDIRECT("'"&amp;D4&amp;"'"&amp;"!B:B"))</f>
        <v>32549</v>
      </c>
      <c r="E20" s="1764"/>
      <c r="F20" s="1026" t="s">
        <v>1295</v>
      </c>
      <c r="G20" s="139">
        <f ca="1">ROUND(C20*$C$18+D20*$D$18,0)</f>
        <v>42579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0.440359477124183</v>
      </c>
      <c r="E22" s="129"/>
      <c r="F22" s="129"/>
      <c r="G22" s="129"/>
      <c r="H22" s="129"/>
      <c r="I22" s="129"/>
    </row>
    <row r="23" spans="1:36" ht="13.5" thickBot="1">
      <c r="A23" s="1747"/>
      <c r="B23" s="1747"/>
      <c r="C23" s="1747"/>
      <c r="D23" s="1747"/>
      <c r="E23" s="129"/>
      <c r="F23" s="129"/>
      <c r="G23" s="129">
        <f ca="1">G20/0.9</f>
        <v>47310</v>
      </c>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42579</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t="e">
        <f ca="1">ROUND(H101*F45,0)</f>
        <v>#REF!</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45112</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3" t="s">
        <v>1340</v>
      </c>
      <c r="L48" s="3603"/>
      <c r="M48" s="3625" t="e">
        <f ca="1">H101</f>
        <v>#REF!</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抵押担保权已注销时的房地产抵押价值</v>
      </c>
      <c r="L49" s="3603"/>
      <c r="M49" s="3625" t="str">
        <f>IF(项目基本情况!E8="房地产抵押价值",H107,H109)</f>
        <v>——</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t="e">
        <f ca="1">ROUND(D45*'数据-取费表'!B41/(1+'数据-取费表'!C42),0)</f>
        <v>#REF!</v>
      </c>
      <c r="E52" s="2334" t="s">
        <v>1354</v>
      </c>
      <c r="F52" s="2554">
        <f>'数据-取费表'!B41</f>
        <v>5.6000000000000001E-2</v>
      </c>
      <c r="G52" s="2555"/>
      <c r="H52" s="2544"/>
      <c r="I52" s="1807"/>
      <c r="J52" s="2523">
        <v>1</v>
      </c>
      <c r="K52" s="3604" t="s">
        <v>1355</v>
      </c>
      <c r="L52" s="3604"/>
      <c r="M52" s="2525" t="b">
        <f>D48</f>
        <v>0</v>
      </c>
      <c r="N52" s="2523" t="str">
        <f>E48</f>
        <v>销售额×税（费）率</v>
      </c>
      <c r="O52" s="2526">
        <f>F48</f>
        <v>5.6000000000000001E-2</v>
      </c>
    </row>
    <row r="53" spans="1:35" ht="12" customHeight="1">
      <c r="A53" s="2335" t="s">
        <v>1356</v>
      </c>
      <c r="B53" s="3565" t="s">
        <v>2291</v>
      </c>
      <c r="C53" s="3566"/>
      <c r="D53" s="1087" t="e">
        <f ca="1">ROUND(D45*'数据-取费表'!B41/(1+'数据-取费表'!C42),0)</f>
        <v>#REF!</v>
      </c>
      <c r="E53" s="2334" t="s">
        <v>1354</v>
      </c>
      <c r="F53" s="2554">
        <f>'数据-取费表'!B41</f>
        <v>5.6000000000000001E-2</v>
      </c>
      <c r="G53" s="2555"/>
      <c r="H53" s="2544"/>
      <c r="I53" s="1807"/>
      <c r="J53" s="2523">
        <v>2</v>
      </c>
      <c r="K53" s="3604" t="s">
        <v>1357</v>
      </c>
      <c r="L53" s="3604"/>
      <c r="M53" s="2525" t="e">
        <f t="shared" ref="M53:O54" ca="1" si="0">D55</f>
        <v>#REF!</v>
      </c>
      <c r="N53" s="2523" t="str">
        <f t="shared" si="0"/>
        <v>销售额×税（费）率</v>
      </c>
      <c r="O53" s="2526" t="str">
        <f t="shared" si="0"/>
        <v>免征</v>
      </c>
    </row>
    <row r="54" spans="1:35" ht="12" customHeight="1">
      <c r="A54" s="2335" t="s">
        <v>1358</v>
      </c>
      <c r="B54" s="3565" t="s">
        <v>2292</v>
      </c>
      <c r="C54" s="3566"/>
      <c r="D54" s="1087" t="e">
        <f ca="1">C68</f>
        <v>#REF!</v>
      </c>
      <c r="E54" s="327" t="s">
        <v>1359</v>
      </c>
      <c r="F54" s="2554">
        <f>'数据-取费表'!B41</f>
        <v>5.6000000000000001E-2</v>
      </c>
      <c r="G54" s="2555"/>
      <c r="H54" s="2556"/>
      <c r="I54" s="1807"/>
      <c r="J54" s="2523">
        <v>3</v>
      </c>
      <c r="K54" s="3604" t="s">
        <v>1360</v>
      </c>
      <c r="L54" s="3604"/>
      <c r="M54" s="2525" t="e">
        <f t="shared" ca="1" si="0"/>
        <v>#REF!</v>
      </c>
      <c r="N54" s="2523" t="str">
        <f t="shared" si="0"/>
        <v>增值额×税（费）率</v>
      </c>
      <c r="O54" s="2527" t="str">
        <f t="shared" si="0"/>
        <v>免征</v>
      </c>
    </row>
    <row r="55" spans="1:35" ht="24" customHeight="1">
      <c r="A55" s="3554" t="s">
        <v>1361</v>
      </c>
      <c r="B55" s="3555"/>
      <c r="C55" s="3555"/>
      <c r="D55" s="2324" t="e">
        <f ca="1">IF(H55="个人住宅",0,ROUND(D45*I55,0))</f>
        <v>#REF!</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t="e">
        <f ca="1">D59</f>
        <v>#REF!</v>
      </c>
      <c r="N55" s="2040" t="str">
        <f>E59</f>
        <v>差额计税</v>
      </c>
      <c r="O55" s="2529">
        <f>F59</f>
        <v>0.01</v>
      </c>
    </row>
    <row r="56" spans="1:35" ht="24.75">
      <c r="A56" s="3554" t="s">
        <v>1363</v>
      </c>
      <c r="B56" s="3555"/>
      <c r="C56" s="3555"/>
      <c r="D56" s="2324" t="e">
        <f ca="1">IF(H56="个人住宅",D57,D58)</f>
        <v>#REF!</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0</v>
      </c>
      <c r="O57" s="2533"/>
      <c r="P57" s="2690" t="e">
        <f ca="1">N57/M49</f>
        <v>#VALUE!</v>
      </c>
    </row>
    <row r="58" spans="1:35" ht="24.75">
      <c r="A58" s="2335" t="s">
        <v>1352</v>
      </c>
      <c r="B58" s="3565" t="s">
        <v>1369</v>
      </c>
      <c r="C58" s="3539"/>
      <c r="D58" s="2324" t="e">
        <f ca="1">IF(H58="转让取得",C81,C97)</f>
        <v>#REF!</v>
      </c>
      <c r="E58" s="2334" t="s">
        <v>1364</v>
      </c>
      <c r="F58" s="302" t="s">
        <v>28</v>
      </c>
      <c r="G58" s="2555"/>
      <c r="H58" s="2558"/>
      <c r="I58" s="1808"/>
      <c r="J58" s="3604"/>
      <c r="K58" s="3604"/>
      <c r="L58" s="2530" t="s">
        <v>1370</v>
      </c>
      <c r="M58" s="2534"/>
      <c r="N58" s="2535" t="str">
        <f ca="1">NUMBERSTRING(INT(N57*10000),2)&amp;"元整"</f>
        <v>零元整</v>
      </c>
      <c r="O58" s="2536"/>
    </row>
    <row r="59" spans="1:35" ht="24.75" thickBot="1">
      <c r="A59" s="3607" t="s">
        <v>1371</v>
      </c>
      <c r="B59" s="3608"/>
      <c r="C59" s="360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6"/>
      <c r="K60" s="3604"/>
      <c r="L60" s="2530" t="s">
        <v>1370</v>
      </c>
      <c r="M60" s="2534"/>
      <c r="N60" s="2535" t="e">
        <f ca="1">NUMBERSTRING(INT(N59*10000),2)&amp;"元整"</f>
        <v>#VALUE!</v>
      </c>
      <c r="O60" s="2536"/>
    </row>
    <row r="61" spans="1:35" ht="13.5" thickBot="1">
      <c r="A61" s="3552" t="s">
        <v>1373</v>
      </c>
      <c r="B61" s="3552"/>
      <c r="C61" s="3552"/>
      <c r="D61" s="3552"/>
      <c r="E61" s="3552"/>
      <c r="F61" s="1808"/>
      <c r="G61" s="1808"/>
      <c r="H61" s="1810"/>
      <c r="I61" s="129"/>
      <c r="J61" s="2523">
        <f>J59+1</f>
        <v>7</v>
      </c>
      <c r="K61" s="3604" t="s">
        <v>1374</v>
      </c>
      <c r="L61" s="3604"/>
      <c r="M61" s="2540"/>
      <c r="N61" s="2541" t="e">
        <f ca="1">ROUND(N59*10000/'数据-汇总表'!E3,0)</f>
        <v>#VALUE!</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2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2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2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2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比较法-商业</v>
      </c>
      <c r="D101" s="2586" t="str">
        <f>D4</f>
        <v>收益法</v>
      </c>
      <c r="E101" s="3626" t="s">
        <v>1431</v>
      </c>
      <c r="F101" s="3583"/>
      <c r="G101" s="1827" t="s">
        <v>1432</v>
      </c>
      <c r="H101" s="2595" t="e">
        <f ca="1">H118</f>
        <v>#REF!</v>
      </c>
      <c r="I101" s="129"/>
    </row>
    <row r="102" spans="1:35" ht="18.75" customHeight="1">
      <c r="A102" s="3585" t="s">
        <v>1433</v>
      </c>
      <c r="B102" s="2584" t="s">
        <v>1432</v>
      </c>
      <c r="C102" s="2585">
        <f ca="1">IF(D32="楼面单价",ROUND(C19,0),C19)</f>
        <v>3526</v>
      </c>
      <c r="D102" s="2586">
        <f ca="1">IF(D32="楼面单价",ROUND(D19,0),D19)</f>
        <v>2448</v>
      </c>
      <c r="E102" s="3626"/>
      <c r="F102" s="3583"/>
      <c r="G102" s="1827" t="s">
        <v>1434</v>
      </c>
      <c r="H102" s="2555" t="e">
        <f ca="1">I118</f>
        <v>#REF!</v>
      </c>
      <c r="I102" s="129"/>
    </row>
    <row r="103" spans="1:35" ht="42.75" customHeight="1">
      <c r="A103" s="3585"/>
      <c r="B103" s="2584" t="s">
        <v>1434</v>
      </c>
      <c r="C103" s="2587">
        <f ca="1">C20</f>
        <v>46877</v>
      </c>
      <c r="D103" s="2588">
        <f ca="1">D20</f>
        <v>32549</v>
      </c>
      <c r="E103" s="3620" t="s">
        <v>1435</v>
      </c>
      <c r="F103" s="3621"/>
      <c r="G103" s="1828" t="s">
        <v>1436</v>
      </c>
      <c r="H103" s="2595">
        <f>IF(D36="正常操作",H104+H105+H106,H105+H106)</f>
        <v>0</v>
      </c>
      <c r="I103" s="129"/>
    </row>
    <row r="104" spans="1:35" ht="18.75" customHeight="1">
      <c r="A104" s="358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t="e">
        <f ca="1">IF(E107="——","——",H101-H103)</f>
        <v>#REF!</v>
      </c>
      <c r="I107" s="129"/>
    </row>
    <row r="108" spans="1:35" ht="18.75" customHeight="1">
      <c r="A108" s="129"/>
      <c r="B108" s="129"/>
      <c r="C108" s="129"/>
      <c r="D108" s="129"/>
      <c r="E108" s="3582"/>
      <c r="F108" s="3583"/>
      <c r="G108" s="1827" t="s">
        <v>1434</v>
      </c>
      <c r="H108" s="2555">
        <f ca="1">IF(H107=H101,H102,ROUND(H107*10000/'数据-汇总表'!E3,0))</f>
        <v>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752.09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93" t="e">
        <f ca="1">NUMBERSTRING(INT(D118*10000),2)&amp;"元整"</f>
        <v>#REF!</v>
      </c>
      <c r="E119" s="3595"/>
      <c r="F119" s="3593" t="e">
        <f ca="1">NUMBERSTRING(INT(F118*10000),2)&amp;"元整"</f>
        <v>#REF!</v>
      </c>
      <c r="G119" s="3595"/>
      <c r="H119" s="3593" t="e">
        <f ca="1">NUMBERSTRING(INT(H118*10000),2)&amp;"元整"</f>
        <v>#REF!</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t="e">
        <f ca="1">H107</f>
        <v>#REF!</v>
      </c>
      <c r="E122" s="3618"/>
      <c r="F122" s="3618"/>
      <c r="G122" s="3618"/>
      <c r="H122" s="3618"/>
      <c r="I122" s="3619"/>
      <c r="AA122" s="725"/>
    </row>
    <row r="123" spans="1:27" ht="18.75" customHeight="1">
      <c r="A123" s="3553" t="s">
        <v>1452</v>
      </c>
      <c r="B123" s="3553"/>
      <c r="C123" s="3553"/>
      <c r="D123" s="3593" t="e">
        <f ca="1">NUMBERSTRING(INT(D122*10000),2)&amp;"元整"</f>
        <v>#REF!</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1" sqref="K4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3422</v>
      </c>
      <c r="C1" s="198"/>
      <c r="D1" s="198"/>
      <c r="E1" s="198"/>
      <c r="F1" s="198"/>
      <c r="G1" s="1126">
        <f>MATCH(B1,'数据-取费表'!A6:A16,0)+5</f>
        <v>6</v>
      </c>
    </row>
    <row r="2" spans="1:9" s="200" customFormat="1" ht="18" customHeight="1">
      <c r="A2" s="201" t="s">
        <v>1462</v>
      </c>
      <c r="B2" s="202">
        <f ca="1">IF(D2="——",C52,C52-E2)</f>
        <v>1506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20024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833</v>
      </c>
      <c r="D5" s="211" t="s">
        <v>1469</v>
      </c>
      <c r="E5" s="212" t="s">
        <v>1470</v>
      </c>
      <c r="F5" s="212" t="s">
        <v>1471</v>
      </c>
      <c r="G5" s="213"/>
    </row>
    <row r="6" spans="1:9" s="214" customFormat="1" ht="13.5" customHeight="1">
      <c r="A6" s="778" t="s">
        <v>1472</v>
      </c>
      <c r="B6" s="215" t="s">
        <v>1473</v>
      </c>
      <c r="C6" s="216">
        <f>基准地价修正!V2+基准地价修正!V3</f>
        <v>794</v>
      </c>
      <c r="D6" s="217"/>
      <c r="E6" s="218"/>
      <c r="F6" s="218"/>
      <c r="G6" s="219"/>
    </row>
    <row r="7" spans="1:9" s="214" customFormat="1" ht="13.5" customHeight="1">
      <c r="A7" s="778" t="s">
        <v>1474</v>
      </c>
      <c r="B7" s="215" t="s">
        <v>1475</v>
      </c>
      <c r="C7" s="220">
        <f>ROUND(C6*F7,0)</f>
        <v>24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15</v>
      </c>
      <c r="D8" s="222"/>
      <c r="E8" s="220"/>
      <c r="F8" s="221"/>
      <c r="G8" s="1856" t="s">
        <v>3439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3440</v>
      </c>
      <c r="H9" s="1137"/>
      <c r="I9" s="1858" t="s">
        <v>1479</v>
      </c>
    </row>
    <row r="10" spans="1:9" s="214" customFormat="1" ht="13.5" customHeight="1">
      <c r="A10" s="779" t="s">
        <v>356</v>
      </c>
      <c r="B10" s="224" t="s">
        <v>1480</v>
      </c>
      <c r="C10" s="225">
        <f ca="1">ROUND(D10*E10/10000,0)</f>
        <v>15</v>
      </c>
      <c r="D10" s="845">
        <f ca="1">IF(B1="",'数据-汇总表'!E6,IF(INDIRECT("'数据-取费表'!c"&amp;$G$1)="住宅",INDIRECT("'数据-取费表'!s"&amp;$G$1),INDIRECT("'数据-取费表'!k"&amp;$G$1)+INDIRECT("'数据-取费表'!s"&amp;$G$1)))</f>
        <v>752.09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752.09</v>
      </c>
      <c r="E19" s="211">
        <f>'数据-取费表'!B31</f>
        <v>200</v>
      </c>
      <c r="F19" s="231"/>
      <c r="G19" s="1856" t="s">
        <v>3441</v>
      </c>
    </row>
    <row r="20" spans="1:7" s="214" customFormat="1" ht="13.5" customHeight="1">
      <c r="A20" s="255" t="s">
        <v>1493</v>
      </c>
      <c r="B20" s="210" t="s">
        <v>1494</v>
      </c>
      <c r="C20" s="232">
        <f ca="1">ROUND((C5+C19)*F20,0)</f>
        <v>25</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61</v>
      </c>
      <c r="D22" s="235">
        <f ca="1">C26</f>
        <v>1.1000000000000001E-3</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129</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129</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1150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336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301</v>
      </c>
      <c r="D34" s="217"/>
      <c r="E34" s="220"/>
      <c r="F34" s="257">
        <f ca="1">IF('数据-取费表'!B24=0,1,IF(B1="",'数据-取费表'!N16,INDIRECT("'数据-取费表'!n"&amp;$G$1)))</f>
        <v>1</v>
      </c>
      <c r="G34" s="219" t="s">
        <v>1526</v>
      </c>
    </row>
    <row r="35" spans="1:7" ht="13.5" customHeight="1">
      <c r="A35" s="780" t="s">
        <v>351</v>
      </c>
      <c r="B35" s="215" t="s">
        <v>1527</v>
      </c>
      <c r="C35" s="220">
        <f ca="1">ROUND(C34*F35,0)</f>
        <v>15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15</v>
      </c>
      <c r="D37" s="217">
        <f ca="1">D19</f>
        <v>752.09</v>
      </c>
      <c r="E37" s="249">
        <f>'数据-取费表'!B35</f>
        <v>200</v>
      </c>
      <c r="F37" s="259"/>
      <c r="G37" s="261" t="s">
        <v>1532</v>
      </c>
    </row>
    <row r="38" spans="1:7" ht="13.5" customHeight="1">
      <c r="A38" s="780" t="s">
        <v>354</v>
      </c>
      <c r="B38" s="215" t="s">
        <v>1533</v>
      </c>
      <c r="C38" s="220">
        <f ca="1">ROUND(C34*F38,0)</f>
        <v>5</v>
      </c>
      <c r="D38" s="220"/>
      <c r="E38" s="220"/>
      <c r="F38" s="259">
        <f>'数据-取费表'!B36</f>
        <v>1.4999999999999999E-2</v>
      </c>
      <c r="G38" s="219" t="s">
        <v>1528</v>
      </c>
    </row>
    <row r="39" spans="1:7" s="214" customFormat="1" ht="13.5" customHeight="1">
      <c r="A39" s="255" t="s">
        <v>1534</v>
      </c>
      <c r="B39" s="210" t="s">
        <v>1535</v>
      </c>
      <c r="C39" s="232">
        <f ca="1">ROUND(C33*F20,0)</f>
        <v>10</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12</v>
      </c>
      <c r="D41" s="235">
        <f ca="1">C44</f>
        <v>1.1000000000000001E-3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12</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1.1000000000000001E-3</v>
      </c>
      <c r="D44" s="238"/>
      <c r="E44" s="238"/>
      <c r="F44" s="239"/>
      <c r="G44" s="3635"/>
    </row>
    <row r="45" spans="1:7" s="214" customFormat="1" ht="13.5" customHeight="1">
      <c r="A45" s="255" t="s">
        <v>1547</v>
      </c>
      <c r="B45" s="244" t="s">
        <v>1513</v>
      </c>
      <c r="C45" s="245">
        <f ca="1">C46</f>
        <v>52</v>
      </c>
      <c r="D45" s="235">
        <f ca="1">C47</f>
        <v>4.4999999999999997E-3</v>
      </c>
      <c r="E45" s="236" t="s">
        <v>1539</v>
      </c>
      <c r="F45" s="246">
        <f ca="1">F27</f>
        <v>0.15</v>
      </c>
      <c r="G45" s="247" t="s">
        <v>1548</v>
      </c>
    </row>
    <row r="46" spans="1:7" s="214" customFormat="1" ht="13.5" customHeight="1">
      <c r="A46" s="780" t="s">
        <v>346</v>
      </c>
      <c r="B46" s="248" t="s">
        <v>1549</v>
      </c>
      <c r="C46" s="249">
        <f ca="1">ROUND((C33+C39)*F27,0)</f>
        <v>52</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450</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356</v>
      </c>
      <c r="D51" s="232"/>
      <c r="E51" s="232"/>
      <c r="F51" s="264"/>
      <c r="G51" s="234" t="s">
        <v>1560</v>
      </c>
    </row>
    <row r="52" spans="1:7" s="208" customFormat="1" ht="16.5" thickBot="1">
      <c r="A52" s="265" t="s">
        <v>1561</v>
      </c>
      <c r="B52" s="266"/>
      <c r="C52" s="267">
        <f ca="1">C31+C51</f>
        <v>1506</v>
      </c>
      <c r="D52" s="266"/>
      <c r="E52" s="266"/>
      <c r="F52" s="266"/>
      <c r="G52" s="268"/>
    </row>
    <row r="55" spans="1:7" ht="15">
      <c r="B55" s="270" t="s">
        <v>1562</v>
      </c>
      <c r="C55" s="271"/>
    </row>
    <row r="56" spans="1:7">
      <c r="B56" s="273" t="s">
        <v>802</v>
      </c>
      <c r="C56" s="275">
        <f ca="1">1-C57</f>
        <v>0.76400000000000001</v>
      </c>
    </row>
    <row r="57" spans="1:7">
      <c r="B57" s="273" t="s">
        <v>803</v>
      </c>
      <c r="C57" s="274">
        <f ca="1">ROUND(C51/C52,3)</f>
        <v>0.23599999999999999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396.67590000000001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5274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150418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150418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150418</v>
      </c>
      <c r="D10" s="845">
        <f ca="1">IF(B1="",'数据-汇总表'!E6,IF(INDIRECT("'数据-取费表'!c"&amp;$G$1)="住宅",INDIRECT("'数据-取费表'!s"&amp;$G$1),INDIRECT("'数据-取费表'!k"&amp;$G$1)+INDIRECT("'数据-取费表'!s"&amp;$G$1)))</f>
        <v>752.09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150418</v>
      </c>
      <c r="D19" s="849">
        <f ca="1">D9+D10</f>
        <v>752.09</v>
      </c>
      <c r="E19" s="211">
        <f>'数据-取费表'!B31</f>
        <v>200</v>
      </c>
      <c r="F19" s="231"/>
      <c r="G19" s="1856"/>
    </row>
    <row r="20" spans="1:7" s="214" customFormat="1" ht="13.5" customHeight="1">
      <c r="A20" s="255" t="s">
        <v>1574</v>
      </c>
      <c r="B20" s="210" t="s">
        <v>1575</v>
      </c>
      <c r="C20" s="232">
        <f ca="1">ROUND((C5+C19)*F20,0)</f>
        <v>9025</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22058</v>
      </c>
      <c r="D22" s="235">
        <f ca="1">C26</f>
        <v>1.1000000000000001E-3</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10869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10869</v>
      </c>
      <c r="D24" s="238"/>
      <c r="E24" s="238"/>
      <c r="F24" s="239"/>
      <c r="G24" s="240" t="s">
        <v>1586</v>
      </c>
    </row>
    <row r="25" spans="1:7" s="214" customFormat="1" ht="24">
      <c r="A25" s="780" t="s">
        <v>1476</v>
      </c>
      <c r="B25" s="215" t="s">
        <v>1587</v>
      </c>
      <c r="C25" s="1128">
        <f ca="1">ROUND(IF('数据-取费表'!B22&lt;=1,C20*F22*'数据-取费表'!B22/2,C20*(POWER((1+F22),'数据-取费表'!B22/2)-1)),0)</f>
        <v>320</v>
      </c>
      <c r="D25" s="238"/>
      <c r="E25" s="241"/>
      <c r="F25" s="239"/>
      <c r="G25" s="242" t="s">
        <v>1588</v>
      </c>
    </row>
    <row r="26" spans="1:7" s="214" customFormat="1">
      <c r="A26" s="780"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46479</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46479</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415320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3354321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3008360</v>
      </c>
      <c r="D34" s="217"/>
      <c r="E34" s="220"/>
      <c r="F34" s="257"/>
      <c r="G34" s="219"/>
    </row>
    <row r="35" spans="1:7" ht="13.5" customHeight="1">
      <c r="A35" s="780" t="s">
        <v>351</v>
      </c>
      <c r="B35" s="215" t="s">
        <v>1527</v>
      </c>
      <c r="C35" s="220">
        <f ca="1">ROUND(C34*F35,0)</f>
        <v>150418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150418</v>
      </c>
      <c r="D37" s="217">
        <f ca="1">D19</f>
        <v>752.09</v>
      </c>
      <c r="E37" s="249">
        <f>'数据-取费表'!B35</f>
        <v>200</v>
      </c>
      <c r="F37" s="259"/>
      <c r="G37" s="261"/>
    </row>
    <row r="38" spans="1:7" ht="13.5" customHeight="1">
      <c r="A38" s="780" t="s">
        <v>354</v>
      </c>
      <c r="B38" s="215" t="s">
        <v>1533</v>
      </c>
      <c r="C38" s="220">
        <f ca="1">ROUND(C34*F38,0)</f>
        <v>45125</v>
      </c>
      <c r="D38" s="220"/>
      <c r="E38" s="220"/>
      <c r="F38" s="259">
        <f>'数据-取费表'!B36</f>
        <v>1.4999999999999999E-2</v>
      </c>
      <c r="G38" s="219" t="s">
        <v>1528</v>
      </c>
    </row>
    <row r="39" spans="1:7" s="214" customFormat="1" ht="13.5" customHeight="1">
      <c r="A39" s="255" t="s">
        <v>1534</v>
      </c>
      <c r="B39" s="210" t="s">
        <v>1535</v>
      </c>
      <c r="C39" s="232">
        <f ca="1">ROUND(C33*F20,0)</f>
        <v>100630</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122650</v>
      </c>
      <c r="D41" s="235">
        <f ca="1">C44</f>
        <v>1.1000000000000001E-3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119078</v>
      </c>
      <c r="D42" s="238"/>
      <c r="E42" s="238"/>
      <c r="F42" s="239"/>
      <c r="G42" s="3633" t="s">
        <v>1591</v>
      </c>
    </row>
    <row r="43" spans="1:7" ht="13.5" customHeight="1">
      <c r="A43" s="780" t="s">
        <v>347</v>
      </c>
      <c r="B43" s="215" t="s">
        <v>1545</v>
      </c>
      <c r="C43" s="238">
        <f ca="1">ROUND(IF('数据-取费表'!B22&lt;=1,C39*F22*'数据-取费表'!B20/2,C39*(POWER((1+F22),'数据-取费表'!B20/2)-1)),0)</f>
        <v>3572</v>
      </c>
      <c r="D43" s="238"/>
      <c r="E43" s="238"/>
      <c r="F43" s="239"/>
      <c r="G43" s="3634"/>
    </row>
    <row r="44" spans="1:7" ht="13.5" customHeight="1">
      <c r="A44" s="780" t="s">
        <v>348</v>
      </c>
      <c r="B44" s="215" t="s">
        <v>1546</v>
      </c>
      <c r="C44" s="238">
        <f ca="1">ROUND(IF('数据-取费表'!B22&lt;=1,C40*F22*'数据-取费表'!B20/2,C40*(POWER((1+F22),'数据-取费表'!B20/2)-1)),4)</f>
        <v>1.1000000000000001E-3</v>
      </c>
      <c r="D44" s="238"/>
      <c r="E44" s="238"/>
      <c r="F44" s="239"/>
      <c r="G44" s="3635"/>
    </row>
    <row r="45" spans="1:7" s="214" customFormat="1" ht="13.5" customHeight="1">
      <c r="A45" s="255" t="s">
        <v>1547</v>
      </c>
      <c r="B45" s="244" t="s">
        <v>1513</v>
      </c>
      <c r="C45" s="245">
        <f ca="1">C46</f>
        <v>518243</v>
      </c>
      <c r="D45" s="235">
        <f ca="1">C47</f>
        <v>4.4999999999999997E-3</v>
      </c>
      <c r="E45" s="236" t="s">
        <v>1539</v>
      </c>
      <c r="F45" s="246">
        <f ca="1">F27</f>
        <v>0.15</v>
      </c>
      <c r="G45" s="247" t="s">
        <v>1548</v>
      </c>
    </row>
    <row r="46" spans="1:7" s="214" customFormat="1" ht="13.5" customHeight="1">
      <c r="A46" s="780" t="s">
        <v>346</v>
      </c>
      <c r="B46" s="248" t="s">
        <v>1549</v>
      </c>
      <c r="C46" s="249">
        <f ca="1">ROUND((C33+C39)*F27,0)</f>
        <v>518243</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4495493</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3551439</v>
      </c>
      <c r="D51" s="232"/>
      <c r="E51" s="232"/>
      <c r="F51" s="264"/>
      <c r="G51" s="234" t="s">
        <v>1560</v>
      </c>
    </row>
    <row r="52" spans="1:7" s="208" customFormat="1" ht="16.5" thickBot="1">
      <c r="A52" s="265" t="s">
        <v>1561</v>
      </c>
      <c r="B52" s="266"/>
      <c r="C52" s="267">
        <f ca="1">C31+C51</f>
        <v>3966759</v>
      </c>
      <c r="D52" s="266"/>
      <c r="E52" s="266"/>
      <c r="F52" s="266"/>
      <c r="G52" s="268"/>
    </row>
    <row r="55" spans="1:7" ht="15">
      <c r="B55" s="270" t="s">
        <v>1562</v>
      </c>
      <c r="C55" s="271"/>
    </row>
    <row r="56" spans="1:7">
      <c r="B56" s="273" t="s">
        <v>802</v>
      </c>
      <c r="C56" s="275">
        <f ca="1">1-C57</f>
        <v>0.10499999999999998</v>
      </c>
    </row>
    <row r="57" spans="1:7">
      <c r="B57" s="273" t="s">
        <v>803</v>
      </c>
      <c r="C57" s="274">
        <f ca="1">ROUND(C51/C52,3)</f>
        <v>0.89500000000000002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752.09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752.09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15</v>
      </c>
      <c r="D20" s="846">
        <f ca="1">IF(C1="",'数据-汇总表'!E6,IF(INDIRECT("'数据-取费表'!c"&amp;$K$1)="住宅",INDIRECT("'数据-取费表'!s"&amp;$K$1),INDIRECT("'数据-取费表'!k"&amp;$K$1)+INDIRECT("'数据-取费表'!s"&amp;$K$1)))</f>
        <v>752.09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E26" sqref="E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3422</v>
      </c>
      <c r="D1" s="1362" t="s">
        <v>43</v>
      </c>
      <c r="E1" s="1363" t="s">
        <v>678</v>
      </c>
      <c r="F1" s="1062">
        <f ca="1">J53</f>
        <v>19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2448</v>
      </c>
      <c r="C2" s="1387" t="s">
        <v>805</v>
      </c>
      <c r="D2" s="1387"/>
      <c r="E2" s="1388"/>
      <c r="F2" s="1389"/>
      <c r="G2" s="2706"/>
      <c r="H2" s="2695"/>
      <c r="I2" s="2695"/>
      <c r="J2" s="2695"/>
      <c r="K2" s="2696"/>
      <c r="L2" s="2695"/>
      <c r="M2" s="2695"/>
    </row>
    <row r="3" spans="1:37" ht="18" customHeight="1" thickBot="1">
      <c r="A3" s="1390" t="s">
        <v>806</v>
      </c>
      <c r="B3" s="1391">
        <f ca="1">IF(ISERROR(B2*10000/F43),0,ROUND(B2*10000/F43,0))</f>
        <v>32549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212</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212</v>
      </c>
      <c r="D6" s="155" t="s">
        <v>2109</v>
      </c>
      <c r="E6" s="302" t="s">
        <v>696</v>
      </c>
      <c r="F6" s="303">
        <f ca="1">INDIRECT("'数据-取费表'!u"&amp;$G$1)</f>
        <v>8.6</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752.09</v>
      </c>
      <c r="G7" s="1384"/>
      <c r="H7" s="304"/>
      <c r="I7" s="3639"/>
      <c r="J7" s="306"/>
      <c r="K7" s="307"/>
      <c r="L7" s="302" t="s">
        <v>697</v>
      </c>
      <c r="M7" s="303">
        <f ca="1">F7</f>
        <v>752.09</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3449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356</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301</v>
      </c>
      <c r="D14" s="1345" t="s">
        <v>708</v>
      </c>
      <c r="E14" s="1342"/>
      <c r="F14" s="319"/>
      <c r="G14" s="1384"/>
      <c r="H14" s="982" t="s">
        <v>398</v>
      </c>
      <c r="I14" s="302" t="s">
        <v>709</v>
      </c>
      <c r="J14" s="21">
        <f ca="1">C29</f>
        <v>450</v>
      </c>
      <c r="K14" s="12"/>
      <c r="L14" s="807"/>
      <c r="M14" s="808"/>
    </row>
    <row r="15" spans="1:37" s="1397" customFormat="1" ht="18" customHeight="1" thickBot="1">
      <c r="A15" s="982" t="s">
        <v>399</v>
      </c>
      <c r="B15" s="302" t="s">
        <v>710</v>
      </c>
      <c r="C15" s="21">
        <f ca="1">ROUND(C14*F15,0)</f>
        <v>15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v>
      </c>
      <c r="K16" s="1087" t="s">
        <v>715</v>
      </c>
      <c r="L16" s="1088"/>
      <c r="M16" s="1072"/>
    </row>
    <row r="17" spans="1:37" s="1397" customFormat="1" ht="18" customHeight="1">
      <c r="A17" s="982" t="s">
        <v>681</v>
      </c>
      <c r="B17" s="302" t="s">
        <v>716</v>
      </c>
      <c r="C17" s="21">
        <f ca="1">ROUND(F17*(F43+INDIRECT("'数据-取费表'!S"&amp;$G$1))/10000,0)</f>
        <v>15</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336</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10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v>
      </c>
      <c r="K25" s="1095" t="s">
        <v>753</v>
      </c>
      <c r="L25" s="1096"/>
      <c r="M25" s="1097"/>
    </row>
    <row r="26" spans="1:37">
      <c r="A26" s="982" t="s">
        <v>397</v>
      </c>
      <c r="B26" s="302" t="s">
        <v>754</v>
      </c>
      <c r="C26" s="21">
        <f ca="1">ROUND((C19+C20)*F26,0)</f>
        <v>52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450</v>
      </c>
      <c r="D29" s="1092"/>
      <c r="E29" s="1090"/>
      <c r="F29" s="1093"/>
      <c r="G29" s="1396"/>
      <c r="H29" s="334" t="s">
        <v>396</v>
      </c>
      <c r="I29" s="335" t="s">
        <v>768</v>
      </c>
      <c r="J29" s="336">
        <f ca="1">ROUND(J26/(1+F40)^F41,0)</f>
        <v>0</v>
      </c>
      <c r="K29" s="337" t="s">
        <v>769</v>
      </c>
      <c r="L29" s="338"/>
      <c r="M29" s="339">
        <f ca="1">INDIRECT("'数据-取费表'!k"&amp;$G$1)</f>
        <v>752.09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35.54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11.31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24.23</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4.5</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0.36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2.12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169</v>
      </c>
      <c r="D39" s="1095" t="s">
        <v>773</v>
      </c>
      <c r="E39" s="1096"/>
      <c r="F39" s="1097"/>
      <c r="G39" s="1384"/>
      <c r="H39" s="2700"/>
      <c r="I39" s="1398"/>
      <c r="J39" s="1399"/>
      <c r="K39" s="2704"/>
      <c r="L39" s="2700"/>
      <c r="M39" s="2700"/>
    </row>
    <row r="40" spans="1:18" ht="18" customHeight="1">
      <c r="A40" s="299" t="s">
        <v>395</v>
      </c>
      <c r="B40" s="300" t="s">
        <v>774</v>
      </c>
      <c r="C40" s="301">
        <f ca="1">ROUND(C39*(1-((1+F42)/(1+F40))^F41)/(F40-F42),0)</f>
        <v>2377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31605</v>
      </c>
      <c r="D43" s="337" t="s">
        <v>777</v>
      </c>
      <c r="E43" s="338" t="s">
        <v>778</v>
      </c>
      <c r="F43" s="339">
        <f ca="1">INDIRECT("'数据-取费表'!k"&amp;$G$1)</f>
        <v>752.09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-2435</v>
      </c>
      <c r="D46" s="1406" t="str">
        <f>C2</f>
        <v>万元</v>
      </c>
      <c r="E46" s="1400"/>
      <c r="F46" s="1400"/>
      <c r="I46" s="1407" t="s">
        <v>810</v>
      </c>
      <c r="J46" s="1408"/>
      <c r="K46" s="1409"/>
      <c r="L46" s="1410">
        <f ca="1">IF(M47="住宅",0,IF(L48&gt;J51,L60,J60))</f>
        <v>71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3413</v>
      </c>
      <c r="K47" s="1416" t="s">
        <v>816</v>
      </c>
      <c r="L47" s="1417">
        <f ca="1">INDIRECT("'数据-取费表'!d"&amp;$G$1)</f>
        <v>40</v>
      </c>
      <c r="M47" s="1380" t="str">
        <f>IF(ISNUMBER(FIND("住宅",C1)),"住宅","非住宅")</f>
        <v>非住宅</v>
      </c>
      <c r="O47" s="1418" t="s">
        <v>403</v>
      </c>
      <c r="P47" s="1419" t="s">
        <v>817</v>
      </c>
      <c r="Q47" s="1420">
        <f ca="1">C40+J29</f>
        <v>2377</v>
      </c>
      <c r="R47" s="1420" t="s">
        <v>818</v>
      </c>
    </row>
    <row r="48" spans="1:18" s="1384" customFormat="1" ht="28.5" thickBot="1">
      <c r="A48" s="1110" t="s">
        <v>438</v>
      </c>
      <c r="B48" s="300" t="s">
        <v>692</v>
      </c>
      <c r="C48" s="1359">
        <f ca="1">C49+C53+C55</f>
        <v>0</v>
      </c>
      <c r="D48" s="1112"/>
      <c r="E48" s="1113"/>
      <c r="F48" s="962"/>
      <c r="G48" s="722"/>
      <c r="H48" s="723"/>
      <c r="I48" s="1421" t="s">
        <v>819</v>
      </c>
      <c r="J48" s="1422" t="s">
        <v>3423</v>
      </c>
      <c r="K48" s="1423" t="s">
        <v>820</v>
      </c>
      <c r="L48" s="1424">
        <f ca="1">INDIRECT("'数据-取费表'!f"&amp;$G$1)</f>
        <v>19</v>
      </c>
      <c r="O48" s="1418" t="s">
        <v>404</v>
      </c>
      <c r="P48" s="1419" t="s">
        <v>821</v>
      </c>
      <c r="Q48" s="1420">
        <f ca="1">J60</f>
        <v>71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450</v>
      </c>
      <c r="R49" s="1420" t="s">
        <v>818</v>
      </c>
    </row>
    <row r="50" spans="1:18" s="1384" customFormat="1" ht="13.5" thickBot="1">
      <c r="A50" s="976"/>
      <c r="B50" s="979"/>
      <c r="C50" s="1118"/>
      <c r="D50" s="953"/>
      <c r="E50" s="1056" t="s">
        <v>697</v>
      </c>
      <c r="F50" s="1057">
        <f ca="1">F7</f>
        <v>752.09</v>
      </c>
      <c r="H50" s="723"/>
      <c r="I50" s="1421" t="s">
        <v>826</v>
      </c>
      <c r="J50" s="1429">
        <f>SUMPRODUCT((I63:I65=J47)*(J62:L62=J48)*(J63:L65))</f>
        <v>60</v>
      </c>
      <c r="K50" s="1423" t="s">
        <v>827</v>
      </c>
      <c r="L50" s="1427"/>
      <c r="M50" s="1430"/>
      <c r="O50" s="1428" t="s">
        <v>406</v>
      </c>
      <c r="P50" s="1419" t="s">
        <v>828</v>
      </c>
      <c r="Q50" s="1431">
        <f ca="1">J58</f>
        <v>0.68300000000000005</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2694</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f>'数据-取费表'!J6+0.5%</f>
        <v>0.08</v>
      </c>
      <c r="K52" s="1437" t="s">
        <v>833</v>
      </c>
      <c r="L52" s="1438"/>
      <c r="O52" s="1428" t="s">
        <v>408</v>
      </c>
      <c r="P52" s="1419" t="s">
        <v>834</v>
      </c>
      <c r="Q52" s="1420">
        <f ca="1">J53</f>
        <v>19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19</v>
      </c>
      <c r="K53" s="3636" t="s">
        <v>837</v>
      </c>
      <c r="L53" s="3637"/>
      <c r="O53" s="1418" t="s">
        <v>409</v>
      </c>
      <c r="P53" s="1419" t="s">
        <v>838</v>
      </c>
      <c r="Q53" s="1420">
        <f ca="1">Q47+Q48</f>
        <v>2448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0.68300000000000005</v>
      </c>
      <c r="K55" s="1445" t="s">
        <v>841</v>
      </c>
      <c r="L55" s="1446"/>
      <c r="O55" s="1411" t="s">
        <v>811</v>
      </c>
      <c r="P55" s="1412" t="s">
        <v>812</v>
      </c>
      <c r="Q55" s="1413" t="s">
        <v>813</v>
      </c>
      <c r="R55" s="1413" t="s">
        <v>814</v>
      </c>
    </row>
    <row r="56" spans="1:18" s="1384" customFormat="1" ht="25.5" thickTop="1" thickBot="1">
      <c r="A56" s="957">
        <v>2</v>
      </c>
      <c r="B56" s="958" t="s">
        <v>704</v>
      </c>
      <c r="C56" s="232">
        <f ca="1">C13</f>
        <v>356</v>
      </c>
      <c r="D56" s="1447"/>
      <c r="E56" s="1448"/>
      <c r="F56" s="1440"/>
      <c r="I56" s="1449" t="s">
        <v>842</v>
      </c>
      <c r="J56" s="1450" t="s">
        <v>3424</v>
      </c>
      <c r="K56" s="1421" t="s">
        <v>843</v>
      </c>
      <c r="L56" s="1424" t="str">
        <f ca="1">IF(L48&lt;J51,"——",L48-J53)</f>
        <v>——</v>
      </c>
      <c r="O56" s="1418" t="s">
        <v>403</v>
      </c>
      <c r="P56" s="1419" t="s">
        <v>817</v>
      </c>
      <c r="Q56" s="1420">
        <f ca="1">C40+J29</f>
        <v>2377</v>
      </c>
      <c r="R56" s="1420" t="s">
        <v>818</v>
      </c>
    </row>
    <row r="57" spans="1:18" s="1384" customFormat="1" ht="24.75" thickBot="1">
      <c r="A57" s="1451"/>
      <c r="B57" s="950" t="s">
        <v>767</v>
      </c>
      <c r="C57" s="238">
        <f ca="1">C29</f>
        <v>450</v>
      </c>
      <c r="D57" s="1452"/>
      <c r="E57" s="1453"/>
      <c r="F57" s="1454"/>
      <c r="I57" s="1455" t="s">
        <v>844</v>
      </c>
      <c r="J57" s="1456">
        <f ca="1">IF(OR(M47="住宅",J51&lt;L48,J56="是"),"——",J51-L48)</f>
        <v>41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v>
      </c>
      <c r="D58" s="960" t="s">
        <v>715</v>
      </c>
      <c r="E58" s="961"/>
      <c r="F58" s="962"/>
      <c r="I58" s="1455" t="s">
        <v>848</v>
      </c>
      <c r="J58" s="1457">
        <f ca="1">IF(J55&lt;0.4,0.4,J55)</f>
        <v>0.68300000000000005</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307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71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2377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0.36</v>
      </c>
      <c r="D65" s="964" t="s">
        <v>743</v>
      </c>
      <c r="E65" s="950" t="s">
        <v>744</v>
      </c>
      <c r="F65" s="330">
        <f t="shared" ca="1" si="0"/>
        <v>1E-3</v>
      </c>
      <c r="I65" s="1462" t="s">
        <v>867</v>
      </c>
      <c r="J65" s="1463">
        <v>40</v>
      </c>
      <c r="K65" s="1463">
        <v>30</v>
      </c>
      <c r="L65" s="1463">
        <v>50</v>
      </c>
      <c r="M65" s="1465">
        <v>0.02</v>
      </c>
      <c r="O65" s="1418" t="s">
        <v>403</v>
      </c>
      <c r="P65" s="1419" t="s">
        <v>868</v>
      </c>
      <c r="Q65" s="1420">
        <f ca="1">C40+J29</f>
        <v>2377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v>
      </c>
      <c r="D67" s="963" t="s">
        <v>753</v>
      </c>
      <c r="E67" s="968"/>
      <c r="F67" s="969"/>
      <c r="O67" s="1428" t="s">
        <v>405</v>
      </c>
      <c r="P67" s="1419" t="s">
        <v>850</v>
      </c>
      <c r="Q67" s="1466">
        <f ca="1">L51</f>
        <v>2694</v>
      </c>
      <c r="R67" s="1420" t="s">
        <v>870</v>
      </c>
    </row>
    <row r="68" spans="1:18" s="1384" customFormat="1" ht="16.5" thickBot="1">
      <c r="A68" s="947" t="s">
        <v>395</v>
      </c>
      <c r="B68" s="948" t="s">
        <v>774</v>
      </c>
      <c r="C68" s="301">
        <f ca="1">ROUND(C67*(1-((1+F70)/(1+F68))^F69)/(F68-F70),0)</f>
        <v>-58</v>
      </c>
      <c r="D68" s="965" t="s">
        <v>758</v>
      </c>
      <c r="E68" s="950" t="s">
        <v>759</v>
      </c>
      <c r="F68" s="312">
        <f ca="1">F40</f>
        <v>5.5E-2</v>
      </c>
      <c r="O68" s="1428" t="s">
        <v>406</v>
      </c>
      <c r="P68" s="1467" t="s">
        <v>871</v>
      </c>
      <c r="Q68" s="1420">
        <f ca="1">ROUND(Q69-Q70*Q71,0)</f>
        <v>142</v>
      </c>
      <c r="R68" s="1420" t="s">
        <v>414</v>
      </c>
    </row>
    <row r="69" spans="1:18" s="1384" customFormat="1" ht="13.5" thickBot="1">
      <c r="A69" s="951"/>
      <c r="B69" s="952"/>
      <c r="C69" s="306"/>
      <c r="D69" s="970" t="s">
        <v>762</v>
      </c>
      <c r="E69" s="950" t="s">
        <v>763</v>
      </c>
      <c r="F69" s="333">
        <f ca="1">F41</f>
        <v>19</v>
      </c>
      <c r="O69" s="1428" t="s">
        <v>411</v>
      </c>
      <c r="P69" s="1467" t="s">
        <v>872</v>
      </c>
      <c r="Q69" s="1420">
        <f ca="1">C39</f>
        <v>169</v>
      </c>
      <c r="R69" s="1420" t="s">
        <v>818</v>
      </c>
    </row>
    <row r="70" spans="1:18" s="1384" customFormat="1" ht="13.5" thickBot="1">
      <c r="A70" s="954"/>
      <c r="B70" s="955"/>
      <c r="C70" s="310"/>
      <c r="D70" s="966"/>
      <c r="E70" s="950" t="s">
        <v>766</v>
      </c>
      <c r="F70" s="1054"/>
      <c r="O70" s="1428" t="s">
        <v>412</v>
      </c>
      <c r="P70" s="1467" t="s">
        <v>873</v>
      </c>
      <c r="Q70" s="1420">
        <f ca="1">C13</f>
        <v>356</v>
      </c>
      <c r="R70" s="1420" t="s">
        <v>818</v>
      </c>
    </row>
    <row r="71" spans="1:18" s="1384" customFormat="1" ht="13.5" thickBot="1">
      <c r="A71" s="971" t="s">
        <v>396</v>
      </c>
      <c r="B71" s="972" t="s">
        <v>776</v>
      </c>
      <c r="C71" s="336">
        <f ca="1">ROUND(C68*10000/F71,0)</f>
        <v>-771</v>
      </c>
      <c r="D71" s="973" t="s">
        <v>777</v>
      </c>
      <c r="E71" s="974" t="s">
        <v>778</v>
      </c>
      <c r="F71" s="339">
        <f ca="1">F43</f>
        <v>752.09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27</v>
      </c>
      <c r="D75" s="1384"/>
      <c r="E75" s="1384"/>
      <c r="F75" s="1384"/>
      <c r="K75" s="1402"/>
      <c r="L75" s="1384"/>
      <c r="O75" s="1418" t="s">
        <v>409</v>
      </c>
      <c r="P75" s="1419" t="s">
        <v>838</v>
      </c>
      <c r="Q75" s="1420">
        <f ca="1">Q65+Q66</f>
        <v>2377</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0.84</v>
      </c>
    </row>
    <row r="80" spans="1:18">
      <c r="B80" s="340" t="s">
        <v>800</v>
      </c>
      <c r="C80" s="274">
        <f ca="1">ROUND(C75/C39,3)</f>
        <v>0.16</v>
      </c>
    </row>
    <row r="81" spans="2:3">
      <c r="B81" s="270" t="s">
        <v>801</v>
      </c>
      <c r="C81" s="238"/>
    </row>
    <row r="82" spans="2:3">
      <c r="B82" s="273" t="s">
        <v>802</v>
      </c>
      <c r="C82" s="275">
        <f ca="1">1-C83</f>
        <v>0.85</v>
      </c>
    </row>
    <row r="83" spans="2:3">
      <c r="B83" s="273" t="s">
        <v>803</v>
      </c>
      <c r="C83" s="274">
        <f ca="1">ROUND(C13/C40,3)</f>
        <v>0.15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7" sqref="H47"/>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3364</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15"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15"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4" sqref="I3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2448</v>
      </c>
      <c r="C2" s="1872" t="s">
        <v>1651</v>
      </c>
      <c r="D2" s="1873" t="s">
        <v>1652</v>
      </c>
      <c r="E2" s="2607">
        <f>SUM(E6:E13)</f>
        <v>752.09</v>
      </c>
      <c r="F2" s="2707"/>
      <c r="G2" s="1489"/>
      <c r="H2" s="1489"/>
      <c r="I2" s="1489"/>
      <c r="J2" s="1489"/>
      <c r="K2" s="1489"/>
      <c r="L2" s="1489"/>
      <c r="M2" s="1489"/>
      <c r="N2" s="1489"/>
      <c r="O2" s="1489"/>
      <c r="P2" s="1489"/>
      <c r="Q2" s="1489"/>
      <c r="R2" s="1489"/>
      <c r="S2" s="1489"/>
    </row>
    <row r="3" spans="1:22" ht="15.75">
      <c r="A3" s="1870" t="s">
        <v>686</v>
      </c>
      <c r="B3" s="2601">
        <f ca="1">ROUND(B2*10000/E2,0)</f>
        <v>32549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2448</v>
      </c>
      <c r="C6" s="1872" t="s">
        <v>1651</v>
      </c>
      <c r="D6" s="2709"/>
      <c r="E6" s="2606">
        <f>IF(OR(A6=0,F6="否"),0,'数据-取费表'!K6+'数据-取费表'!S6)</f>
        <v>752.09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K101" sqref="K10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752.09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45112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85" zoomScaleNormal="70" zoomScaleSheetLayoutView="85" workbookViewId="0">
      <selection activeCell="L15" sqref="L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3422</v>
      </c>
      <c r="E1" s="3426" t="s">
        <v>3426</v>
      </c>
      <c r="F1" s="1879" t="s">
        <v>3425</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3526</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46877</v>
      </c>
      <c r="C3" s="354" t="s">
        <v>1768</v>
      </c>
      <c r="D3" s="353">
        <f>IF(D1="",'数据-汇总表'!E3,SUMIF('数据-汇总表'!$C19:$C33,D1,'数据-汇总表'!$E19:$E33))</f>
        <v>752.09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89" t="s">
        <v>3382</v>
      </c>
      <c r="F5" s="3707"/>
      <c r="G5" s="3790" t="s">
        <v>3383</v>
      </c>
      <c r="H5" s="3700"/>
      <c r="I5" s="3790" t="s">
        <v>3383</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45112</v>
      </c>
      <c r="D7" s="365">
        <v>100</v>
      </c>
      <c r="E7" s="366">
        <f>C7</f>
        <v>45112</v>
      </c>
      <c r="F7" s="367">
        <f>SUMIF(58:58,YEAR(E7)&amp;"-"&amp;MONTH(E7),59:59)</f>
        <v>100</v>
      </c>
      <c r="G7" s="366">
        <f>C7</f>
        <v>45112</v>
      </c>
      <c r="H7" s="365">
        <f>SUMIF(58:58,YEAR(G7)&amp;"-"&amp;MONTH(G7),59:59)</f>
        <v>100</v>
      </c>
      <c r="I7" s="366">
        <f>C7</f>
        <v>45112</v>
      </c>
      <c r="J7" s="365">
        <f>SUMIF(58:58,YEAR(I7)&amp;"-"&amp;MONTH(I7),59:59)</f>
        <v>100</v>
      </c>
      <c r="K7" s="560"/>
      <c r="L7" s="2717"/>
      <c r="M7" s="2718"/>
      <c r="N7" s="2718"/>
      <c r="O7" s="2718"/>
      <c r="P7" s="3701" t="s">
        <v>1680</v>
      </c>
      <c r="Q7" s="3703"/>
      <c r="R7" s="701" t="s">
        <v>14</v>
      </c>
      <c r="S7" s="702">
        <f t="shared" ref="S7:S15" si="0">F7</f>
        <v>100</v>
      </c>
      <c r="T7" s="701" t="s">
        <v>14</v>
      </c>
      <c r="U7" s="702">
        <f t="shared" ref="U7:U15" si="1">H7</f>
        <v>100</v>
      </c>
      <c r="V7" s="701" t="s">
        <v>14</v>
      </c>
      <c r="W7" s="702">
        <f t="shared" ref="W7:W15" si="2">J7</f>
        <v>100</v>
      </c>
      <c r="X7" s="703"/>
      <c r="Y7" s="3701" t="s">
        <v>1680</v>
      </c>
      <c r="Z7" s="3702"/>
      <c r="AA7" s="704">
        <f>D7/F7</f>
        <v>1</v>
      </c>
      <c r="AB7" s="704">
        <f>D7/H7</f>
        <v>1</v>
      </c>
      <c r="AC7" s="704">
        <f>D7/J7</f>
        <v>1</v>
      </c>
    </row>
    <row r="8" spans="1:29" s="108" customFormat="1" ht="15.75" thickBot="1">
      <c r="A8" s="362" t="s">
        <v>1681</v>
      </c>
      <c r="B8" s="363"/>
      <c r="C8" s="368" t="s">
        <v>3384</v>
      </c>
      <c r="D8" s="365">
        <v>100</v>
      </c>
      <c r="E8" s="368" t="s">
        <v>3384</v>
      </c>
      <c r="F8" s="367">
        <f>SUMIF(61:61,E8,62:62)-SUMIF(61:61,C8,62:62)+100</f>
        <v>100</v>
      </c>
      <c r="G8" s="368" t="s">
        <v>3384</v>
      </c>
      <c r="H8" s="365">
        <f>SUMIF(61:61,G8,62:62)-SUMIF(61:61,C8,62:62)+100</f>
        <v>100</v>
      </c>
      <c r="I8" s="368" t="s">
        <v>3384</v>
      </c>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t="s">
        <v>3386</v>
      </c>
      <c r="D16" s="399"/>
      <c r="E16" s="398" t="s">
        <v>3386</v>
      </c>
      <c r="F16" s="400"/>
      <c r="G16" s="398" t="s">
        <v>3386</v>
      </c>
      <c r="H16" s="401"/>
      <c r="I16" s="398" t="s">
        <v>3386</v>
      </c>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t="s">
        <v>3385</v>
      </c>
      <c r="D18" s="401"/>
      <c r="E18" s="1901" t="s">
        <v>3385</v>
      </c>
      <c r="F18" s="404"/>
      <c r="G18" s="1901" t="s">
        <v>3385</v>
      </c>
      <c r="H18" s="399"/>
      <c r="I18" s="1901" t="s">
        <v>3385</v>
      </c>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t="s">
        <v>3385</v>
      </c>
      <c r="D20" s="399"/>
      <c r="E20" s="398" t="s">
        <v>3385</v>
      </c>
      <c r="F20" s="400"/>
      <c r="G20" s="398" t="s">
        <v>3385</v>
      </c>
      <c r="H20" s="399"/>
      <c r="I20" s="398" t="s">
        <v>3385</v>
      </c>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t="s">
        <v>3387</v>
      </c>
      <c r="D22" s="399"/>
      <c r="E22" s="1901" t="s">
        <v>3387</v>
      </c>
      <c r="F22" s="400"/>
      <c r="G22" s="1901" t="s">
        <v>3387</v>
      </c>
      <c r="H22" s="399"/>
      <c r="I22" s="1901" t="s">
        <v>3387</v>
      </c>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t="s">
        <v>3385</v>
      </c>
      <c r="D24" s="399"/>
      <c r="E24" s="398" t="s">
        <v>3385</v>
      </c>
      <c r="F24" s="400"/>
      <c r="G24" s="398" t="s">
        <v>3385</v>
      </c>
      <c r="H24" s="399"/>
      <c r="I24" s="398" t="s">
        <v>3385</v>
      </c>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t="s">
        <v>3442</v>
      </c>
      <c r="D25" s="386">
        <v>100</v>
      </c>
      <c r="E25" s="565" t="s">
        <v>3443</v>
      </c>
      <c r="F25" s="412">
        <f>SUMIF(86:86,E25,87:87)-SUMIF(86:86,C25,87:87)+100</f>
        <v>105</v>
      </c>
      <c r="G25" s="565" t="s">
        <v>3442</v>
      </c>
      <c r="H25" s="386">
        <f>SUMIF(86:86,G25,87:87)-SUMIF(86:86,C25,87:87)+100</f>
        <v>100</v>
      </c>
      <c r="I25" s="565" t="s">
        <v>3442</v>
      </c>
      <c r="J25" s="386">
        <f>SUMIF(86:86,I25,87:87)-SUMIF(86:86,C25,87:87)+100</f>
        <v>100</v>
      </c>
      <c r="K25" s="561">
        <v>5</v>
      </c>
      <c r="L25" s="2722"/>
      <c r="M25" s="2716"/>
      <c r="N25" s="2716"/>
      <c r="O25" s="2716"/>
      <c r="P25" s="3675"/>
      <c r="Q25" s="1352" t="str">
        <f t="shared" ref="Q25:Q46" si="11">B25</f>
        <v>临街状况</v>
      </c>
      <c r="R25" s="705" t="s">
        <v>14</v>
      </c>
      <c r="S25" s="706">
        <f>F25</f>
        <v>105</v>
      </c>
      <c r="T25" s="705" t="s">
        <v>14</v>
      </c>
      <c r="U25" s="706">
        <f>H25</f>
        <v>100</v>
      </c>
      <c r="V25" s="705" t="s">
        <v>14</v>
      </c>
      <c r="W25" s="706">
        <f>J25</f>
        <v>100</v>
      </c>
      <c r="X25" s="1355"/>
      <c r="Y25" s="3668"/>
      <c r="Z25" s="1356" t="str">
        <f>Q25</f>
        <v>临街状况</v>
      </c>
      <c r="AA25" s="1353">
        <f t="shared" si="3"/>
        <v>0.95238095238095233</v>
      </c>
      <c r="AB25" s="1353">
        <f t="shared" si="4"/>
        <v>1</v>
      </c>
      <c r="AC25" s="1353">
        <f t="shared" si="5"/>
        <v>1</v>
      </c>
    </row>
    <row r="26" spans="1:29" ht="15">
      <c r="A26" s="379"/>
      <c r="B26" s="1133" t="s">
        <v>1781</v>
      </c>
      <c r="C26" s="3792" t="s">
        <v>3392</v>
      </c>
      <c r="D26" s="386">
        <v>100</v>
      </c>
      <c r="E26" s="3792" t="s">
        <v>3391</v>
      </c>
      <c r="F26" s="412">
        <f>SUMIF(88:88,E26,89:89)-SUMIF(88:88,C26,89:89)+100</f>
        <v>102</v>
      </c>
      <c r="G26" s="3792" t="s">
        <v>3385</v>
      </c>
      <c r="H26" s="386">
        <f>SUMIF(88:88,G26,89:89)-SUMIF(88:88,C26,89:89)+100</f>
        <v>102</v>
      </c>
      <c r="I26" s="3792" t="s">
        <v>3385</v>
      </c>
      <c r="J26" s="386">
        <f>SUMIF(88:88,I26,89:89)-SUMIF(88:88,C26,89:89)+100</f>
        <v>102</v>
      </c>
      <c r="K26" s="562"/>
      <c r="L26" s="2722"/>
      <c r="M26" s="2716"/>
      <c r="N26" s="2716"/>
      <c r="O26" s="2716"/>
      <c r="P26" s="3675"/>
      <c r="Q26" s="1352" t="str">
        <f t="shared" si="11"/>
        <v>平面位置/可视性</v>
      </c>
      <c r="R26" s="705" t="s">
        <v>14</v>
      </c>
      <c r="S26" s="706">
        <f>F26</f>
        <v>102</v>
      </c>
      <c r="T26" s="705" t="s">
        <v>14</v>
      </c>
      <c r="U26" s="706">
        <f>H26</f>
        <v>102</v>
      </c>
      <c r="V26" s="705" t="s">
        <v>14</v>
      </c>
      <c r="W26" s="706">
        <f>J26</f>
        <v>102</v>
      </c>
      <c r="X26" s="1355"/>
      <c r="Y26" s="3668"/>
      <c r="Z26" s="1356" t="str">
        <f>Q26</f>
        <v>平面位置/可视性</v>
      </c>
      <c r="AA26" s="1353">
        <f t="shared" si="3"/>
        <v>0.98039215686274506</v>
      </c>
      <c r="AB26" s="1353">
        <f t="shared" si="4"/>
        <v>0.98039215686274506</v>
      </c>
      <c r="AC26" s="1353">
        <f t="shared" si="5"/>
        <v>0.98039215686274506</v>
      </c>
    </row>
    <row r="27" spans="1:29" s="108" customFormat="1" ht="15">
      <c r="A27" s="382"/>
      <c r="B27" s="402" t="s">
        <v>1782</v>
      </c>
      <c r="C27" s="1956" t="s">
        <v>3396</v>
      </c>
      <c r="D27" s="413">
        <v>100</v>
      </c>
      <c r="E27" s="1956" t="s">
        <v>3398</v>
      </c>
      <c r="F27" s="415">
        <f>SUMIF(90:90,E27,91:91)-SUMIF(90:90,C27,91:91)+100</f>
        <v>103</v>
      </c>
      <c r="G27" s="1956" t="s">
        <v>3398</v>
      </c>
      <c r="H27" s="413">
        <f>SUMIF(90:90,G27,91:91)-SUMIF(90:90,C27,91:91)+100</f>
        <v>103</v>
      </c>
      <c r="I27" s="1956" t="s">
        <v>3398</v>
      </c>
      <c r="J27" s="413">
        <f>SUMIF(90:90,I27,91:91)-SUMIF(90:90,C27,91:91)+100</f>
        <v>103</v>
      </c>
      <c r="K27" s="561">
        <v>3</v>
      </c>
      <c r="L27" s="2717"/>
      <c r="M27" s="2718"/>
      <c r="N27" s="2718"/>
      <c r="O27" s="2718"/>
      <c r="P27" s="3675"/>
      <c r="Q27" s="1343" t="str">
        <f t="shared" si="11"/>
        <v>人流量</v>
      </c>
      <c r="R27" s="701" t="s">
        <v>14</v>
      </c>
      <c r="S27" s="702">
        <f>F27</f>
        <v>103</v>
      </c>
      <c r="T27" s="701" t="s">
        <v>14</v>
      </c>
      <c r="U27" s="702">
        <f>H27</f>
        <v>103</v>
      </c>
      <c r="V27" s="701" t="s">
        <v>14</v>
      </c>
      <c r="W27" s="702">
        <f>J27</f>
        <v>103</v>
      </c>
      <c r="X27" s="703"/>
      <c r="Y27" s="3668"/>
      <c r="Z27" s="52" t="str">
        <f>Q27</f>
        <v>人流量</v>
      </c>
      <c r="AA27" s="1353">
        <f>D27/F27</f>
        <v>0.970873786407767</v>
      </c>
      <c r="AB27" s="1353">
        <f>D27/H27</f>
        <v>0.970873786407767</v>
      </c>
      <c r="AC27" s="1353">
        <f>D27/J27</f>
        <v>0.970873786407767</v>
      </c>
    </row>
    <row r="28" spans="1:29" ht="15.75" thickBot="1">
      <c r="A28" s="379"/>
      <c r="B28" s="375" t="s">
        <v>1783</v>
      </c>
      <c r="C28" s="565" t="s">
        <v>3402</v>
      </c>
      <c r="D28" s="386">
        <v>100</v>
      </c>
      <c r="E28" s="565" t="s">
        <v>3403</v>
      </c>
      <c r="F28" s="412">
        <f>SUMIF(92:92,E28,93:93)-SUMIF(92:92,C28,93:93)+100</f>
        <v>110</v>
      </c>
      <c r="G28" s="565" t="s">
        <v>3403</v>
      </c>
      <c r="H28" s="386">
        <f>SUMIF(92:92,G28,93:93)-SUMIF(92:92,C28,93:93)+100</f>
        <v>110</v>
      </c>
      <c r="I28" s="565" t="s">
        <v>3403</v>
      </c>
      <c r="J28" s="386">
        <f>SUMIF(92:92,I28,93:93)-SUMIF(92:92,C28,93:93)+100</f>
        <v>110</v>
      </c>
      <c r="K28" s="562"/>
      <c r="L28" s="2722"/>
      <c r="M28" s="2716"/>
      <c r="N28" s="2716"/>
      <c r="O28" s="2716"/>
      <c r="P28" s="3675"/>
      <c r="Q28" s="1352" t="str">
        <f t="shared" si="11"/>
        <v>楼层</v>
      </c>
      <c r="R28" s="705" t="s">
        <v>14</v>
      </c>
      <c r="S28" s="706">
        <f t="shared" ref="S28:S46" si="12">F28</f>
        <v>110</v>
      </c>
      <c r="T28" s="705" t="s">
        <v>14</v>
      </c>
      <c r="U28" s="706">
        <f t="shared" ref="U28:U46" si="13">H28</f>
        <v>110</v>
      </c>
      <c r="V28" s="705" t="s">
        <v>14</v>
      </c>
      <c r="W28" s="706">
        <f t="shared" ref="W28:W46" si="14">J28</f>
        <v>110</v>
      </c>
      <c r="X28" s="1355"/>
      <c r="Y28" s="3668"/>
      <c r="Z28" s="1356" t="str">
        <f t="shared" ref="Z28:Z46" si="15">Q28</f>
        <v>楼层</v>
      </c>
      <c r="AA28" s="1353">
        <f t="shared" si="3"/>
        <v>0.90909090909090906</v>
      </c>
      <c r="AB28" s="1353">
        <f t="shared" si="4"/>
        <v>0.90909090909090906</v>
      </c>
      <c r="AC28" s="1353">
        <f t="shared" si="5"/>
        <v>0.90909090909090906</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t="s">
        <v>3411</v>
      </c>
      <c r="D32" s="418">
        <v>100</v>
      </c>
      <c r="E32" s="1910" t="s">
        <v>3412</v>
      </c>
      <c r="F32" s="412">
        <f>SUMIF(100:100,E32,101:101)-SUMIF(100:100,C32,101:101)+100</f>
        <v>98</v>
      </c>
      <c r="G32" s="1910" t="s">
        <v>3412</v>
      </c>
      <c r="H32" s="386">
        <f>SUMIF(100:100,G32,101:101)-SUMIF(100:100,C32,101:101)+100</f>
        <v>98</v>
      </c>
      <c r="I32" s="1910" t="s">
        <v>3412</v>
      </c>
      <c r="J32" s="418">
        <f>SUMIF(100:100,I32,101:101)-SUMIF(100:100,C32,101:101)+100</f>
        <v>98</v>
      </c>
      <c r="K32" s="561">
        <v>2</v>
      </c>
      <c r="L32" s="2722"/>
      <c r="M32" s="2716"/>
      <c r="N32" s="2716"/>
      <c r="O32" s="2716"/>
      <c r="P32" s="3669" t="s">
        <v>1696</v>
      </c>
      <c r="Q32" s="1352" t="str">
        <f t="shared" si="11"/>
        <v>商业类型</v>
      </c>
      <c r="R32" s="705" t="s">
        <v>14</v>
      </c>
      <c r="S32" s="706">
        <f t="shared" si="12"/>
        <v>98</v>
      </c>
      <c r="T32" s="705" t="s">
        <v>14</v>
      </c>
      <c r="U32" s="706">
        <f t="shared" si="13"/>
        <v>98</v>
      </c>
      <c r="V32" s="705" t="s">
        <v>14</v>
      </c>
      <c r="W32" s="706">
        <f t="shared" si="14"/>
        <v>98</v>
      </c>
      <c r="X32" s="1355"/>
      <c r="Y32" s="3672" t="s">
        <v>1696</v>
      </c>
      <c r="Z32" s="1356" t="str">
        <f t="shared" si="15"/>
        <v>商业类型</v>
      </c>
      <c r="AA32" s="1353">
        <f t="shared" si="3"/>
        <v>1.0204081632653061</v>
      </c>
      <c r="AB32" s="1353">
        <f t="shared" si="4"/>
        <v>1.0204081632653061</v>
      </c>
      <c r="AC32" s="1353">
        <f t="shared" si="5"/>
        <v>1.0204081632653061</v>
      </c>
    </row>
    <row r="33" spans="1:29" s="422" customFormat="1" ht="15">
      <c r="A33" s="419"/>
      <c r="B33" s="375" t="s">
        <v>1697</v>
      </c>
      <c r="C33" s="420">
        <f>'数据-汇总表'!F19</f>
        <v>752.09</v>
      </c>
      <c r="D33" s="127">
        <v>100</v>
      </c>
      <c r="E33" s="381">
        <v>220.34</v>
      </c>
      <c r="F33" s="376">
        <f>LOOKUP(E33,103:103,104:104)-LOOKUP(C33,103:103,104:104)+100</f>
        <v>102</v>
      </c>
      <c r="G33" s="380">
        <v>54.31</v>
      </c>
      <c r="H33" s="127">
        <f>LOOKUP(G33,103:103,104:104)-LOOKUP(C33,103:103,104:104)+100</f>
        <v>102</v>
      </c>
      <c r="I33" s="380">
        <v>53.36</v>
      </c>
      <c r="J33" s="127">
        <f>LOOKUP(I33,103:103,104:104)-LOOKUP(C33,103:103,104:104)+100</f>
        <v>102</v>
      </c>
      <c r="K33" s="562"/>
      <c r="L33" s="2721"/>
      <c r="M33" s="2723"/>
      <c r="N33" s="2723"/>
      <c r="O33" s="2723"/>
      <c r="P33" s="3670"/>
      <c r="Q33" s="707" t="str">
        <f t="shared" si="11"/>
        <v>项目建筑规模</v>
      </c>
      <c r="R33" s="708" t="s">
        <v>14</v>
      </c>
      <c r="S33" s="709">
        <f t="shared" si="12"/>
        <v>102</v>
      </c>
      <c r="T33" s="708" t="s">
        <v>14</v>
      </c>
      <c r="U33" s="709">
        <f t="shared" si="13"/>
        <v>102</v>
      </c>
      <c r="V33" s="708" t="s">
        <v>14</v>
      </c>
      <c r="W33" s="709">
        <f t="shared" si="14"/>
        <v>102</v>
      </c>
      <c r="X33" s="710"/>
      <c r="Y33" s="3672"/>
      <c r="Z33" s="711" t="str">
        <f t="shared" si="15"/>
        <v>项目建筑规模</v>
      </c>
      <c r="AA33" s="1353">
        <f t="shared" si="3"/>
        <v>0.98039215686274506</v>
      </c>
      <c r="AB33" s="1353">
        <f t="shared" si="4"/>
        <v>0.98039215686274506</v>
      </c>
      <c r="AC33" s="1353">
        <f t="shared" si="5"/>
        <v>0.98039215686274506</v>
      </c>
    </row>
    <row r="34" spans="1:29" ht="15">
      <c r="A34" s="423"/>
      <c r="B34" s="375" t="s">
        <v>1698</v>
      </c>
      <c r="C34" s="1912" t="s">
        <v>3413</v>
      </c>
      <c r="D34" s="386">
        <v>100</v>
      </c>
      <c r="E34" s="1912" t="s">
        <v>3413</v>
      </c>
      <c r="F34" s="412">
        <f>SUMIF(105:105,E34,106:106)-SUMIF(105:105,C34,106:106)+100</f>
        <v>100</v>
      </c>
      <c r="G34" s="1912" t="s">
        <v>3413</v>
      </c>
      <c r="H34" s="386">
        <f>SUMIF(105:105,G34,106:106)-SUMIF(105:105,C34,106:106)+100</f>
        <v>100</v>
      </c>
      <c r="I34" s="1912" t="s">
        <v>3413</v>
      </c>
      <c r="J34" s="386">
        <f>SUMIF(105:105,I34,106:106)-SUMIF(105:105,C34,106:106)+100</f>
        <v>100</v>
      </c>
      <c r="K34" s="561">
        <v>2</v>
      </c>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t="s">
        <v>3414</v>
      </c>
      <c r="D35" s="386">
        <v>100</v>
      </c>
      <c r="E35" s="1906" t="s">
        <v>3414</v>
      </c>
      <c r="F35" s="412">
        <f>SUMIF(107:107,E35,108:108)-SUMIF(107:107,C35,108:108)+100</f>
        <v>100</v>
      </c>
      <c r="G35" s="1906" t="s">
        <v>3414</v>
      </c>
      <c r="H35" s="386">
        <f>SUMIF(107:107,G35,108:108)-SUMIF(107:107,C35,108:108)+100</f>
        <v>100</v>
      </c>
      <c r="I35" s="1906" t="s">
        <v>3414</v>
      </c>
      <c r="J35" s="386">
        <f>SUMIF(107:107,I35,108:108)-SUMIF(107:107,C35,108:108)+100</f>
        <v>100</v>
      </c>
      <c r="K35" s="561">
        <v>1</v>
      </c>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f>'数据-取费表'!N6</f>
        <v>0.79</v>
      </c>
      <c r="D36" s="386">
        <v>100</v>
      </c>
      <c r="E36" s="425">
        <v>0.67</v>
      </c>
      <c r="F36" s="412">
        <f>LOOKUP(E36,110:110,111:111)-LOOKUP(C36,110:110,111:111)+100</f>
        <v>98</v>
      </c>
      <c r="G36" s="425">
        <v>0.87</v>
      </c>
      <c r="H36" s="412">
        <f>LOOKUP(G36,110:110,111:111)-LOOKUP(C36,110:110,111:111)+100</f>
        <v>102</v>
      </c>
      <c r="I36" s="425">
        <v>0.87</v>
      </c>
      <c r="J36" s="386">
        <f>LOOKUP(I36,110:110,111:111)-LOOKUP(C36,110:110,111:111)+100</f>
        <v>102</v>
      </c>
      <c r="K36" s="561">
        <v>2</v>
      </c>
      <c r="L36" s="2722"/>
      <c r="M36" s="2716"/>
      <c r="N36" s="2716"/>
      <c r="O36" s="2716"/>
      <c r="P36" s="3670"/>
      <c r="Q36" s="1352" t="str">
        <f t="shared" si="11"/>
        <v>成新度</v>
      </c>
      <c r="R36" s="705" t="s">
        <v>14</v>
      </c>
      <c r="S36" s="706">
        <f t="shared" si="12"/>
        <v>98</v>
      </c>
      <c r="T36" s="705" t="s">
        <v>14</v>
      </c>
      <c r="U36" s="706">
        <f t="shared" si="13"/>
        <v>102</v>
      </c>
      <c r="V36" s="705" t="s">
        <v>14</v>
      </c>
      <c r="W36" s="706">
        <f t="shared" si="14"/>
        <v>102</v>
      </c>
      <c r="X36" s="1355"/>
      <c r="Y36" s="3672"/>
      <c r="Z36" s="1356" t="str">
        <f t="shared" si="15"/>
        <v>成新度</v>
      </c>
      <c r="AA36" s="1353">
        <f t="shared" si="3"/>
        <v>1.0204081632653061</v>
      </c>
      <c r="AB36" s="1353">
        <f t="shared" si="4"/>
        <v>0.98039215686274506</v>
      </c>
      <c r="AC36" s="1353">
        <f t="shared" si="5"/>
        <v>0.98039215686274506</v>
      </c>
    </row>
    <row r="37" spans="1:29" s="108" customFormat="1" ht="15" hidden="1">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hidden="1">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hidden="1">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75" thickBot="1">
      <c r="A42" s="423"/>
      <c r="B42" s="375" t="s">
        <v>1792</v>
      </c>
      <c r="C42" s="1906" t="s">
        <v>3415</v>
      </c>
      <c r="D42" s="386">
        <v>100</v>
      </c>
      <c r="E42" s="1906" t="s">
        <v>3415</v>
      </c>
      <c r="F42" s="412">
        <f>SUMIF(122:122,E42,123:123)-SUMIF(122:122,C42,123:123)+100</f>
        <v>100</v>
      </c>
      <c r="G42" s="1906" t="s">
        <v>3415</v>
      </c>
      <c r="H42" s="386">
        <f>SUMIF(122:122,G42,123:123)-SUMIF(122:122,C42,123:123)+100</f>
        <v>100</v>
      </c>
      <c r="I42" s="1906" t="s">
        <v>3415</v>
      </c>
      <c r="J42" s="386">
        <f>SUMIF(122:122,I42,123:123)-SUMIF(122:122,C42,123:123)+100</f>
        <v>100</v>
      </c>
      <c r="K42" s="561">
        <v>2</v>
      </c>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75" hidden="1" thickBot="1">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v>49923</v>
      </c>
      <c r="F47" s="1157"/>
      <c r="G47" s="1158">
        <v>58123</v>
      </c>
      <c r="H47" s="1159"/>
      <c r="I47" s="1156">
        <v>58096</v>
      </c>
      <c r="J47" s="1159"/>
      <c r="K47" s="714"/>
      <c r="L47" s="2724"/>
      <c r="M47" s="2725"/>
      <c r="N47" s="2716"/>
      <c r="O47" s="2725"/>
      <c r="P47" s="3665" t="str">
        <f>A47</f>
        <v>成交单价（元/平方米）</v>
      </c>
      <c r="Q47" s="3665"/>
      <c r="R47" s="3696">
        <f>E47</f>
        <v>49923</v>
      </c>
      <c r="S47" s="3696"/>
      <c r="T47" s="3696">
        <f>G47</f>
        <v>58123</v>
      </c>
      <c r="U47" s="3696"/>
      <c r="V47" s="3696">
        <f>I47</f>
        <v>58096</v>
      </c>
      <c r="W47" s="3696"/>
      <c r="X47" s="690"/>
      <c r="Y47" s="712"/>
      <c r="Z47" s="690"/>
      <c r="AA47" s="690"/>
      <c r="AB47" s="690"/>
      <c r="AC47" s="690"/>
    </row>
    <row r="48" spans="1:29" ht="15.75" thickBot="1">
      <c r="A48" s="437" t="s">
        <v>1793</v>
      </c>
      <c r="B48" s="438"/>
      <c r="C48" s="1160">
        <f>R49</f>
        <v>46877</v>
      </c>
      <c r="D48" s="2317" t="s">
        <v>2138</v>
      </c>
      <c r="E48" s="1161">
        <f>R48</f>
        <v>41998</v>
      </c>
      <c r="F48" s="2318"/>
      <c r="G48" s="1160">
        <f>T48</f>
        <v>49328</v>
      </c>
      <c r="H48" s="2318"/>
      <c r="I48" s="1161">
        <f>V48</f>
        <v>49305</v>
      </c>
      <c r="J48" s="2318"/>
      <c r="K48" s="2320">
        <f>F48+H48+J48</f>
        <v>0</v>
      </c>
      <c r="L48" s="2724"/>
      <c r="M48" s="2725"/>
      <c r="N48" s="2716"/>
      <c r="O48" s="2725"/>
      <c r="P48" s="3665" t="str">
        <f>A48</f>
        <v>比较价值（元/平方米）</v>
      </c>
      <c r="Q48" s="3665"/>
      <c r="R48" s="3666">
        <f>IF(F1="售价",ROUND(PRODUCT(R47,AA7:AA46),0),ROUND(PRODUCT(R47,AA7:AA46),1))</f>
        <v>41998</v>
      </c>
      <c r="S48" s="3666"/>
      <c r="T48" s="3666">
        <f>IF(F1="售价",ROUND(PRODUCT(T47,AB7:AB46),0),ROUND(PRODUCT(T47,AB7:AB46),1))</f>
        <v>49328</v>
      </c>
      <c r="U48" s="3666"/>
      <c r="V48" s="3666">
        <f>IF(F1="售价",ROUND(PRODUCT(V47,AC7:AC46),0),ROUND(PRODUCT(V47,AC7:AC46),1))</f>
        <v>49305</v>
      </c>
      <c r="W48" s="3666"/>
      <c r="X48" s="690"/>
      <c r="Y48" s="690"/>
      <c r="Z48" s="690"/>
      <c r="AA48" s="690"/>
      <c r="AB48" s="690"/>
      <c r="AC48" s="690"/>
    </row>
    <row r="49" spans="1:29" ht="15.75" thickBot="1">
      <c r="A49" s="441" t="s">
        <v>1794</v>
      </c>
      <c r="B49" s="442"/>
      <c r="C49" s="1163">
        <f>R49</f>
        <v>46877</v>
      </c>
      <c r="D49" s="1163"/>
      <c r="E49" s="1163"/>
      <c r="F49" s="1163"/>
      <c r="G49" s="1163"/>
      <c r="H49" s="1163"/>
      <c r="I49" s="1163"/>
      <c r="J49" s="1163"/>
      <c r="K49" s="715"/>
      <c r="L49" s="2724"/>
      <c r="M49" s="2725"/>
      <c r="N49" s="2716"/>
      <c r="O49" s="2725"/>
      <c r="P49" s="3662" t="str">
        <f>A49</f>
        <v>估价对象XX用房的比较价值（楼面单价，元/平方米）</v>
      </c>
      <c r="Q49" s="3663"/>
      <c r="R49" s="3664">
        <f>IF(F1="售价",ROUND(IF(D48="简单平均",AVERAGE(R48:V48),R48*F48+T48*H48+V48*J48),0),ROUND(IF(D48="简单平均",AVERAGE(R48:V48),R48*F48+T48*H48+V48*J48),1))</f>
        <v>46877</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0.18869946187913711</v>
      </c>
      <c r="F52" s="449" t="str">
        <f>IF(OR(E52&gt;=0.3,E52&lt;=-0.3),"超过30%","")</f>
        <v/>
      </c>
      <c r="G52" s="448">
        <f>IF(G47&lt;G48,G48/G47-1,G47/G48-1)</f>
        <v>0.17829630230295157</v>
      </c>
      <c r="H52" s="449" t="str">
        <f>IF(OR(G52&gt;=0.3,G52&lt;=-0.3),"超过30%","")</f>
        <v/>
      </c>
      <c r="I52" s="448">
        <f>IF(I47&lt;I48,I48/I47-1,I47/I48-1)</f>
        <v>0.17829834702362835</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0.17453212057717038</v>
      </c>
      <c r="F53" s="449" t="str">
        <f>IF(OR(E53&gt;=0.2,E53&lt;=-0.2),"超过20%","")</f>
        <v/>
      </c>
      <c r="G53" s="448">
        <f>IF(G48&lt;I48,I48/G48-1,G48/I48-1)</f>
        <v>4.664841293986477E-4</v>
      </c>
      <c r="H53" s="449" t="str">
        <f>IF(OR(G53&gt;=0.2,G53&lt;=-0.2),"超过20%","")</f>
        <v/>
      </c>
      <c r="I53" s="448">
        <f>IF(I48&lt;E48,E48/I48-1,I48/E48-1)</f>
        <v>0.17398447545121187</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0.16425294954229508</v>
      </c>
      <c r="F54" s="449" t="str">
        <f>IF(OR(E54&gt;=0.3,E54&lt;=-0.3),"超过30%","")</f>
        <v/>
      </c>
      <c r="G54" s="448">
        <f>IF(G47&lt;I47,I47/G47-1,G47/I47-1)</f>
        <v>4.647480033048712E-4</v>
      </c>
      <c r="H54" s="449" t="str">
        <f>IF(OR(G54&gt;=0.3,G54&lt;=-0.3),"超过30%","")</f>
        <v/>
      </c>
      <c r="I54" s="448">
        <f>IF(I47&lt;E47,E47/I47-1,I47/E47-1)</f>
        <v>0.16371211665965579</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98</v>
      </c>
      <c r="E77" s="493">
        <f>D77-$K15</f>
        <v>96</v>
      </c>
      <c r="F77" s="493">
        <f>E77-$K15</f>
        <v>94</v>
      </c>
      <c r="G77" s="493">
        <f>F77-$K15</f>
        <v>92</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791" t="s">
        <v>3444</v>
      </c>
      <c r="D86" s="3791" t="s">
        <v>3445</v>
      </c>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791" t="s">
        <v>3388</v>
      </c>
      <c r="D88" s="3791" t="s">
        <v>3389</v>
      </c>
      <c r="E88" s="3791" t="s">
        <v>3390</v>
      </c>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102</v>
      </c>
      <c r="D89" s="485">
        <v>100</v>
      </c>
      <c r="E89" s="485">
        <v>98</v>
      </c>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791" t="s">
        <v>3395</v>
      </c>
      <c r="D90" s="3791" t="s">
        <v>3393</v>
      </c>
      <c r="E90" s="3791" t="s">
        <v>3389</v>
      </c>
      <c r="F90" s="3791" t="s">
        <v>3394</v>
      </c>
      <c r="G90" s="3791" t="s">
        <v>3397</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3399</v>
      </c>
      <c r="D92" s="503" t="s">
        <v>3400</v>
      </c>
      <c r="E92" s="503" t="s">
        <v>3401</v>
      </c>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80</v>
      </c>
      <c r="E93" s="485">
        <f>AVERAGE(C93:D93)</f>
        <v>90</v>
      </c>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793" t="s">
        <v>3404</v>
      </c>
      <c r="D100" s="3793" t="s">
        <v>3405</v>
      </c>
      <c r="E100" s="3793" t="s">
        <v>3406</v>
      </c>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0(含)-500</v>
      </c>
      <c r="D102" s="527" t="str">
        <f t="shared" ref="D102:L102" si="23">D103&amp;"(含)"&amp;"-"&amp;E103</f>
        <v>500(含)-1000</v>
      </c>
      <c r="E102" s="527" t="str">
        <f t="shared" si="23"/>
        <v>1000(含)-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500</v>
      </c>
      <c r="E103" s="544">
        <v>1000</v>
      </c>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98</v>
      </c>
      <c r="E104" s="509">
        <v>96</v>
      </c>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791" t="s">
        <v>3407</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791" t="s">
        <v>3408</v>
      </c>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99</v>
      </c>
      <c r="E108" s="493">
        <f t="shared" si="25"/>
        <v>98</v>
      </c>
      <c r="F108" s="493">
        <f t="shared" si="25"/>
        <v>97</v>
      </c>
      <c r="G108" s="493">
        <f t="shared" si="25"/>
        <v>96</v>
      </c>
      <c r="H108" s="493">
        <f t="shared" si="25"/>
        <v>95</v>
      </c>
      <c r="I108" s="493">
        <f t="shared" si="25"/>
        <v>94</v>
      </c>
      <c r="J108" s="493">
        <f t="shared" si="25"/>
        <v>93</v>
      </c>
      <c r="K108" s="493">
        <f t="shared" si="25"/>
        <v>92</v>
      </c>
      <c r="L108" s="493">
        <f t="shared" si="25"/>
        <v>91</v>
      </c>
      <c r="M108" s="494">
        <f t="shared" si="25"/>
        <v>90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791" t="s">
        <v>3409</v>
      </c>
      <c r="D122" s="3791" t="s">
        <v>3410</v>
      </c>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disablePrompts="1"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752.09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45112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O36" sqref="O3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752.09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45112</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估价对象为北京市房地产，为所有。根据《国有土地使用证》[]，估价对象（分摊）出让国有建设用地使用权面积为0平方米，建筑面积为752.09平方米。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估价对象为北京市房地产,属开发建设的，该项目尚在开发建设中。根据《国有土地使用证》[]，估价对象（分摊）出让国有建设用地使用权面积为0平方米，规划建筑面积为752.09平方米。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45112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O41" sqref="O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45112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45112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142</v>
      </c>
      <c r="G10" s="414"/>
      <c r="H10" s="127">
        <f>ROUND(100/'数据-取费表'!G16,0)</f>
        <v>142</v>
      </c>
      <c r="I10" s="414"/>
      <c r="J10" s="127">
        <f>ROUND(100/'数据-取费表'!G16,0)</f>
        <v>142</v>
      </c>
      <c r="K10" s="620"/>
      <c r="L10" s="2719"/>
      <c r="M10" s="2720"/>
      <c r="N10" s="2720"/>
      <c r="O10" s="2773"/>
      <c r="P10" s="3665"/>
      <c r="Q10" s="1343" t="str">
        <f t="shared" si="6"/>
        <v>土地使用年限（年）</v>
      </c>
      <c r="R10" s="701" t="s">
        <v>14</v>
      </c>
      <c r="S10" s="702">
        <f t="shared" si="0"/>
        <v>142</v>
      </c>
      <c r="T10" s="701" t="s">
        <v>14</v>
      </c>
      <c r="U10" s="702">
        <f t="shared" si="1"/>
        <v>142</v>
      </c>
      <c r="V10" s="701" t="s">
        <v>14</v>
      </c>
      <c r="W10" s="702">
        <f t="shared" si="2"/>
        <v>142</v>
      </c>
      <c r="X10" s="703"/>
      <c r="Y10" s="3540"/>
      <c r="Z10" s="52" t="str">
        <f t="shared" si="7"/>
        <v>土地使用年限（年）</v>
      </c>
      <c r="AA10" s="704">
        <f t="shared" si="3"/>
        <v>0.70422535211267601</v>
      </c>
      <c r="AB10" s="704">
        <f t="shared" si="4"/>
        <v>0.70422535211267601</v>
      </c>
      <c r="AC10" s="704">
        <f t="shared" si="5"/>
        <v>0.70422535211267601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752.09</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六级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六级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六级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六级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752.09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O37" sqref="O3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45112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142</v>
      </c>
      <c r="G10" s="383"/>
      <c r="H10" s="127">
        <f>ROUND(100/'数据-取费表'!G16,0)</f>
        <v>142</v>
      </c>
      <c r="I10" s="383"/>
      <c r="J10" s="127">
        <f>ROUND(100/'数据-取费表'!G16,0)</f>
        <v>142</v>
      </c>
      <c r="K10" s="620"/>
      <c r="L10" s="2719"/>
      <c r="M10" s="2720"/>
      <c r="N10" s="2720"/>
      <c r="O10" s="2773"/>
      <c r="P10" s="3665"/>
      <c r="Q10" s="1343" t="str">
        <f t="shared" si="6"/>
        <v>土地使用年限（年）</v>
      </c>
      <c r="R10" s="701" t="s">
        <v>14</v>
      </c>
      <c r="S10" s="702">
        <f t="shared" si="0"/>
        <v>142</v>
      </c>
      <c r="T10" s="701" t="s">
        <v>14</v>
      </c>
      <c r="U10" s="702">
        <f t="shared" si="1"/>
        <v>142</v>
      </c>
      <c r="V10" s="701" t="s">
        <v>14</v>
      </c>
      <c r="W10" s="702">
        <f t="shared" si="2"/>
        <v>142</v>
      </c>
      <c r="X10" s="703"/>
      <c r="Y10" s="3540"/>
      <c r="Z10" s="52" t="str">
        <f t="shared" si="7"/>
        <v>土地使用年限（年）</v>
      </c>
      <c r="AA10" s="704">
        <f t="shared" si="3"/>
        <v>0.70422535211267601</v>
      </c>
      <c r="AB10" s="704">
        <f t="shared" si="4"/>
        <v>0.70422535211267601</v>
      </c>
      <c r="AC10" s="704">
        <f t="shared" si="5"/>
        <v>0.70422535211267601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752.09</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六级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六级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六级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六级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32" sqref="J3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794</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794</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27" sqref="E2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794</v>
      </c>
      <c r="C2" s="1999" t="s">
        <v>1935</v>
      </c>
      <c r="D2" s="2000" t="s">
        <v>1936</v>
      </c>
      <c r="E2" s="3422" t="s">
        <v>673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Ⅵ-02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11811</v>
      </c>
      <c r="U2" s="1213">
        <f>ROUND('数据-基础表'!I13/2,2)</f>
        <v>376.05</v>
      </c>
      <c r="V2" s="3361">
        <f>ROUND(T2*U2/10000,0)</f>
        <v>444</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2453</v>
      </c>
      <c r="F3" s="2004" t="s">
        <v>3428</v>
      </c>
      <c r="G3" s="752">
        <f>IF(F3="宗地容积率",'数据-汇总表'!I4,IF(F3="估价对象容积率",'数据-汇总表'!I6,'数据-汇总表'!I7))</f>
        <v>1.5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9310</v>
      </c>
      <c r="U3" s="1213">
        <f>'数据-基础表'!I13-基准地价修正!U2</f>
        <v>376.04</v>
      </c>
      <c r="V3" s="3361">
        <f t="shared" ref="V3:V16" si="1">ROUND(T3*U3/10000,0)</f>
        <v>350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7868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13160</v>
      </c>
      <c r="D5" s="1339">
        <f>ROUND(C6*C17+C20,0)</f>
        <v>13160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6939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13180</v>
      </c>
      <c r="D6" s="2017"/>
      <c r="E6" s="2018"/>
      <c r="F6" s="2018"/>
      <c r="G6" s="2019"/>
      <c r="H6" s="2019"/>
      <c r="I6" s="2019"/>
      <c r="J6" s="2020"/>
      <c r="K6" s="1384"/>
      <c r="L6" s="2003" t="s">
        <v>1951</v>
      </c>
      <c r="M6" s="864">
        <f>SUMPRODUCT((区片价!B127:B189=I2)*(区片价!C3:G3=E2)*(区片价!C127:G189))</f>
        <v>13180</v>
      </c>
      <c r="N6" s="866">
        <f>SUMPRODUCT((因素修正幅度!B127:B189=I2)*(因素修正幅度!C3:G3=E2)*(因素修正幅度!C127:G189))</f>
        <v>0.11600000000000001</v>
      </c>
      <c r="O6" s="1119"/>
      <c r="P6" s="1119"/>
      <c r="Q6" s="1119"/>
      <c r="R6" s="1212">
        <v>5</v>
      </c>
      <c r="S6" s="3361">
        <f>ROUND(SUMPRODUCT((B106:B110=R6)*(C105:N105=G2)*(C106:N110)),4)</f>
        <v>0.84799999999999998</v>
      </c>
      <c r="T6" s="3361">
        <f t="shared" si="0"/>
        <v>6669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1.5</v>
      </c>
      <c r="AA7" s="1216"/>
      <c r="AB7" s="1216"/>
      <c r="AC7" s="1217"/>
      <c r="AD7" s="1218"/>
      <c r="AE7" s="1218"/>
      <c r="AF7" s="1218"/>
      <c r="AG7" s="1218"/>
      <c r="AH7" s="1218"/>
      <c r="AI7" s="1218"/>
      <c r="AJ7" s="1219"/>
    </row>
    <row r="8" spans="1:36" ht="25.5">
      <c r="A8" s="3299"/>
      <c r="B8" s="170" t="s">
        <v>1957</v>
      </c>
      <c r="C8" s="2026" t="s">
        <v>3429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-20</v>
      </c>
      <c r="D20" s="3341" t="s">
        <v>1998</v>
      </c>
      <c r="E20" s="3342"/>
      <c r="F20" s="3755" t="s">
        <v>1995</v>
      </c>
      <c r="G20" s="3756"/>
      <c r="H20" s="3326" t="s">
        <v>3431</v>
      </c>
      <c r="I20" s="3326" t="s">
        <v>3432</v>
      </c>
      <c r="J20" s="3327" t="s">
        <v>3433</v>
      </c>
      <c r="K20" s="2047" t="s">
        <v>3434</v>
      </c>
      <c r="L20" s="2047" t="s">
        <v>3435</v>
      </c>
      <c r="M20" s="2047" t="s">
        <v>3436</v>
      </c>
      <c r="N20" s="2047" t="s">
        <v>3437</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3430</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4" t="s">
        <v>2002</v>
      </c>
      <c r="E23" s="761">
        <v>44197</v>
      </c>
      <c r="F23" s="2054" t="s">
        <v>2003</v>
      </c>
      <c r="G23" s="762">
        <f>'数据-取费表'!B2</f>
        <v>45112</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0.72340000000000004</v>
      </c>
      <c r="D24" s="2060" t="s">
        <v>2007</v>
      </c>
      <c r="E24" s="1335">
        <f>存贷款利率!E23/100</f>
        <v>4.3499999999999997E-2</v>
      </c>
      <c r="F24" s="2060" t="s">
        <v>1999</v>
      </c>
      <c r="G24" s="768">
        <f>SUMIF(M30:Q30,E2,M33:Q33)</f>
        <v>5.5E-2</v>
      </c>
      <c r="H24" s="2060" t="s">
        <v>2008</v>
      </c>
      <c r="I24" s="769">
        <f>SUMIF('数据-取费表'!C6:C15,E2,'数据-取费表'!F6:F15)/COUNTIF('数据-取费表'!C6:C15,E2)</f>
        <v>19</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3438</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1.1084000000000001</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1.1084000000000001</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1.1084000000000001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794</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4719</v>
      </c>
      <c r="D37" s="2098"/>
      <c r="E37" s="171">
        <f>ROUND(C37*D37/10000,0)</f>
        <v>0</v>
      </c>
      <c r="F37" s="171">
        <f>SUMIF(修正!A57:A68,G2,修正!B57:B68)</f>
        <v>0.6</v>
      </c>
      <c r="G37" s="171">
        <f>ROUND(IF(E2="工业",C37*$M$42,C37*$M$41),0)</f>
        <v>1180</v>
      </c>
      <c r="H37" s="171">
        <f>D37</f>
        <v>0</v>
      </c>
      <c r="I37" s="171">
        <f>ROUND(G37*H37/10000,0)</f>
        <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2359</v>
      </c>
      <c r="D38" s="2098"/>
      <c r="E38" s="171">
        <f t="shared" ref="E38:E42" si="4">ROUND(C38*D38/10000,0)</f>
        <v>0</v>
      </c>
      <c r="F38" s="171">
        <f>SUMIF(修正!A57:A68,G2,修正!C57:C68)</f>
        <v>0.3</v>
      </c>
      <c r="G38" s="171">
        <f>ROUND(IF(E2="工业",C38*$M$42,C38*$M$41),0)</f>
        <v>590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1966</v>
      </c>
      <c r="D39" s="2098"/>
      <c r="E39" s="171">
        <f t="shared" si="4"/>
        <v>0</v>
      </c>
      <c r="F39" s="171">
        <f>SUMIF(修正!A57:A68,G2,修正!D57:D68)</f>
        <v>0.25</v>
      </c>
      <c r="G39" s="171">
        <f>ROUND(IF(E2="工业",C39*$M$42,C39*$M$41),0)</f>
        <v>492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1966</v>
      </c>
      <c r="D40" s="2098"/>
      <c r="E40" s="171">
        <f t="shared" si="4"/>
        <v>0</v>
      </c>
      <c r="F40" s="175">
        <f>SUMIF(修正!A57:A68,G2,修正!E57:E68)</f>
        <v>0.25</v>
      </c>
      <c r="G40" s="171">
        <f>ROUND(IF(E2="工业",C40*$M$42,C40*$M$41),0)</f>
        <v>492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f>IF(E2="商业",SUMIF(L1:L12,G2,N1:N12),"——")</f>
        <v>0.11600000000000001</v>
      </c>
      <c r="G50" s="1063"/>
      <c r="H50" s="1066">
        <f t="shared" ref="H50:H58" si="8">IFERROR(ROUNDDOWN($F$50*I50/2,4),"——")</f>
        <v>1.7399999999999999E-2</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f t="shared" si="8"/>
        <v>1.2699999999999999E-2</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f t="shared" si="8"/>
        <v>6.8999999999999999E-3</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f t="shared" si="8"/>
        <v>2.8999999999999998E-3</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f t="shared" si="8"/>
        <v>4.5999999999999999E-3</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f t="shared" si="8"/>
        <v>2.8999999999999998E-3</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f t="shared" si="8"/>
        <v>2.8999999999999998E-3</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f t="shared" si="8"/>
        <v>4.5999999999999999E-3</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f t="shared" si="8"/>
        <v>2.8999999999999998E-3</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1.5</v>
      </c>
      <c r="C116" s="3400" t="s">
        <v>3319</v>
      </c>
      <c r="D116" s="3401">
        <f>SUMPRODUCT((A118:A122=F116)*(B117:M117=H116)*B118:M122)</f>
        <v>0.92800000000000005</v>
      </c>
      <c r="E116" s="2000" t="s">
        <v>3320</v>
      </c>
      <c r="F116" s="3402" t="str">
        <f>E2</f>
        <v>商业</v>
      </c>
      <c r="G116" s="2000" t="s">
        <v>3321</v>
      </c>
      <c r="H116" s="3402" t="str">
        <f>G2</f>
        <v>六级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0.98029999999999995</v>
      </c>
      <c r="C118" s="3388">
        <f>B118</f>
        <v>0.98029999999999995</v>
      </c>
      <c r="D118" s="3388">
        <f>ROUND(0.949-0.014*B116,4)</f>
        <v>0.92800000000000005</v>
      </c>
      <c r="E118" s="3388">
        <f>D118</f>
        <v>0.92800000000000005</v>
      </c>
      <c r="F118" s="3388">
        <f>E118</f>
        <v>0.92800000000000005</v>
      </c>
      <c r="G118" s="3388">
        <f>F118</f>
        <v>0.92800000000000005</v>
      </c>
      <c r="H118" s="3388">
        <f>G118</f>
        <v>0.92800000000000005</v>
      </c>
      <c r="I118" s="3388">
        <f>ROUND(0.8486-0.018*B116,4)</f>
        <v>0.8216</v>
      </c>
      <c r="J118" s="3388">
        <f t="shared" ref="J118:M122" si="35">I118</f>
        <v>0.8216</v>
      </c>
      <c r="K118" s="3388">
        <f t="shared" si="35"/>
        <v>0.8216</v>
      </c>
      <c r="L118" s="3388">
        <f t="shared" si="35"/>
        <v>0.8216</v>
      </c>
      <c r="M118" s="3411">
        <f t="shared" si="35"/>
        <v>0.8216</v>
      </c>
      <c r="N118" s="3398"/>
    </row>
    <row r="119" spans="1:14">
      <c r="A119" s="3410" t="s">
        <v>3335</v>
      </c>
      <c r="B119" s="3388">
        <f>ROUND(0.993-0.0112*B116,4)</f>
        <v>0.97619999999999996</v>
      </c>
      <c r="C119" s="3388">
        <f>B119</f>
        <v>0.97619999999999996</v>
      </c>
      <c r="D119" s="3388">
        <f>ROUND(0.9415-0.0142*B116,4)</f>
        <v>0.92020000000000002</v>
      </c>
      <c r="E119" s="3388">
        <f t="shared" ref="E119:H120" si="36">D119</f>
        <v>0.92020000000000002</v>
      </c>
      <c r="F119" s="3388">
        <f t="shared" si="36"/>
        <v>0.92020000000000002</v>
      </c>
      <c r="G119" s="3388">
        <f t="shared" si="36"/>
        <v>0.92020000000000002</v>
      </c>
      <c r="H119" s="3388">
        <f t="shared" si="36"/>
        <v>0.92020000000000002</v>
      </c>
      <c r="I119" s="3388">
        <f>ROUND(0.838-0.0182*B116,4)</f>
        <v>0.81069999999999998</v>
      </c>
      <c r="J119" s="3388">
        <f t="shared" si="35"/>
        <v>0.81069999999999998</v>
      </c>
      <c r="K119" s="3388">
        <f t="shared" si="35"/>
        <v>0.81069999999999998</v>
      </c>
      <c r="L119" s="3388">
        <f t="shared" si="35"/>
        <v>0.81069999999999998</v>
      </c>
      <c r="M119" s="3411">
        <f t="shared" si="35"/>
        <v>0.81069999999999998</v>
      </c>
      <c r="N119" s="3398"/>
    </row>
    <row r="120" spans="1:14">
      <c r="A120" s="3410" t="s">
        <v>3336</v>
      </c>
      <c r="B120" s="3388">
        <f>ROUND(0.9448-0.0115*B116,4)</f>
        <v>0.92759999999999998</v>
      </c>
      <c r="C120" s="3388">
        <f>B120</f>
        <v>0.92759999999999998</v>
      </c>
      <c r="D120" s="3388">
        <f>ROUND(0.937-0.0145*B116,4)</f>
        <v>0.9153</v>
      </c>
      <c r="E120" s="3388">
        <f t="shared" si="36"/>
        <v>0.9153</v>
      </c>
      <c r="F120" s="3388">
        <f t="shared" si="36"/>
        <v>0.9153</v>
      </c>
      <c r="G120" s="3388">
        <f t="shared" si="36"/>
        <v>0.9153</v>
      </c>
      <c r="H120" s="3388">
        <f t="shared" si="36"/>
        <v>0.9153</v>
      </c>
      <c r="I120" s="3388">
        <f>ROUND(0.7965-0.0185*B116,4)</f>
        <v>0.76880000000000004</v>
      </c>
      <c r="J120" s="3388">
        <f t="shared" si="35"/>
        <v>0.76880000000000004</v>
      </c>
      <c r="K120" s="3388">
        <f t="shared" si="35"/>
        <v>0.76880000000000004</v>
      </c>
      <c r="L120" s="3388">
        <f t="shared" si="35"/>
        <v>0.76880000000000004</v>
      </c>
      <c r="M120" s="3411">
        <f t="shared" si="35"/>
        <v>0.76880000000000004</v>
      </c>
      <c r="N120" s="3398"/>
    </row>
    <row r="121" spans="1:14" ht="13.5" thickBot="1">
      <c r="A121" s="3412" t="s">
        <v>3337</v>
      </c>
      <c r="B121" s="3413">
        <f>ROUND(0.7836-0.012*B116,4)</f>
        <v>0.76559999999999995</v>
      </c>
      <c r="C121" s="3413">
        <f>B121</f>
        <v>0.76559999999999995</v>
      </c>
      <c r="D121" s="3413">
        <f>ROUND(0.753-0.015*B116,4)</f>
        <v>0.73050000000000004</v>
      </c>
      <c r="E121" s="3413">
        <f>D121</f>
        <v>0.73050000000000004</v>
      </c>
      <c r="F121" s="3413">
        <f>E121</f>
        <v>0.73050000000000004</v>
      </c>
      <c r="G121" s="3413">
        <f>ROUND(0.6612-0.018*B116,4)</f>
        <v>0.63419999999999999</v>
      </c>
      <c r="H121" s="3413">
        <f>G121</f>
        <v>0.63419999999999999</v>
      </c>
      <c r="I121" s="3413">
        <f>ROUND(0.5905-0.019*B116,4)</f>
        <v>0.56200000000000006</v>
      </c>
      <c r="J121" s="3413">
        <f t="shared" si="35"/>
        <v>0.56200000000000006</v>
      </c>
      <c r="K121" s="3413">
        <f t="shared" si="35"/>
        <v>0.56200000000000006</v>
      </c>
      <c r="L121" s="3413">
        <f t="shared" si="35"/>
        <v>0.56200000000000006</v>
      </c>
      <c r="M121" s="3414">
        <f t="shared" si="35"/>
        <v>0.56200000000000006</v>
      </c>
      <c r="N121" s="3398"/>
    </row>
    <row r="122" spans="1:14">
      <c r="A122" s="3415" t="s">
        <v>2616</v>
      </c>
      <c r="B122" s="3388">
        <f>ROUND(0.9404-0.0106*B116,4)</f>
        <v>0.92449999999999999</v>
      </c>
      <c r="C122" s="3388">
        <f>B122</f>
        <v>0.92449999999999999</v>
      </c>
      <c r="D122" s="3388">
        <f>ROUND(0.8955-0.0135*B116,4)</f>
        <v>0.87529999999999997</v>
      </c>
      <c r="E122" s="3388">
        <f t="shared" ref="E122:H122" si="37">D122</f>
        <v>0.87529999999999997</v>
      </c>
      <c r="F122" s="3388">
        <f t="shared" si="37"/>
        <v>0.87529999999999997</v>
      </c>
      <c r="G122" s="3388">
        <f t="shared" si="37"/>
        <v>0.87529999999999997</v>
      </c>
      <c r="H122" s="3388">
        <f t="shared" si="37"/>
        <v>0.87529999999999997</v>
      </c>
      <c r="I122" s="3388">
        <f>ROUND(0.7632-0.0166*B116,4)</f>
        <v>0.73829999999999996</v>
      </c>
      <c r="J122" s="3388">
        <f t="shared" si="35"/>
        <v>0.73829999999999996</v>
      </c>
      <c r="K122" s="3388">
        <f t="shared" si="35"/>
        <v>0.73829999999999996</v>
      </c>
      <c r="L122" s="3388">
        <f t="shared" si="35"/>
        <v>0.73829999999999996</v>
      </c>
      <c r="M122" s="3411">
        <f t="shared" si="35"/>
        <v>0.73829999999999996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1.1214999999999999</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1.0668</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28831</v>
      </c>
      <c r="C2" s="2" t="s">
        <v>106</v>
      </c>
      <c r="D2" s="199"/>
      <c r="E2" s="199"/>
      <c r="F2" s="199"/>
      <c r="G2" s="199"/>
    </row>
    <row r="3" spans="1:7" s="200" customFormat="1" ht="18" customHeight="1" thickBot="1">
      <c r="A3" s="203" t="s">
        <v>58</v>
      </c>
      <c r="B3" s="204">
        <f ca="1">ROUND(B2*10000/'数据-汇总表'!E3,0)</f>
        <v>383345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15</v>
      </c>
      <c r="D10" s="845">
        <f>'数据-汇总表'!E6</f>
        <v>752.09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15</v>
      </c>
      <c r="D19" s="849">
        <f>'数据-汇总表'!E3</f>
        <v>752.09</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1512</v>
      </c>
      <c r="D22" s="235">
        <f ca="1">C26</f>
        <v>1.1000000000000001E-3</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1.1000000000000001E-3</v>
      </c>
      <c r="D26" s="238"/>
      <c r="E26" s="241"/>
      <c r="F26" s="239"/>
      <c r="G26" s="243"/>
    </row>
    <row r="27" spans="1:7" s="214" customFormat="1" ht="24.75">
      <c r="A27" s="777" t="s">
        <v>342</v>
      </c>
      <c r="B27" s="244" t="s">
        <v>85</v>
      </c>
      <c r="C27" s="245">
        <f>C28</f>
        <v>3187</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3187</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28475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301</v>
      </c>
      <c r="D34" s="217"/>
      <c r="E34" s="220"/>
      <c r="F34" s="257">
        <f>IF('数据-取费表'!B24=0,1,'数据-取费表'!N16)</f>
        <v>1</v>
      </c>
      <c r="G34" s="219" t="s">
        <v>89</v>
      </c>
    </row>
    <row r="35" spans="1:7" ht="13.5" customHeight="1">
      <c r="A35" s="780" t="s">
        <v>351</v>
      </c>
      <c r="B35" s="215" t="s">
        <v>33</v>
      </c>
      <c r="C35" s="220">
        <f>ROUND(C34*F35,0)</f>
        <v>15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15</v>
      </c>
      <c r="D37" s="217">
        <f>'数据-汇总表'!E3</f>
        <v>752.09</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12</v>
      </c>
      <c r="D41" s="235">
        <f ca="1">C44</f>
        <v>1.1000000000000001E-3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1.1000000000000001E-3</v>
      </c>
      <c r="D44" s="238"/>
      <c r="E44" s="238"/>
      <c r="F44" s="239"/>
      <c r="G44" s="3635"/>
    </row>
    <row r="45" spans="1:7" s="214" customFormat="1" ht="13.5" customHeight="1">
      <c r="A45" s="777" t="s">
        <v>341</v>
      </c>
      <c r="B45" s="244" t="s">
        <v>85</v>
      </c>
      <c r="C45" s="245">
        <f>C46</f>
        <v>52</v>
      </c>
      <c r="D45" s="235">
        <f>C47</f>
        <v>4.4999999999999997E-3</v>
      </c>
      <c r="E45" s="236" t="s">
        <v>102</v>
      </c>
      <c r="F45" s="246"/>
      <c r="G45" s="247" t="s">
        <v>434</v>
      </c>
    </row>
    <row r="46" spans="1:7" s="214" customFormat="1" ht="13.5" customHeight="1">
      <c r="A46" s="780" t="s">
        <v>349</v>
      </c>
      <c r="B46" s="248" t="s">
        <v>427</v>
      </c>
      <c r="C46" s="249">
        <f>ROUND((C33+C39)*F27,0)</f>
        <v>52</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450</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356</v>
      </c>
      <c r="D51" s="232"/>
      <c r="E51" s="232"/>
      <c r="F51" s="264"/>
      <c r="G51" s="234" t="s">
        <v>37</v>
      </c>
    </row>
    <row r="52" spans="1:7" s="208" customFormat="1" ht="16.5" thickBot="1">
      <c r="A52" s="265" t="s">
        <v>38</v>
      </c>
      <c r="B52" s="266"/>
      <c r="C52" s="267">
        <f ca="1">C31+C51</f>
        <v>28831</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t="e">
        <f ca="1">结果表!H101</f>
        <v>#REF!</v>
      </c>
      <c r="E5" s="1491"/>
    </row>
    <row r="6" spans="1:5" ht="15.75">
      <c r="A6" s="1491"/>
      <c r="B6" s="3452"/>
      <c r="C6" s="1494" t="s">
        <v>911</v>
      </c>
      <c r="D6" s="850" t="e">
        <f ca="1">NUMBERSTRING(INT(D5*10000),2)&amp;"元整"</f>
        <v>#REF!</v>
      </c>
      <c r="E6" s="1491"/>
    </row>
    <row r="7" spans="1:5" ht="15.75">
      <c r="A7" s="1491"/>
      <c r="B7" s="3457"/>
      <c r="C7" s="1495" t="s">
        <v>912</v>
      </c>
      <c r="D7" s="851" t="e">
        <f ca="1">结果表!H102</f>
        <v>#REF!</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t="e">
        <f ca="1">结果表!H107</f>
        <v>#REF!</v>
      </c>
      <c r="E13" s="1491"/>
    </row>
    <row r="14" spans="1:5" ht="15.75">
      <c r="A14" s="1491"/>
      <c r="B14" s="3452"/>
      <c r="C14" s="1494" t="s">
        <v>911</v>
      </c>
      <c r="D14" s="850" t="e">
        <f ca="1">NUMBERSTRING(INT(D13*10000),2)&amp;"元整"</f>
        <v>#REF!</v>
      </c>
      <c r="E14" s="1491"/>
    </row>
    <row r="15" spans="1:5" ht="15">
      <c r="A15" s="1491"/>
      <c r="B15" s="3457"/>
      <c r="C15" s="1495" t="s">
        <v>921</v>
      </c>
      <c r="D15" s="859" t="e">
        <f ca="1">结果表!H108</f>
        <v>#REF!</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W62" sqref="W62"/>
    </sheetView>
  </sheetViews>
  <sheetFormatPr defaultRowHeight="13.5"/>
  <cols>
    <col min="1" max="1" width="13.875" customWidth="1"/>
    <col min="11" max="17" width="0" hidden="1" customWidth="1"/>
    <col min="25" max="30" width="0" hidden="1" customWidth="1"/>
  </cols>
  <sheetData>
    <row r="1" spans="1:30">
      <c r="A1" s="3221">
        <f>基准地价修正!G23</f>
        <v>45112</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L35" sqref="L35"/>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45112</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1" sqref="A11"/>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752.09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4" t="s">
        <v>927</v>
      </c>
      <c r="B5" s="3464"/>
      <c r="C5" s="3464"/>
      <c r="D5" s="3464" t="e">
        <f ca="1">结果表!D119</f>
        <v>#REF!</v>
      </c>
      <c r="E5" s="3464"/>
      <c r="F5" s="3464" t="e">
        <f ca="1">结果表!F119</f>
        <v>#REF!</v>
      </c>
      <c r="G5" s="3464"/>
      <c r="H5" s="3464" t="e">
        <f ca="1">结果表!H119</f>
        <v>#REF!</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t="e">
        <f ca="1">结果表!D122</f>
        <v>#REF!</v>
      </c>
      <c r="E8" s="3463"/>
      <c r="F8" s="3463"/>
      <c r="G8" s="3463"/>
      <c r="H8" s="3463"/>
      <c r="I8" s="3463"/>
    </row>
    <row r="9" spans="1:9" ht="15">
      <c r="A9" s="3464" t="s">
        <v>927</v>
      </c>
      <c r="B9" s="3464"/>
      <c r="C9" s="3464"/>
      <c r="D9" s="3464" t="e">
        <f ca="1">结果表!D123</f>
        <v>#REF!</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45114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2023-07-07T05:55:27Z</dcterms:modified>
</cp:coreProperties>
</file>