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state="hidden" r:id="rId27"/>
    <sheet name="洋房案例" sheetId="78" state="hidden" r:id="rId28"/>
    <sheet name="叠墅案例"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 localSheetId="28">'[1]比较法-办公'!$B$119:$M$119</definedName>
    <definedName name="办公层高" localSheetId="13">'[2]比较法-办公'!$B$119:$M$119</definedName>
    <definedName name="办公层高" localSheetId="27">'[1]比较法-办公'!$B$119:$M$119</definedName>
    <definedName name="办公层高">'比较法-办公'!$B$119:$M$119</definedName>
    <definedName name="办公朝向" localSheetId="28">'[1]比较法-办公'!$B$91:$M$91</definedName>
    <definedName name="办公朝向" localSheetId="13">'[2]比较法-办公'!$B$91:$M$91</definedName>
    <definedName name="办公朝向" localSheetId="27">'[1]比较法-办公'!$B$91:$M$91</definedName>
    <definedName name="办公朝向">'比较法-办公'!$B$91:$M$91</definedName>
    <definedName name="办公道路级别" localSheetId="28">'[1]比较法-办公'!$B$87:$M$87</definedName>
    <definedName name="办公道路级别" localSheetId="13">'[2]比较法-办公'!$B$87:$M$87</definedName>
    <definedName name="办公道路级别" localSheetId="27">'[1]比较法-办公'!$B$87:$M$87</definedName>
    <definedName name="办公道路级别">'比较法-办公'!$B$87:$M$87</definedName>
    <definedName name="办公公共部分装修" localSheetId="28">'[1]比较法-办公'!$B$108:$M$108</definedName>
    <definedName name="办公公共部分装修" localSheetId="13">'[2]比较法-办公'!$B$108:$M$108</definedName>
    <definedName name="办公公共部分装修" localSheetId="27">'[1]比较法-办公'!$B$108:$M$108</definedName>
    <definedName name="办公公共部分装修">'比较法-办公'!$B$108:$M$108</definedName>
    <definedName name="办公基础设施水平" localSheetId="28">'[1]比较法-办公'!$B$117:$M$117</definedName>
    <definedName name="办公基础设施水平" localSheetId="13">'[2]比较法-办公'!$B$117:$M$117</definedName>
    <definedName name="办公基础设施水平" localSheetId="27">'[1]比较法-办公'!$B$117:$M$117</definedName>
    <definedName name="办公基础设施水平">'比较法-办公'!$B$117:$M$117</definedName>
    <definedName name="办公集聚程度" localSheetId="28">[1]定义!$M$1:$M$6</definedName>
    <definedName name="办公集聚程度" localSheetId="13">[2]定义!$M$1:$M$6</definedName>
    <definedName name="办公集聚程度" localSheetId="27">[1]定义!$M$1:$M$6</definedName>
    <definedName name="办公集聚程度">定义!$M$1:$M$6</definedName>
    <definedName name="办公建筑结构" localSheetId="28">'[1]比较法-办公'!$B$106:$M$106</definedName>
    <definedName name="办公建筑结构" localSheetId="13">'[2]比较法-办公'!$B$106:$M$106</definedName>
    <definedName name="办公建筑结构" localSheetId="27">'[1]比较法-办公'!$B$106:$M$106</definedName>
    <definedName name="办公建筑结构">'比较法-办公'!$B$106:$M$106</definedName>
    <definedName name="办公建筑类型" localSheetId="28">'[1]比较法-办公'!$B$101:$M$101</definedName>
    <definedName name="办公建筑类型" localSheetId="13">'[2]比较法-办公'!$B$101:$M$101</definedName>
    <definedName name="办公建筑类型" localSheetId="27">'[1]比较法-办公'!$B$101:$M$101</definedName>
    <definedName name="办公建筑类型">'比较法-办公'!$B$101:$M$101</definedName>
    <definedName name="办公交易情况" localSheetId="28">'[1]比较法-办公'!$A$62:$M$62</definedName>
    <definedName name="办公交易情况" localSheetId="13">'[2]比较法-办公'!$A$62:$M$62</definedName>
    <definedName name="办公交易情况" localSheetId="27">'[1]比较法-办公'!$A$62:$M$62</definedName>
    <definedName name="办公交易情况">'比较法-办公'!$A$62:$M$62</definedName>
    <definedName name="办公楼层" localSheetId="28">'[1]比较法-办公'!$B$89:$M$89</definedName>
    <definedName name="办公楼层" localSheetId="13">'[2]比较法-办公'!$B$89:$M$89</definedName>
    <definedName name="办公楼层" localSheetId="27">'[1]比较法-办公'!$B$89:$M$89</definedName>
    <definedName name="办公楼层">'比较法-办公'!$B$89:$M$89</definedName>
    <definedName name="办公内部装修" localSheetId="28">'[1]比较法-办公'!$B$123:$M$123</definedName>
    <definedName name="办公内部装修" localSheetId="13">'[2]比较法-办公'!$B$123:$M$123</definedName>
    <definedName name="办公内部装修" localSheetId="27">'[1]比较法-办公'!$B$123:$M$123</definedName>
    <definedName name="办公内部装修">'比较法-办公'!$B$123:$M$123</definedName>
    <definedName name="办公物业管理" localSheetId="28">'[1]比较法-办公'!$B$115:$M$115</definedName>
    <definedName name="办公物业管理" localSheetId="13">'[2]比较法-办公'!$B$115:$M$115</definedName>
    <definedName name="办公物业管理" localSheetId="27">'[1]比较法-办公'!$B$115:$M$115</definedName>
    <definedName name="办公物业管理">'比较法-办公'!$B$115:$M$115</definedName>
    <definedName name="办公用途" localSheetId="28">'[1]比较法-办公'!$B$64:$M$64</definedName>
    <definedName name="办公用途" localSheetId="13">'[2]比较法-办公'!$B$64:$M$64</definedName>
    <definedName name="办公用途" localSheetId="27">'[1]比较法-办公'!$B$64:$M$64</definedName>
    <definedName name="办公用途">'比较法-办公'!$B$64:$M$64</definedName>
    <definedName name="仓储公共部分装修" localSheetId="28">'[1]比较法-仓储'!$B$77:$M$77</definedName>
    <definedName name="仓储公共部分装修" localSheetId="13">'[2]比较法-仓储'!$B$77:$M$77</definedName>
    <definedName name="仓储公共部分装修" localSheetId="27">'[1]比较法-仓储'!$B$77:$M$77</definedName>
    <definedName name="仓储公共部分装修">'比较法-仓储'!$B$77:$M$77</definedName>
    <definedName name="仓储交易情况" localSheetId="28">'[1]比较法-仓储'!$A$49:$M$49</definedName>
    <definedName name="仓储交易情况" localSheetId="13">'[2]比较法-仓储'!$A$49:$M$49</definedName>
    <definedName name="仓储交易情况" localSheetId="27">'[1]比较法-仓储'!$A$49:$M$49</definedName>
    <definedName name="仓储交易情况">'比较法-仓储'!$A$49:$M$49</definedName>
    <definedName name="仓储楼层" localSheetId="28">'[1]比较法-仓储'!$B$69:$M$69</definedName>
    <definedName name="仓储楼层" localSheetId="13">'[2]比较法-仓储'!$B$69:$M$69</definedName>
    <definedName name="仓储楼层" localSheetId="27">'[1]比较法-仓储'!$B$69:$M$69</definedName>
    <definedName name="仓储楼层">'比较法-仓储'!$B$69:$M$69</definedName>
    <definedName name="仓储物业等级" localSheetId="28">'[1]比较法-仓储'!$B$82:$M$82</definedName>
    <definedName name="仓储物业等级" localSheetId="13">'[2]比较法-仓储'!$B$82:$M$82</definedName>
    <definedName name="仓储物业等级" localSheetId="27">'[1]比较法-仓储'!$B$82:$M$82</definedName>
    <definedName name="仓储物业等级">'比较法-仓储'!$B$82:$M$82</definedName>
    <definedName name="仓储用途" localSheetId="28">'[1]比较法-仓储'!$B$51:$M$51</definedName>
    <definedName name="仓储用途" localSheetId="13">'[2]比较法-仓储'!$B$51:$M$51</definedName>
    <definedName name="仓储用途" localSheetId="27">'[1]比较法-仓储'!$B$51:$M$51</definedName>
    <definedName name="仓储用途">'比较法-仓储'!$B$51:$M$51</definedName>
    <definedName name="产业集聚程度" localSheetId="28">[1]定义!$N$1:$N$6</definedName>
    <definedName name="产业集聚程度" localSheetId="13">[2]定义!$N$1:$N$6</definedName>
    <definedName name="产业集聚程度" localSheetId="27">[1]定义!$N$1:$N$6</definedName>
    <definedName name="产业集聚程度">定义!$N$1:$N$6</definedName>
    <definedName name="车位公共部分装修" localSheetId="28">'[1]比较法-车位'!$B$83:$M$83</definedName>
    <definedName name="车位公共部分装修" localSheetId="13">'[2]比较法-车位'!$B$83:$M$83</definedName>
    <definedName name="车位公共部分装修" localSheetId="27">'[1]比较法-车位'!$B$83:$M$83</definedName>
    <definedName name="车位公共部分装修">'比较法-车位'!$B$83:$M$83</definedName>
    <definedName name="车位交易情况" localSheetId="28">'[1]比较法-车位'!$A$51:$M$51</definedName>
    <definedName name="车位交易情况" localSheetId="13">'[2]比较法-车位'!$A$51:$M$51</definedName>
    <definedName name="车位交易情况" localSheetId="27">'[1]比较法-车位'!$A$51:$M$51</definedName>
    <definedName name="车位交易情况">'比较法-车位'!$A$51:$M$51</definedName>
    <definedName name="车位类型" localSheetId="28">'[1]比较法-车位'!$B$93:$M$93</definedName>
    <definedName name="车位类型" localSheetId="13">'[2]比较法-车位'!$B$93:$M$93</definedName>
    <definedName name="车位类型" localSheetId="27">'[1]比较法-车位'!$B$93:$M$93</definedName>
    <definedName name="车位类型">'比较法-车位'!$B$93:$M$93</definedName>
    <definedName name="车位楼层" localSheetId="28">'[1]比较法-车位'!$B$71:$M$71</definedName>
    <definedName name="车位楼层" localSheetId="13">'[2]比较法-车位'!$B$71:$M$71</definedName>
    <definedName name="车位楼层" localSheetId="27">'[1]比较法-车位'!$B$71:$M$71</definedName>
    <definedName name="车位楼层">'比较法-车位'!$B$71:$M$71</definedName>
    <definedName name="车位配套类型" localSheetId="28">'[1]比较法-车位'!$B$79:$M$79</definedName>
    <definedName name="车位配套类型" localSheetId="13">'[2]比较法-车位'!$B$79:$M$79</definedName>
    <definedName name="车位配套类型" localSheetId="27">'[1]比较法-车位'!$B$79:$M$79</definedName>
    <definedName name="车位配套类型">'比较法-车位'!$B$79:$M$79</definedName>
    <definedName name="车位物业等级" localSheetId="28">'[1]比较法-车位'!$B$88:$M$88</definedName>
    <definedName name="车位物业等级" localSheetId="13">'[2]比较法-车位'!$B$88:$M$88</definedName>
    <definedName name="车位物业等级" localSheetId="27">'[1]比较法-车位'!$B$88:$M$88</definedName>
    <definedName name="车位物业等级">'比较法-车位'!$B$88:$M$88</definedName>
    <definedName name="车位用途" localSheetId="28">'[1]比较法-车位'!$B$53:$M$53</definedName>
    <definedName name="车位用途" localSheetId="13">'[2]比较法-车位'!$B$53:$M$53</definedName>
    <definedName name="车位用途" localSheetId="27">'[1]比较法-车位'!$B$53:$M$53</definedName>
    <definedName name="车位用途">'比较法-车位'!$B$53:$M$53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27">'[1]数据-取费表'!$A$53:$A$63</definedName>
    <definedName name="城镇土地纳税等级分级范围">'数据-取费表'!$A$53:$A$63</definedName>
    <definedName name="单价内涵" localSheetId="28">[1]定义!$V$1:$V$3</definedName>
    <definedName name="单价内涵" localSheetId="13">[2]定义!$V$1:$V$3</definedName>
    <definedName name="单价内涵" localSheetId="27">[1]定义!$V$1:$V$3</definedName>
    <definedName name="单价内涵">定义!$V$1:$V$3</definedName>
    <definedName name="地类判定" localSheetId="28">[1]定义!$H$1:$H$9</definedName>
    <definedName name="地类判定" localSheetId="13">[2]定义!$H$1:$H$9</definedName>
    <definedName name="地类判定" localSheetId="27">[1]定义!$H$1:$H$9</definedName>
    <definedName name="地类判定">定义!$H$1:$H$9</definedName>
    <definedName name="二级">区片价!$I$1:$I$20</definedName>
    <definedName name="二级分类" localSheetId="28">[1]修正!$C$17:$C$39</definedName>
    <definedName name="二级分类" localSheetId="13">[2]修正!$C$17:$C$39</definedName>
    <definedName name="二级分类" localSheetId="27">[1]修正!$C$17:$C$39</definedName>
    <definedName name="二级分类">修正!$C$17:$C$39</definedName>
    <definedName name="法定最高年限" localSheetId="28">[1]定义!$G$1:$G$4</definedName>
    <definedName name="法定最高年限" localSheetId="13">[2]定义!$G$1:$G$4</definedName>
    <definedName name="法定最高年限" localSheetId="27">[1]定义!$G$1:$G$4</definedName>
    <definedName name="法定最高年限">定义!$G$1:$G$4</definedName>
    <definedName name="工业公共部分装修" localSheetId="28">'[1]比较法-工业'!$B$95:$M$95</definedName>
    <definedName name="工业公共部分装修" localSheetId="13">'[2]比较法-工业'!$B$95:$M$95</definedName>
    <definedName name="工业公共部分装修" localSheetId="27">'[1]比较法-工业'!$B$95:$M$95</definedName>
    <definedName name="工业公共部分装修">'比较法-工业'!$B$95:$M$95</definedName>
    <definedName name="工业基础设施水平" localSheetId="28">'[1]比较法-工业'!$B$102:$M$102</definedName>
    <definedName name="工业基础设施水平" localSheetId="13">'[2]比较法-工业'!$B$102:$M$102</definedName>
    <definedName name="工业基础设施水平" localSheetId="27">'[1]比较法-工业'!$B$102:$M$102</definedName>
    <definedName name="工业基础设施水平">'比较法-工业'!$B$102:$M$102</definedName>
    <definedName name="工业建筑结构" localSheetId="28">'[1]比较法-工业'!$B$93:$M$93</definedName>
    <definedName name="工业建筑结构" localSheetId="13">'[2]比较法-工业'!$B$93:$M$93</definedName>
    <definedName name="工业建筑结构" localSheetId="27">'[1]比较法-工业'!$B$93:$M$93</definedName>
    <definedName name="工业建筑结构">'比较法-工业'!$B$93:$M$93</definedName>
    <definedName name="工业建筑类型" localSheetId="28">'[1]比较法-工业'!$B$88:$M$88</definedName>
    <definedName name="工业建筑类型" localSheetId="13">'[2]比较法-工业'!$B$88:$M$88</definedName>
    <definedName name="工业建筑类型" localSheetId="27">'[1]比较法-工业'!$B$88:$M$88</definedName>
    <definedName name="工业建筑类型">'比较法-工业'!$B$88:$M$88</definedName>
    <definedName name="工业交易情况" localSheetId="28">'[1]比较法-工业'!$A$55:$M$55</definedName>
    <definedName name="工业交易情况" localSheetId="13">'[2]比较法-工业'!$A$55:$M$55</definedName>
    <definedName name="工业交易情况" localSheetId="27">'[1]比较法-工业'!$A$55:$M$55</definedName>
    <definedName name="工业交易情况">'比较法-工业'!$A$55:$M$55</definedName>
    <definedName name="工业内部装修" localSheetId="28">'[1]比较法-工业'!$B$104:$M$104</definedName>
    <definedName name="工业内部装修" localSheetId="13">'[2]比较法-工业'!$B$104:$M$104</definedName>
    <definedName name="工业内部装修" localSheetId="27">'[1]比较法-工业'!$B$104:$M$104</definedName>
    <definedName name="工业内部装修">'比较法-工业'!$B$104:$M$104</definedName>
    <definedName name="工业物业管理" localSheetId="28">'[1]比较法-工业'!$B$100:$M$100</definedName>
    <definedName name="工业物业管理" localSheetId="13">'[2]比较法-工业'!$B$100:$M$100</definedName>
    <definedName name="工业物业管理" localSheetId="27">'[1]比较法-工业'!$B$100:$M$100</definedName>
    <definedName name="工业物业管理">'比较法-工业'!$B$100:$M$100</definedName>
    <definedName name="工业用途" localSheetId="28">'[1]比较法-工业'!$B$57:$M$57</definedName>
    <definedName name="工业用途" localSheetId="13">'[2]比较法-工业'!$B$57:$M$57</definedName>
    <definedName name="工业用途" localSheetId="27">'[1]比较法-工业'!$B$57:$M$57</definedName>
    <definedName name="工业用途">'比较法-工业'!$B$57:$M$57</definedName>
    <definedName name="公共配套设施" localSheetId="28">[1]定义!$Q$1:$Q$6</definedName>
    <definedName name="公共配套设施" localSheetId="13">[2]定义!$Q$1:$Q$6</definedName>
    <definedName name="公共配套设施" localSheetId="27">[1]定义!$Q$1:$Q$6</definedName>
    <definedName name="公共配套设施">定义!$Q$1:$Q$6</definedName>
    <definedName name="估价方法" localSheetId="28">[1]定义!$B$1:$B$50</definedName>
    <definedName name="估价方法" localSheetId="13">[2]定义!$B$1:$B$50</definedName>
    <definedName name="估价方法" localSheetId="27">[1]定义!$B$1:$B$50</definedName>
    <definedName name="估价方法">定义!$B$1:$B$50</definedName>
    <definedName name="环境" localSheetId="28">[1]定义!$S$1:$S$6</definedName>
    <definedName name="环境" localSheetId="13">[2]定义!$S$1:$S$6</definedName>
    <definedName name="环境" localSheetId="27">[1]定义!$S$1:$S$6</definedName>
    <definedName name="环境">定义!$S$1:$S$6</definedName>
    <definedName name="基础设施水平" localSheetId="28">[1]定义!$R$1:$R$6</definedName>
    <definedName name="基础设施水平" localSheetId="13">[2]定义!$R$1:$R$6</definedName>
    <definedName name="基础设施水平" localSheetId="27">[1]定义!$R$1:$R$6</definedName>
    <definedName name="基础设施水平">定义!$R$1:$R$6</definedName>
    <definedName name="季度">基准地价修正!$Q$19:$AD$19</definedName>
    <definedName name="价值类型2" localSheetId="28">[1]定义!$B$54:$B$56</definedName>
    <definedName name="价值类型2" localSheetId="13">[2]定义!$B$54:$B$56</definedName>
    <definedName name="价值类型2" localSheetId="27">[1]定义!$B$54:$B$56</definedName>
    <definedName name="价值类型2">定义!$B$54:$B$56</definedName>
    <definedName name="交通便捷度" localSheetId="28">[1]定义!$O$1:$O$6</definedName>
    <definedName name="交通便捷度" localSheetId="13">[2]定义!$O$1:$O$6</definedName>
    <definedName name="交通便捷度" localSheetId="27">[1]定义!$O$1:$O$6</definedName>
    <definedName name="交通便捷度">定义!$O$1:$O$6</definedName>
    <definedName name="九级">区片价!$P$1:$P$46</definedName>
    <definedName name="居住社区成熟度" localSheetId="28">[1]定义!$K$1:$K$6</definedName>
    <definedName name="居住社区成熟度" localSheetId="13">[2]定义!$K$1:$K$6</definedName>
    <definedName name="居住社区成熟度" localSheetId="27">[1]定义!$K$1:$K$6</definedName>
    <definedName name="居住社区成熟度">定义!$K$1:$K$6</definedName>
    <definedName name="类别" localSheetId="28">[1]定义!$J$1:$J$3</definedName>
    <definedName name="类别" localSheetId="13">[2]定义!$J$1:$J$3</definedName>
    <definedName name="类别" localSheetId="27">[1]定义!$J$1:$J$3</definedName>
    <definedName name="类别">定义!$J$1:$J$3</definedName>
    <definedName name="临街状况" localSheetId="28">[1]定义!$T$1:$T$5</definedName>
    <definedName name="临街状况" localSheetId="13">[2]定义!$T$1:$T$5</definedName>
    <definedName name="临街状况" localSheetId="27">[1]定义!$T$1:$T$5</definedName>
    <definedName name="临街状况">定义!$T$1:$T$5</definedName>
    <definedName name="六级">区片价!$M$1:$M$49</definedName>
    <definedName name="内部装修维护情况" localSheetId="28">[1]定义!$U$1:$U$6</definedName>
    <definedName name="内部装修维护情况" localSheetId="13">[2]定义!$U$1:$U$6</definedName>
    <definedName name="内部装修维护情况" localSheetId="27">[1]定义!$U$1:$U$6</definedName>
    <definedName name="内部装修维护情况">定义!$U$1:$U$6</definedName>
    <definedName name="判定" localSheetId="28">[1]定义!$D$1:$D$4</definedName>
    <definedName name="判定" localSheetId="13">[2]定义!$D$1:$D$4</definedName>
    <definedName name="判定" localSheetId="27">[1]定义!$D$1:$D$4</definedName>
    <definedName name="判定">定义!$D$1:$D$4</definedName>
    <definedName name="七级">区片价!$N$1:$N$49</definedName>
    <definedName name="七通一平" localSheetId="28">[1]修正!$A$6:$A$14</definedName>
    <definedName name="七通一平" localSheetId="13">[2]修正!$A$6:$A$14</definedName>
    <definedName name="七通一平" localSheetId="27">[1]修正!$A$6:$A$14</definedName>
    <definedName name="七通一平">修正!$A$6:$A$14</definedName>
    <definedName name="区域土地利用方向" localSheetId="28">[1]定义!$P$1:$P$6</definedName>
    <definedName name="区域土地利用方向" localSheetId="13">[2]定义!$P$1:$P$6</definedName>
    <definedName name="区域土地利用方向" localSheetId="27">[1]定义!$P$1:$P$6</definedName>
    <definedName name="区域土地利用方向">定义!$P$1:$P$6</definedName>
    <definedName name="三级">区片价!$J$1:$J$21</definedName>
    <definedName name="商业层高" localSheetId="28">'[1]比较法-商业'!$B$116:$M$116</definedName>
    <definedName name="商业层高" localSheetId="13">'[2]比较法-商业'!$B$116:$M$116</definedName>
    <definedName name="商业层高" localSheetId="27">'[1]比较法-商业'!$B$116:$M$116</definedName>
    <definedName name="商业层高">'比较法-商业'!$B$116:$M$116</definedName>
    <definedName name="商业成新度">'比较法-商业'!$B$109:$M$109</definedName>
    <definedName name="商业繁华度" localSheetId="28">[1]定义!$L$1:$L$6</definedName>
    <definedName name="商业繁华度" localSheetId="13">[2]定义!$L$1:$L$6</definedName>
    <definedName name="商业繁华度" localSheetId="27">[1]定义!$L$1:$L$6</definedName>
    <definedName name="商业繁华度">定义!$L$1:$L$6</definedName>
    <definedName name="商业公共部分装修" localSheetId="28">'[1]比较法-商业'!$B$107:$M$107</definedName>
    <definedName name="商业公共部分装修" localSheetId="13">'[2]比较法-商业'!$B$107:$M$107</definedName>
    <definedName name="商业公共部分装修" localSheetId="27">'[1]比较法-商业'!$B$107:$M$107</definedName>
    <definedName name="商业公共部分装修">'比较法-商业'!$B$107:$M$107</definedName>
    <definedName name="商业基础设施水平" localSheetId="28">'[1]比较法-商业'!$B$112:$M$112</definedName>
    <definedName name="商业基础设施水平" localSheetId="13">'[2]比较法-商业'!$B$112:$M$112</definedName>
    <definedName name="商业基础设施水平" localSheetId="27">'[1]比较法-商业'!$B$112:$M$112</definedName>
    <definedName name="商业基础设施水平">'比较法-商业'!$B$112:$M$112</definedName>
    <definedName name="商业建筑结构" localSheetId="28">'[1]比较法-商业'!$B$105:$M$105</definedName>
    <definedName name="商业建筑结构" localSheetId="13">'[2]比较法-商业'!$B$105:$M$105</definedName>
    <definedName name="商业建筑结构" localSheetId="27">'[1]比较法-商业'!$B$105:$M$105</definedName>
    <definedName name="商业建筑结构">'比较法-商业'!$B$105:$M$105</definedName>
    <definedName name="商业交易情况" localSheetId="28">'[1]比较法-商业'!$A$61:$M$61</definedName>
    <definedName name="商业交易情况" localSheetId="13">'[2]比较法-商业'!$A$61:$M$61</definedName>
    <definedName name="商业交易情况" localSheetId="27">'[1]比较法-商业'!$A$61:$M$61</definedName>
    <definedName name="商业交易情况">'比较法-商业'!$A$61:$M$61</definedName>
    <definedName name="商业街名称" localSheetId="28">[1]修正!$C$59:$C$119</definedName>
    <definedName name="商业街名称" localSheetId="13">[2]修正!$C$59:$C$119</definedName>
    <definedName name="商业街名称" localSheetId="27">[1]修正!$C$59:$C$119</definedName>
    <definedName name="商业街名称">修正!$C$59:$C$119</definedName>
    <definedName name="商业进深比" localSheetId="28">'[1]比较法-商业'!$B$120:$M$120</definedName>
    <definedName name="商业进深比" localSheetId="13">'[2]比较法-商业'!$B$120:$M$120</definedName>
    <definedName name="商业进深比" localSheetId="27">'[1]比较法-商业'!$B$120:$M$120</definedName>
    <definedName name="商业进深比">'比较法-商业'!$B$120:$M$120</definedName>
    <definedName name="商业类型" localSheetId="28">'[1]比较法-商业'!$B$100:$M$100</definedName>
    <definedName name="商业类型" localSheetId="13">'[2]比较法-商业'!$B$100:$M$100</definedName>
    <definedName name="商业类型" localSheetId="27">'[1]比较法-商业'!$B$100:$M$100</definedName>
    <definedName name="商业类型">'比较法-商业'!$B$100:$M$100</definedName>
    <definedName name="商业临街状况" localSheetId="28">'[1]比较法-商业'!$B$86:$M$86</definedName>
    <definedName name="商业临街状况" localSheetId="13">'[2]比较法-商业'!$B$86:$M$86</definedName>
    <definedName name="商业临街状况" localSheetId="27">'[1]比较法-商业'!$B$86:$M$86</definedName>
    <definedName name="商业临街状况">'比较法-商业'!$B$86:$M$86</definedName>
    <definedName name="商业楼层" localSheetId="28">'[1]比较法-商业'!$B$92:$M$92</definedName>
    <definedName name="商业楼层" localSheetId="13">'[2]比较法-商业'!$B$92:$M$92</definedName>
    <definedName name="商业楼层" localSheetId="27">'[1]比较法-商业'!$B$92:$M$92</definedName>
    <definedName name="商业楼层">'比较法-商业'!$B$92:$M$92</definedName>
    <definedName name="商业内部装修" localSheetId="28">'[1]比较法-商业'!$B$122:$M$122</definedName>
    <definedName name="商业内部装修" localSheetId="13">'[2]比较法-商业'!$B$122:$M$122</definedName>
    <definedName name="商业内部装修" localSheetId="27">'[1]比较法-商业'!$B$122:$M$122</definedName>
    <definedName name="商业内部装修">'比较法-商业'!$B$122:$M$122</definedName>
    <definedName name="商业人流量" localSheetId="28">'[1]比较法-商业'!$B$90:$M$90</definedName>
    <definedName name="商业人流量" localSheetId="13">'[2]比较法-商业'!$B$90:$M$90</definedName>
    <definedName name="商业人流量" localSheetId="27">'[1]比较法-商业'!$B$90:$M$90</definedName>
    <definedName name="商业人流量">'比较法-商业'!$B$90:$M$90</definedName>
    <definedName name="商业业态" localSheetId="28">'[1]比较法-商业'!$B$114:$M$114</definedName>
    <definedName name="商业业态" localSheetId="13">'[2]比较法-商业'!$B$114:$M$114</definedName>
    <definedName name="商业业态" localSheetId="27">'[1]比较法-商业'!$B$114:$M$114</definedName>
    <definedName name="商业业态">'比较法-商业'!$B$114:$M$114</definedName>
    <definedName name="商业用途" localSheetId="28">'[1]比较法-商业'!$B$63:$M$63</definedName>
    <definedName name="商业用途" localSheetId="13">'[2]比较法-商业'!$B$63:$M$63</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 localSheetId="13">'[2]比较法-仓储'!$B$89:$M$89</definedName>
    <definedName name="是否封闭" localSheetId="27">'[1]比较法-仓储'!$B$89:$M$89</definedName>
    <definedName name="是否封闭">'比较法-仓储'!$B$89:$M$89</definedName>
    <definedName name="是否直接入户" localSheetId="28">'[1]比较法-车位'!$B$95:$M$95</definedName>
    <definedName name="是否直接入户" localSheetId="13">'[2]比较法-车位'!$B$95:$M$95</definedName>
    <definedName name="是否直接入户" localSheetId="27">'[1]比较法-车位'!$B$95:$M$95</definedName>
    <definedName name="是否直接入户">'比较法-车位'!$B$95:$M$95</definedName>
    <definedName name="四级">区片价!$K$1:$K$28</definedName>
    <definedName name="套工道路等级" localSheetId="28">'[1]土地比较法-工业'!$B$97:$M$97</definedName>
    <definedName name="套工道路等级" localSheetId="13">'[2]土地比较法-工业'!$B$97:$M$97</definedName>
    <definedName name="套工道路等级" localSheetId="27">'[1]土地比较法-工业'!$B$97:$M$97</definedName>
    <definedName name="套工道路等级">'土地比较法-工业'!$B$97:$M$97</definedName>
    <definedName name="套工地质条件" localSheetId="28">'[1]土地比较法-工业'!$B$114:$M$114</definedName>
    <definedName name="套工地质条件" localSheetId="13">'[2]土地比较法-工业'!$B$114:$M$114</definedName>
    <definedName name="套工地质条件" localSheetId="27">'[1]土地比较法-工业'!$B$114:$M$114</definedName>
    <definedName name="套工地质条件">'土地比较法-工业'!$B$114:$M$114</definedName>
    <definedName name="套工工程地质条件">'[3]比较法-工业'!$B$116:$M$116</definedName>
    <definedName name="套工交易情况" localSheetId="28">'[1]土地比较法-住宅、综合'!$A$73:$M$73</definedName>
    <definedName name="套工交易情况" localSheetId="13">'[2]土地比较法-住宅、综合'!$A$73:$M$73</definedName>
    <definedName name="套工交易情况" localSheetId="27">'[1]土地比较法-住宅、综合'!$A$73:$M$73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28">'[1]土地比较法-工业'!$B$99:$M$99</definedName>
    <definedName name="套工土地级别" localSheetId="13">'[2]土地比较法-工业'!$B$99:$M$99</definedName>
    <definedName name="套工土地级别" localSheetId="27">'[1]土地比较法-工业'!$B$99:$M$99</definedName>
    <definedName name="套工土地级别">'土地比较法-工业'!$B$99:$M$99</definedName>
    <definedName name="套工用途" localSheetId="28">'[1]土地比较法-工业'!$B$70:$M$70</definedName>
    <definedName name="套工用途" localSheetId="13">'[2]土地比较法-工业'!$B$70:$M$70</definedName>
    <definedName name="套工用途" localSheetId="27">'[1]土地比较法-工业'!$B$70:$M$70</definedName>
    <definedName name="套工用途">'土地比较法-工业'!$B$70:$M$70</definedName>
    <definedName name="套工宗地开发程度" localSheetId="28">'[1]土地比较法-工业'!$B$112:$M$112</definedName>
    <definedName name="套工宗地开发程度" localSheetId="13">'[2]土地比较法-工业'!$B$112:$M$112</definedName>
    <definedName name="套工宗地开发程度" localSheetId="27">'[1]土地比较法-工业'!$B$112:$M$112</definedName>
    <definedName name="套工宗地开发程度">'土地比较法-工业'!$B$112:$M$112</definedName>
    <definedName name="套工宗地形状" localSheetId="28">'[1]土地比较法-工业'!$B$110:$M$110</definedName>
    <definedName name="套工宗地形状" localSheetId="13">'[2]土地比较法-工业'!$B$110:$M$110</definedName>
    <definedName name="套工宗地形状" localSheetId="27">'[1]土地比较法-工业'!$B$110:$M$110</definedName>
    <definedName name="套工宗地形状">'土地比较法-工业'!$B$110:$M$110</definedName>
    <definedName name="套综道路等级" localSheetId="28">'[1]土地比较法-住宅、综合'!$B$106:$M$106</definedName>
    <definedName name="套综道路等级" localSheetId="13">'[2]土地比较法-住宅、综合'!$B$106:$M$106</definedName>
    <definedName name="套综道路等级" localSheetId="27">'[1]土地比较法-住宅、综合'!$B$106:$M$106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'[2]土地比较法-住宅、综合'!$B$125:$M$125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8">'[1]土地比较法-住宅、综合'!$A$73:$M$73</definedName>
    <definedName name="套综交易情况" localSheetId="13">'[2]土地比较法-住宅、综合'!$A$73:$M$73</definedName>
    <definedName name="套综交易情况" localSheetId="27">'[1]土地比较法-住宅、综合'!$A$73:$M$73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'[2]土地比较法-住宅、综合'!$B$121:$M$121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'[2]土地比较法-住宅、综合'!$B$108:$M$108</definedName>
    <definedName name="套综土地级别" localSheetId="27">'[1]土地比较法-住宅、综合'!$B$108:$M$108</definedName>
    <definedName name="套综土地级别">'土地比较法-住宅、综合'!$B$108:$M$108</definedName>
    <definedName name="套综用途" localSheetId="28">'[1]土地比较法-住宅、综合'!$B$75:$M$75</definedName>
    <definedName name="套综用途" localSheetId="13">'[2]土地比较法-住宅、综合'!$B$75:$M$75</definedName>
    <definedName name="套综用途" localSheetId="27">'[1]土地比较法-住宅、综合'!$B$75:$M$75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'[2]土地比较法-住宅、综合'!$B$123:$M$123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'[2]土地比较法-住宅、综合'!$B$119:$M$119</definedName>
    <definedName name="套综宗地形状" localSheetId="27">'[1]土地比较法-住宅、综合'!$B$119:$M$119</definedName>
    <definedName name="套综宗地形状">'土地比较法-住宅、综合'!$B$119:$M$119</definedName>
    <definedName name="土地估价师" localSheetId="13">[3]估价师及机构信息!$D$3:$D$24</definedName>
    <definedName name="土地估价师">估价师及机构信息!$D$3:$D$24</definedName>
    <definedName name="土地级别" localSheetId="28">[1]定义!$C$1:$C$14</definedName>
    <definedName name="土地级别" localSheetId="13">[2]定义!$C$1:$C$14</definedName>
    <definedName name="土地级别" localSheetId="27">[1]定义!$C$1:$C$14</definedName>
    <definedName name="土地级别">定义!$C$1:$C$14</definedName>
    <definedName name="土地利用方向">定义!$P$1:$P$6</definedName>
    <definedName name="土地年限区间" localSheetId="28">[1]定义!$I$1:$I$8</definedName>
    <definedName name="土地年限区间" localSheetId="13">[2]定义!$I$1:$I$8</definedName>
    <definedName name="土地年限区间" localSheetId="27">[1]定义!$I$1:$I$8</definedName>
    <definedName name="土地年限区间">定义!$I$1:$I$8</definedName>
    <definedName name="位置" localSheetId="28">[1]定义!$E$2:$E$4</definedName>
    <definedName name="位置" localSheetId="13">[2]定义!$E$2:$E$4</definedName>
    <definedName name="位置" localSheetId="27">[1]定义!$E$2:$E$4</definedName>
    <definedName name="位置">定义!$E$2:$E$4</definedName>
    <definedName name="五等判定" localSheetId="28">[1]定义!$W$1:$W$6</definedName>
    <definedName name="五等判定" localSheetId="13">[2]定义!$W$1:$W$6</definedName>
    <definedName name="五等判定" localSheetId="27">[1]定义!$W$1:$W$6</definedName>
    <definedName name="五等判定">定义!$W$1:$W$6</definedName>
    <definedName name="五级">区片价!$L$1:$L$35</definedName>
    <definedName name="项目类型" localSheetId="28">'[1]数据-汇总表'!$C$17:$C$26</definedName>
    <definedName name="项目类型" localSheetId="13">'[2]数据-汇总表'!$C$17:$C$26</definedName>
    <definedName name="项目类型" localSheetId="27">'[1]数据-汇总表'!$C$17:$C$26</definedName>
    <definedName name="项目类型">'数据-汇总表'!$C$17:$C$26</definedName>
    <definedName name="写字楼等级" localSheetId="28">'[1]比较法-办公'!$B$113:$M$113</definedName>
    <definedName name="写字楼等级" localSheetId="13">'[2]比较法-办公'!$B$113:$M$113</definedName>
    <definedName name="写字楼等级" localSheetId="27">'[1]比较法-办公'!$B$113:$M$113</definedName>
    <definedName name="写字楼等级">'比较法-办公'!$B$113:$M$113</definedName>
    <definedName name="一级">区片价!$H$1:$H$6</definedName>
    <definedName name="一修多修正项2" localSheetId="28">[1]典型户型修正!$5:$5</definedName>
    <definedName name="一修多修正项2" localSheetId="13">[2]典型户型修正!$5:$5</definedName>
    <definedName name="一修多修正项2" localSheetId="27">[1]典型户型修正!$5:$5</definedName>
    <definedName name="一修多修正项2">典型户型修正!$5:$5</definedName>
    <definedName name="一修多修正项3" localSheetId="28">[1]典型户型修正!$7:$7</definedName>
    <definedName name="一修多修正项3" localSheetId="13">[2]典型户型修正!$7:$7</definedName>
    <definedName name="一修多修正项3" localSheetId="27">[1]典型户型修正!$7:$7</definedName>
    <definedName name="一修多修正项3">典型户型修正!$7:$7</definedName>
    <definedName name="一修多修正项4" localSheetId="28">[1]典型户型修正!$9:$9</definedName>
    <definedName name="一修多修正项4" localSheetId="13">[2]典型户型修正!$9:$9</definedName>
    <definedName name="一修多修正项4" localSheetId="27">[1]典型户型修正!$9:$9</definedName>
    <definedName name="一修多修正项4">典型户型修正!$9:$9</definedName>
    <definedName name="一修多修正项5" localSheetId="28">[1]典型户型修正!$11:$11</definedName>
    <definedName name="一修多修正项5" localSheetId="13">[2]典型户型修正!$11:$11</definedName>
    <definedName name="一修多修正项5" localSheetId="27">[1]典型户型修正!$11:$11</definedName>
    <definedName name="一修多修正项5">典型户型修正!$11:$11</definedName>
    <definedName name="一修多修正项6" localSheetId="28">[1]典型户型修正!$13:$13</definedName>
    <definedName name="一修多修正项6" localSheetId="13">[2]典型户型修正!$13:$13</definedName>
    <definedName name="一修多修正项6" localSheetId="27">[1]典型户型修正!$13:$13</definedName>
    <definedName name="一修多修正项6">典型户型修正!$13:$13</definedName>
    <definedName name="一修多修正项7" localSheetId="28">[1]典型户型修正!$15:$15</definedName>
    <definedName name="一修多修正项7" localSheetId="13">[2]典型户型修正!$15:$15</definedName>
    <definedName name="一修多修正项7" localSheetId="27">[1]典型户型修正!$15:$15</definedName>
    <definedName name="一修多修正项7">典型户型修正!$15:$15</definedName>
    <definedName name="一修多修正项8" localSheetId="28">[1]典型户型修正!$17:$17</definedName>
    <definedName name="一修多修正项8" localSheetId="13">[2]典型户型修正!$17:$17</definedName>
    <definedName name="一修多修正项8" localSheetId="27">[1]典型户型修正!$17:$17</definedName>
    <definedName name="一修多修正项8">典型户型修正!$17:$17</definedName>
    <definedName name="用途类型">[3]定义!$A$1:$A$50</definedName>
    <definedName name="用途明细" localSheetId="28">[1]定义!$A$1:$A$50</definedName>
    <definedName name="用途明细" localSheetId="13">[2]定义!$A$1:$A$50</definedName>
    <definedName name="用途明细" localSheetId="27">[1]定义!$A$1:$A$50</definedName>
    <definedName name="用途明细">定义!$A$1:$A$50</definedName>
    <definedName name="有无电梯" localSheetId="28">'[1]比较法-仓储'!$B$84:$M$84</definedName>
    <definedName name="有无电梯" localSheetId="13">'[2]比较法-仓储'!$B$84:$M$84</definedName>
    <definedName name="有无电梯" localSheetId="27">'[1]比较法-仓储'!$B$84:$M$84</definedName>
    <definedName name="有无电梯">'比较法-仓储'!$B$84:$M$84</definedName>
    <definedName name="主用途" localSheetId="28">[1]定义!$F$1:$F$10</definedName>
    <definedName name="主用途" localSheetId="13">[2]定义!$F$1:$F$10</definedName>
    <definedName name="主用途" localSheetId="27">[1]定义!$F$1:$F$10</definedName>
    <definedName name="主用途">定义!$F$1:$F$10</definedName>
    <definedName name="住宅朝向" localSheetId="26">'比较法-洋房'!$B$88:$M$88</definedName>
    <definedName name="住宅朝向" localSheetId="28">'[1]比较法-洋房'!$B$88:$M$88</definedName>
    <definedName name="住宅朝向" localSheetId="13">#REF!</definedName>
    <definedName name="住宅朝向" localSheetId="27">'[1]比较法-洋房'!$B$88:$M$88</definedName>
    <definedName name="住宅朝向">#REF!</definedName>
    <definedName name="住宅房型" localSheetId="26">'比较法-洋房'!$B$118:$M$118</definedName>
    <definedName name="住宅房型" localSheetId="28">'[1]比较法-洋房'!$B$118:$M$118</definedName>
    <definedName name="住宅房型" localSheetId="13">#REF!</definedName>
    <definedName name="住宅房型" localSheetId="27">'[1]比较法-洋房'!$B$118:$M$118</definedName>
    <definedName name="住宅房型">#REF!</definedName>
    <definedName name="住宅公共部分装修" localSheetId="26">'比较法-洋房'!$B$109:$M$109</definedName>
    <definedName name="住宅公共部分装修" localSheetId="28">'[1]比较法-洋房'!$B$109:$M$109</definedName>
    <definedName name="住宅公共部分装修" localSheetId="13">#REF!</definedName>
    <definedName name="住宅公共部分装修" localSheetId="27">'[1]比较法-洋房'!$B$109:$M$109</definedName>
    <definedName name="住宅公共部分装修">#REF!</definedName>
    <definedName name="住宅基础设施水平" localSheetId="26">'比较法-洋房'!$B$116:$M$116</definedName>
    <definedName name="住宅基础设施水平" localSheetId="28">'[1]比较法-洋房'!$B$116:$M$116</definedName>
    <definedName name="住宅基础设施水平" localSheetId="13">#REF!</definedName>
    <definedName name="住宅基础设施水平" localSheetId="27">'[1]比较法-洋房'!$B$116:$M$116</definedName>
    <definedName name="住宅基础设施水平">#REF!</definedName>
    <definedName name="住宅建筑结构" localSheetId="26">'比较法-洋房'!$B$105:$M$105</definedName>
    <definedName name="住宅建筑结构" localSheetId="28">'[1]比较法-洋房'!$B$105:$M$105</definedName>
    <definedName name="住宅建筑结构" localSheetId="13">#REF!</definedName>
    <definedName name="住宅建筑结构" localSheetId="27">'[1]比较法-洋房'!$B$105:$M$105</definedName>
    <definedName name="住宅建筑结构">#REF!</definedName>
    <definedName name="住宅建筑类型" localSheetId="26">'比较法-洋房'!$B$100:$M$100</definedName>
    <definedName name="住宅建筑类型" localSheetId="28">'[1]比较法-洋房'!$B$100:$M$100</definedName>
    <definedName name="住宅建筑类型" localSheetId="13">#REF!</definedName>
    <definedName name="住宅建筑类型" localSheetId="27">'[1]比较法-洋房'!$B$100:$M$100</definedName>
    <definedName name="住宅建筑类型">#REF!</definedName>
    <definedName name="住宅建筑品质" localSheetId="26">'比较法-洋房'!$B$107:$M$107</definedName>
    <definedName name="住宅建筑品质" localSheetId="28">'[1]比较法-洋房'!$B$107:$M$107</definedName>
    <definedName name="住宅建筑品质" localSheetId="13">#REF!</definedName>
    <definedName name="住宅建筑品质" localSheetId="27">'[1]比较法-洋房'!$B$107:$M$107</definedName>
    <definedName name="住宅建筑品质">#REF!</definedName>
    <definedName name="住宅交易情况" localSheetId="26">'比较法-洋房'!$A$61:$M$61</definedName>
    <definedName name="住宅交易情况" localSheetId="28">'[1]比较法-洋房'!$A$61:$M$61</definedName>
    <definedName name="住宅交易情况" localSheetId="13">#REF!</definedName>
    <definedName name="住宅交易情况" localSheetId="27">'[1]比较法-洋房'!$A$61:$M$61</definedName>
    <definedName name="住宅交易情况">#REF!</definedName>
    <definedName name="住宅楼层" localSheetId="26">'比较法-洋房'!$B$86:$M$86</definedName>
    <definedName name="住宅楼层" localSheetId="28">'[1]比较法-洋房'!$B$86:$M$86</definedName>
    <definedName name="住宅楼层" localSheetId="13">#REF!</definedName>
    <definedName name="住宅楼层" localSheetId="27">'[1]比较法-洋房'!$B$86:$M$86</definedName>
    <definedName name="住宅楼层">#REF!</definedName>
    <definedName name="住宅内部装修" localSheetId="26">'比较法-洋房'!$B$122:$M$122</definedName>
    <definedName name="住宅内部装修" localSheetId="28">'[1]比较法-洋房'!$B$122:$M$122</definedName>
    <definedName name="住宅内部装修" localSheetId="13">#REF!</definedName>
    <definedName name="住宅内部装修" localSheetId="27">'[1]比较法-洋房'!$B$122:$M$122</definedName>
    <definedName name="住宅内部装修">#REF!</definedName>
    <definedName name="住宅物业管理" localSheetId="26">'比较法-洋房'!$B$114:$M$114</definedName>
    <definedName name="住宅物业管理" localSheetId="28">'[1]比较法-洋房'!$B$114:$M$114</definedName>
    <definedName name="住宅物业管理" localSheetId="13">#REF!</definedName>
    <definedName name="住宅物业管理" localSheetId="27">'[1]比较法-洋房'!$B$114:$M$114</definedName>
    <definedName name="住宅物业管理">#REF!</definedName>
    <definedName name="住宅用途" localSheetId="26">'比较法-洋房'!$B$63:$M$63</definedName>
    <definedName name="住宅用途" localSheetId="28">'[1]比较法-洋房'!$B$63:$M$63</definedName>
    <definedName name="住宅用途" localSheetId="13">#REF!</definedName>
    <definedName name="住宅用途" localSheetId="27">'[1]比较法-洋房'!$B$63:$M$63</definedName>
    <definedName name="住宅用途">#REF!</definedName>
    <definedName name="住宅主力户型面积" localSheetId="26">'比较法-洋房'!$B$120:$M$120</definedName>
    <definedName name="住宅主力户型面积">#REF!</definedName>
    <definedName name="注册房地产估价师" localSheetId="28">[1]估价师及机构信息!$A$3:$A$24</definedName>
    <definedName name="注册房地产估价师" localSheetId="13">[2]估价师及机构信息!$A$3:$A$24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8" i="12" l="1"/>
  <c r="D6" i="12"/>
  <c r="L7" i="1"/>
  <c r="L6" i="1"/>
  <c r="L14" i="1"/>
  <c r="D5" i="73"/>
  <c r="G1" i="73"/>
  <c r="B40" i="1"/>
  <c r="F22" i="68"/>
  <c r="C8" i="68"/>
  <c r="C5" i="68"/>
  <c r="B23" i="1"/>
  <c r="C23" i="68"/>
  <c r="C24" i="68"/>
  <c r="C20" i="68"/>
  <c r="C25" i="68"/>
  <c r="C22" i="68"/>
  <c r="F27" i="68"/>
  <c r="C28" i="68"/>
  <c r="C27" i="68"/>
  <c r="C26" i="68"/>
  <c r="D22" i="68"/>
  <c r="C29" i="68"/>
  <c r="D27" i="68"/>
  <c r="C31" i="68"/>
  <c r="M14" i="1"/>
  <c r="M6" i="1"/>
  <c r="M7" i="1"/>
  <c r="M16" i="1"/>
  <c r="N16" i="1"/>
  <c r="B24" i="1"/>
  <c r="F34" i="68"/>
  <c r="O14" i="1"/>
  <c r="O6" i="1"/>
  <c r="O7" i="1"/>
  <c r="O16" i="1"/>
  <c r="C34" i="68"/>
  <c r="C35" i="68"/>
  <c r="C36" i="68"/>
  <c r="D9" i="68"/>
  <c r="D10" i="68"/>
  <c r="D19" i="68"/>
  <c r="D37" i="68"/>
  <c r="C37" i="68"/>
  <c r="C38" i="68"/>
  <c r="C33" i="68"/>
  <c r="C39" i="68"/>
  <c r="C42" i="68"/>
  <c r="C43" i="68"/>
  <c r="C41" i="68"/>
  <c r="C46" i="68"/>
  <c r="C45" i="68"/>
  <c r="C44" i="68"/>
  <c r="D41" i="68"/>
  <c r="C47" i="68"/>
  <c r="D45" i="68"/>
  <c r="C49" i="68"/>
  <c r="F50" i="68"/>
  <c r="C51" i="68"/>
  <c r="C52" i="68"/>
  <c r="B2" i="68"/>
  <c r="C19" i="9"/>
  <c r="P14" i="1"/>
  <c r="P6" i="1"/>
  <c r="P7" i="1"/>
  <c r="P16" i="1"/>
  <c r="C11" i="12"/>
  <c r="C12" i="12"/>
  <c r="C13" i="12"/>
  <c r="D14" i="12"/>
  <c r="F11" i="12"/>
  <c r="C14" i="12"/>
  <c r="C15" i="12"/>
  <c r="C16" i="12"/>
  <c r="D17" i="12"/>
  <c r="C17" i="12"/>
  <c r="D19" i="12"/>
  <c r="C19" i="12"/>
  <c r="D20" i="12"/>
  <c r="C20" i="12"/>
  <c r="C18" i="12"/>
  <c r="C21" i="12"/>
  <c r="C22" i="12"/>
  <c r="C4" i="12"/>
  <c r="C23" i="12"/>
  <c r="F25" i="12"/>
  <c r="C27" i="12"/>
  <c r="C25" i="12"/>
  <c r="F28" i="12"/>
  <c r="C30" i="12"/>
  <c r="C28" i="12"/>
  <c r="C26" i="12"/>
  <c r="D25" i="12"/>
  <c r="C29" i="12"/>
  <c r="D28" i="12"/>
  <c r="C31" i="12"/>
  <c r="C32" i="12"/>
  <c r="B2" i="12"/>
  <c r="D19" i="9"/>
  <c r="G19" i="9"/>
  <c r="C32" i="9"/>
  <c r="H118" i="9"/>
  <c r="D14" i="74"/>
  <c r="H101" i="9"/>
  <c r="H107" i="9"/>
  <c r="D122" i="9"/>
  <c r="G14" i="74"/>
  <c r="C6" i="12"/>
  <c r="C8" i="12"/>
  <c r="O17" i="77"/>
  <c r="N17" i="77"/>
  <c r="H10" i="77"/>
  <c r="N8" i="77"/>
  <c r="N9" i="77"/>
  <c r="N10" i="77"/>
  <c r="N11" i="77"/>
  <c r="N12" i="77"/>
  <c r="N13" i="77"/>
  <c r="N14" i="77"/>
  <c r="N15" i="77"/>
  <c r="N16" i="77"/>
  <c r="N7" i="77"/>
  <c r="H9" i="77"/>
  <c r="B3" i="80"/>
  <c r="L9" i="12"/>
  <c r="I14" i="3"/>
  <c r="H14" i="3"/>
  <c r="F20" i="6"/>
  <c r="E20" i="6"/>
  <c r="D7" i="12"/>
  <c r="M8" i="12"/>
  <c r="I13" i="3"/>
  <c r="H13" i="3"/>
  <c r="F19" i="6"/>
  <c r="E19" i="6"/>
  <c r="D3" i="80"/>
  <c r="B2" i="80"/>
  <c r="C7" i="12"/>
  <c r="L8" i="12"/>
  <c r="D3" i="4"/>
  <c r="C1" i="73"/>
  <c r="J1" i="73"/>
  <c r="B22" i="1"/>
  <c r="E1" i="73"/>
  <c r="K1" i="73"/>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C6" i="68"/>
  <c r="F7" i="68"/>
  <c r="C7" i="68"/>
  <c r="C19" i="68"/>
  <c r="F20" i="68"/>
  <c r="F21" i="68"/>
  <c r="C21" i="68"/>
  <c r="BB11" i="3"/>
  <c r="BC11" i="3"/>
  <c r="BD11" i="3"/>
  <c r="BE11" i="3"/>
  <c r="BF11" i="3"/>
  <c r="BG11" i="3"/>
  <c r="BH11" i="3"/>
  <c r="BI11" i="3"/>
  <c r="BJ11" i="3"/>
  <c r="BK11" i="3"/>
  <c r="BM11" i="3"/>
  <c r="BN11" i="3"/>
  <c r="BO11" i="3"/>
  <c r="BP11" i="3"/>
  <c r="BQ11" i="3"/>
  <c r="BR11" i="3"/>
  <c r="BS11" i="3"/>
  <c r="BT11" i="3"/>
  <c r="F5" i="3"/>
  <c r="AC13" i="3"/>
  <c r="G13" i="3"/>
  <c r="AC14" i="3"/>
  <c r="G14" i="3"/>
  <c r="H15" i="3"/>
  <c r="AD15" i="3"/>
  <c r="AC15" i="3"/>
  <c r="G15" i="3"/>
  <c r="H16" i="3"/>
  <c r="AL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13" i="3"/>
  <c r="BM13" i="3"/>
  <c r="BN13" i="3"/>
  <c r="BO13" i="3"/>
  <c r="BP13" i="3"/>
  <c r="BQ13" i="3"/>
  <c r="BR13" i="3"/>
  <c r="BS13" i="3"/>
  <c r="BT13" i="3"/>
  <c r="BL13" i="3"/>
  <c r="AZ13" i="3"/>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AZ5" i="3"/>
  <c r="BA5" i="3"/>
  <c r="BL5" i="3"/>
  <c r="BM5" i="3"/>
  <c r="BN5" i="3"/>
  <c r="BO5" i="3"/>
  <c r="BP5" i="3"/>
  <c r="BQ5" i="3"/>
  <c r="BR5" i="3"/>
  <c r="BS5" i="3"/>
  <c r="BT5" i="3"/>
  <c r="E5" i="6"/>
  <c r="E3" i="6"/>
  <c r="E6" i="6"/>
  <c r="E37" i="68"/>
  <c r="C40" i="68"/>
  <c r="A6" i="1"/>
  <c r="K6" i="1"/>
  <c r="A7" i="1"/>
  <c r="K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F12" i="12"/>
  <c r="B2" i="1"/>
  <c r="C42" i="1"/>
  <c r="F13" i="12"/>
  <c r="E14" i="12"/>
  <c r="F15" i="12"/>
  <c r="E17" i="12"/>
  <c r="E19" i="12"/>
  <c r="E20" i="12"/>
  <c r="R47" i="80"/>
  <c r="C7" i="80"/>
  <c r="E7" i="80"/>
  <c r="C58" i="80"/>
  <c r="D58" i="80"/>
  <c r="E58" i="80"/>
  <c r="F58" i="80"/>
  <c r="G58" i="80"/>
  <c r="H58" i="80"/>
  <c r="I58" i="80"/>
  <c r="J58" i="80"/>
  <c r="K58" i="80"/>
  <c r="L58" i="80"/>
  <c r="M58" i="80"/>
  <c r="N58" i="80"/>
  <c r="O58" i="80"/>
  <c r="F7" i="80"/>
  <c r="AA7" i="80"/>
  <c r="F8" i="80"/>
  <c r="AA8" i="80"/>
  <c r="C63" i="80"/>
  <c r="F9" i="80"/>
  <c r="AA9" i="80"/>
  <c r="F10" i="80"/>
  <c r="AA10" i="80"/>
  <c r="D69" i="80"/>
  <c r="F11" i="80"/>
  <c r="AA11" i="80"/>
  <c r="B70" i="80"/>
  <c r="F12" i="80"/>
  <c r="AA12" i="80"/>
  <c r="B72" i="80"/>
  <c r="F13" i="80"/>
  <c r="AA13" i="80"/>
  <c r="B74" i="80"/>
  <c r="F14" i="80"/>
  <c r="AA14" i="80"/>
  <c r="D77" i="80"/>
  <c r="F15" i="80"/>
  <c r="AA15" i="80"/>
  <c r="D79" i="80"/>
  <c r="E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F32" i="80"/>
  <c r="AA32" i="80"/>
  <c r="F33" i="80"/>
  <c r="AA33" i="80"/>
  <c r="F34" i="80"/>
  <c r="AA34" i="80"/>
  <c r="F35" i="80"/>
  <c r="AA35" i="80"/>
  <c r="F36" i="80"/>
  <c r="AA36" i="80"/>
  <c r="D113" i="80"/>
  <c r="E113" i="80"/>
  <c r="F113" i="80"/>
  <c r="G113" i="80"/>
  <c r="F37" i="80"/>
  <c r="AA37" i="80"/>
  <c r="F38" i="80"/>
  <c r="AA38" i="80"/>
  <c r="F39" i="80"/>
  <c r="AA39" i="80"/>
  <c r="F40" i="80"/>
  <c r="AA40" i="80"/>
  <c r="F41" i="80"/>
  <c r="AA41" i="80"/>
  <c r="F42" i="80"/>
  <c r="AA42" i="80"/>
  <c r="F43" i="80"/>
  <c r="AA43" i="80"/>
  <c r="B126" i="80"/>
  <c r="F44" i="80"/>
  <c r="AA44" i="80"/>
  <c r="B128" i="80"/>
  <c r="F45" i="80"/>
  <c r="AA45" i="80"/>
  <c r="B130" i="80"/>
  <c r="F46" i="80"/>
  <c r="AA46" i="80"/>
  <c r="R48"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V47" i="80"/>
  <c r="I7" i="80"/>
  <c r="J7" i="80"/>
  <c r="AC7" i="80"/>
  <c r="J8" i="80"/>
  <c r="AC8" i="80"/>
  <c r="J9" i="80"/>
  <c r="AC9" i="80"/>
  <c r="J10" i="80"/>
  <c r="AC10"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J33" i="80"/>
  <c r="AC33" i="80"/>
  <c r="J34" i="80"/>
  <c r="AC34" i="80"/>
  <c r="J35" i="80"/>
  <c r="AC35" i="80"/>
  <c r="J36" i="80"/>
  <c r="AC36" i="80"/>
  <c r="J37" i="80"/>
  <c r="AC37" i="80"/>
  <c r="J38" i="80"/>
  <c r="AC38" i="80"/>
  <c r="J39" i="80"/>
  <c r="AC39" i="80"/>
  <c r="J40" i="80"/>
  <c r="AC40" i="80"/>
  <c r="J41" i="80"/>
  <c r="AC41" i="80"/>
  <c r="D123" i="80"/>
  <c r="E123" i="80"/>
  <c r="F123" i="80"/>
  <c r="J42" i="80"/>
  <c r="AC42" i="80"/>
  <c r="J43" i="80"/>
  <c r="AC43" i="80"/>
  <c r="J44" i="80"/>
  <c r="AC44" i="80"/>
  <c r="J45" i="80"/>
  <c r="AC45" i="80"/>
  <c r="J46" i="80"/>
  <c r="AC46" i="80"/>
  <c r="V48" i="80"/>
  <c r="R49" i="80"/>
  <c r="C49" i="80"/>
  <c r="F23" i="12"/>
  <c r="F24" i="12"/>
  <c r="C24" i="12"/>
  <c r="E107" i="9"/>
  <c r="C88" i="9"/>
  <c r="J140" i="80"/>
  <c r="C145" i="80"/>
  <c r="K139" i="80"/>
  <c r="K145" i="80"/>
  <c r="K144" i="80"/>
  <c r="K143" i="80"/>
  <c r="J142" i="80"/>
  <c r="K141" i="80"/>
  <c r="D125" i="80"/>
  <c r="E125" i="80"/>
  <c r="F125" i="80"/>
  <c r="G125"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F79" i="80"/>
  <c r="G79" i="80"/>
  <c r="E77" i="80"/>
  <c r="F77" i="80"/>
  <c r="G77"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A3" i="3"/>
  <c r="G19" i="77"/>
  <c r="G18" i="77"/>
  <c r="G17" i="77"/>
  <c r="G16" i="77"/>
  <c r="G15" i="77"/>
  <c r="G14" i="77"/>
  <c r="G13" i="77"/>
  <c r="G12" i="77"/>
  <c r="G11" i="77"/>
  <c r="G10" i="77"/>
  <c r="G9" i="77"/>
  <c r="G8" i="77"/>
  <c r="G7" i="77"/>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D15" i="4"/>
  <c r="F6" i="1"/>
  <c r="G1" i="67"/>
  <c r="F8" i="1"/>
  <c r="L48" i="67"/>
  <c r="J50" i="67"/>
  <c r="J51" i="67"/>
  <c r="M47" i="67"/>
  <c r="J53" i="67"/>
  <c r="G1" i="15"/>
  <c r="L48" i="15"/>
  <c r="J50" i="15"/>
  <c r="J51" i="15"/>
  <c r="M47" i="15"/>
  <c r="J53" i="15"/>
  <c r="AH6" i="71"/>
  <c r="AG6" i="71"/>
  <c r="AE6" i="71"/>
  <c r="AF6" i="71"/>
  <c r="AD6" i="71"/>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38" i="69"/>
  <c r="E37" i="69"/>
  <c r="F36" i="69"/>
  <c r="F35" i="69"/>
  <c r="F21" i="69"/>
  <c r="C21" i="69"/>
  <c r="F20" i="69"/>
  <c r="E10" i="69"/>
  <c r="E9" i="69"/>
  <c r="C7" i="69"/>
  <c r="AC21" i="37"/>
  <c r="W21" i="37"/>
  <c r="AC21" i="34"/>
  <c r="W21" i="34"/>
  <c r="AC21" i="33"/>
  <c r="W21" i="33"/>
  <c r="C40" i="69"/>
  <c r="F38" i="68"/>
  <c r="F36" i="68"/>
  <c r="F35"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F35" i="11"/>
  <c r="F36" i="11"/>
  <c r="F38" i="11"/>
  <c r="E37" i="11"/>
  <c r="F20" i="11"/>
  <c r="F21" i="11"/>
  <c r="C21" i="11"/>
  <c r="F7" i="11"/>
  <c r="C7" i="11"/>
  <c r="C5" i="11"/>
  <c r="F22"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G18" i="20"/>
  <c r="B88" i="43"/>
  <c r="G19" i="20"/>
  <c r="B85" i="43"/>
  <c r="G16" i="20"/>
  <c r="B82" i="43"/>
  <c r="G15" i="20"/>
  <c r="B81" i="43"/>
  <c r="C24" i="20"/>
  <c r="B73" i="43"/>
  <c r="C21" i="20"/>
  <c r="B74" i="43"/>
  <c r="C20" i="20"/>
  <c r="B77" i="43"/>
  <c r="C18" i="20"/>
  <c r="B71" i="43"/>
  <c r="C17" i="20"/>
  <c r="B59" i="43"/>
  <c r="C16" i="20"/>
  <c r="C17" i="39"/>
  <c r="C15" i="20"/>
  <c r="B70" i="43"/>
  <c r="E10" i="11"/>
  <c r="E9" i="11"/>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U36" i="40"/>
  <c r="F36" i="43"/>
  <c r="F81" i="43"/>
  <c r="H83" i="43"/>
  <c r="H113" i="43"/>
  <c r="F48" i="43"/>
  <c r="H52" i="43"/>
  <c r="F70" i="43"/>
  <c r="H73" i="43"/>
  <c r="M11" i="43"/>
  <c r="D17" i="43"/>
  <c r="F39" i="43"/>
  <c r="I17" i="43"/>
  <c r="F35" i="43"/>
  <c r="J17" i="43"/>
  <c r="U17" i="39"/>
  <c r="S14" i="35"/>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S20" i="6"/>
  <c r="I19" i="6"/>
  <c r="M27" i="6"/>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20" i="11"/>
  <c r="Y8" i="71"/>
  <c r="Z8" i="71"/>
  <c r="B7" i="49"/>
  <c r="E7" i="49"/>
  <c r="B15" i="49"/>
  <c r="AB3" i="71"/>
  <c r="X3"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D37" i="69"/>
  <c r="C37" i="69"/>
  <c r="C33" i="69"/>
  <c r="C39" i="69"/>
  <c r="P23" i="43"/>
  <c r="B71" i="3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E42" i="37"/>
  <c r="R43" i="37"/>
  <c r="G46" i="37"/>
  <c r="H46" i="37"/>
  <c r="G47" i="37"/>
  <c r="H47" i="37"/>
  <c r="I40" i="36"/>
  <c r="J40" i="36"/>
  <c r="E36" i="36"/>
  <c r="R37" i="36"/>
  <c r="I59" i="34"/>
  <c r="J59" i="34"/>
  <c r="K59" i="34"/>
  <c r="L59" i="34"/>
  <c r="M59" i="34"/>
  <c r="N59" i="34"/>
  <c r="O59" i="34"/>
  <c r="J7" i="34"/>
  <c r="F7" i="34"/>
  <c r="I47" i="37"/>
  <c r="J47" i="37"/>
  <c r="I46" i="37"/>
  <c r="J46" i="37"/>
  <c r="E38" i="35"/>
  <c r="R39" i="35"/>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I43" i="35"/>
  <c r="J43" i="35"/>
  <c r="H7" i="34"/>
  <c r="C38" i="35"/>
  <c r="C39" i="35"/>
  <c r="B2" i="35"/>
  <c r="B3" i="35"/>
  <c r="S7" i="34"/>
  <c r="AA7" i="34"/>
  <c r="R49" i="34"/>
  <c r="E40" i="36"/>
  <c r="F40" i="36"/>
  <c r="E41" i="36"/>
  <c r="F41" i="36"/>
  <c r="I41" i="36"/>
  <c r="J41" i="36"/>
  <c r="E47" i="37"/>
  <c r="F47" i="37"/>
  <c r="E46" i="37"/>
  <c r="F46" i="37"/>
  <c r="G68" i="39"/>
  <c r="F70" i="39"/>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H68" i="39"/>
  <c r="G70" i="39"/>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J68" i="39"/>
  <c r="I70" i="39"/>
  <c r="E2" i="76"/>
  <c r="B2" i="76"/>
  <c r="B3" i="43"/>
  <c r="J16" i="67"/>
  <c r="J25" i="67"/>
  <c r="C40" i="67"/>
  <c r="L51" i="15"/>
  <c r="L51" i="67"/>
  <c r="C80" i="67"/>
  <c r="C79" i="67"/>
  <c r="C58" i="15"/>
  <c r="C67" i="15"/>
  <c r="C68" i="15"/>
  <c r="C71" i="15"/>
  <c r="Q68" i="67"/>
  <c r="Q69" i="15"/>
  <c r="Q68" i="15"/>
  <c r="C80" i="15"/>
  <c r="C79" i="15"/>
  <c r="C40" i="15"/>
  <c r="B2" i="15"/>
  <c r="B3" i="15"/>
  <c r="K63" i="40"/>
  <c r="J65" i="40"/>
  <c r="K68" i="39"/>
  <c r="J70" i="39"/>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Q16" i="1"/>
  <c r="C91" i="9"/>
  <c r="C92" i="9"/>
  <c r="C94" i="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M49" i="9"/>
  <c r="L63" i="9"/>
  <c r="M63" i="9"/>
  <c r="L64" i="9"/>
  <c r="M64" i="9"/>
  <c r="L65" i="9"/>
  <c r="M65" i="9"/>
  <c r="L66" i="9"/>
  <c r="M66" i="9"/>
  <c r="L67" i="9"/>
  <c r="M67" i="9"/>
  <c r="L68" i="9"/>
  <c r="M68" i="9"/>
  <c r="M69" i="9"/>
  <c r="N69" i="9"/>
  <c r="B3" i="68"/>
  <c r="C20" i="9"/>
  <c r="B3" i="12"/>
  <c r="D20" i="9"/>
  <c r="G20" i="9"/>
  <c r="C103" i="9"/>
  <c r="D102" i="9"/>
  <c r="D21" i="9"/>
  <c r="C21" i="9"/>
  <c r="D22" i="9"/>
  <c r="C102" i="9"/>
  <c r="D103" i="9"/>
  <c r="G21"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E14" i="74"/>
  <c r="F14" i="74"/>
  <c r="B5" i="74"/>
  <c r="D5" i="74"/>
  <c r="C5" i="74"/>
  <c r="D5" i="53"/>
  <c r="B20" i="72"/>
  <c r="D6" i="53"/>
  <c r="B22" i="72"/>
  <c r="H108" i="9"/>
  <c r="D15" i="53"/>
  <c r="B31" i="72"/>
  <c r="D45" i="9"/>
  <c r="C64" i="9"/>
  <c r="C63" i="9"/>
  <c r="C67" i="9"/>
  <c r="C68" i="9"/>
  <c r="D54" i="9"/>
  <c r="D52" i="9"/>
  <c r="C57" i="68"/>
  <c r="C56" i="68"/>
  <c r="D13" i="53"/>
  <c r="D14" i="53"/>
  <c r="B32" i="72"/>
  <c r="B30" i="72"/>
  <c r="D123" i="9"/>
  <c r="D9" i="52"/>
  <c r="D8" i="52"/>
  <c r="B6" i="74"/>
  <c r="C6" i="74"/>
  <c r="D6" i="74"/>
  <c r="C72" i="9"/>
  <c r="C78" i="9"/>
  <c r="C73" i="9"/>
  <c r="C79" i="9"/>
  <c r="C80" i="9"/>
  <c r="C81" i="9"/>
  <c r="E80" i="9"/>
  <c r="E81" i="9"/>
  <c r="C85" i="9"/>
  <c r="C93" i="9"/>
  <c r="C86" i="9"/>
  <c r="C95" i="9"/>
  <c r="C96" i="9"/>
  <c r="E96" i="9"/>
  <c r="E97" i="9"/>
  <c r="D53" i="9"/>
  <c r="D48" i="9"/>
  <c r="M52" i="9"/>
  <c r="D55" i="9"/>
  <c r="M53"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<sst xmlns="http://schemas.openxmlformats.org/spreadsheetml/2006/main" count="7387" uniqueCount="3134">
  <si>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</si>
  <si>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</si>
  <si>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</si>
  <si>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</si>
  <si>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</si>
  <si>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</si>
  <si>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</si>
  <si>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</si>
  <si>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</si>
  <si>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</si>
  <si>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</si>
  <si>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</si>
  <si>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</si>
  <si>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</si>
  <si>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</si>
  <si>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</si>
  <si>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</si>
  <si>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</si>
  <si>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</si>
  <si>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</si>
  <si>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</si>
  <si>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</si>
  <si>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</si>
  <si>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</si>
  <si>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</si>
  <si>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</si>
  <si>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</si>
  <si>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</si>
  <si>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</si>
  <si>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</si>
  <si>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</si>
  <si>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</si>
  <si>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</si>
  <si>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</si>
  <si>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</si>
  <si>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</si>
  <si>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</si>
  <si>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</si>
  <si>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</si>
  <si>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</si>
  <si>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</si>
  <si>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</si>
  <si>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</si>
  <si>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</si>
  <si>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</si>
  <si>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</si>
  <si>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</si>
  <si>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</si>
  <si>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</si>
  <si>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</si>
  <si>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</si>
  <si>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</si>
  <si>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</si>
  <si>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</si>
  <si>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</si>
  <si>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</si>
  <si>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</si>
  <si>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</si>
  <si>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</si>
  <si>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</si>
  <si>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</si>
  <si>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</si>
  <si>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</si>
  <si>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</si>
  <si>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</si>
  <si>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</si>
  <si>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</si>
  <si>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</si>
  <si>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</si>
  <si>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</si>
  <si>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</si>
  <si>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</si>
  <si>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</si>
  <si>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</si>
  <si>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</si>
  <si>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</si>
  <si>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</si>
  <si>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</si>
  <si>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</si>
  <si>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</si>
  <si>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</si>
  <si>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</si>
  <si>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</si>
  <si>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</si>
  <si>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</si>
  <si>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</si>
  <si>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</si>
  <si>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</si>
  <si>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</si>
  <si>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</si>
  <si>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</si>
  <si>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</si>
  <si>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</si>
  <si>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</si>
  <si>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</si>
  <si>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</si>
  <si>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</si>
  <si>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</si>
  <si>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</si>
  <si>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</si>
  <si>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</si>
  <si>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</si>
  <si>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</si>
  <si>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</si>
  <si>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</si>
  <si>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</si>
  <si>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</si>
  <si>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</si>
  <si>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</si>
  <si>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</si>
  <si>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</si>
  <si>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</si>
  <si>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</si>
  <si>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</si>
  <si>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</si>
  <si>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</si>
  <si>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</si>
  <si>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</si>
  <si>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</si>
  <si>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</si>
  <si>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</si>
  <si>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</si>
  <si>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</si>
  <si>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</si>
  <si>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</si>
  <si>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</si>
  <si>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</si>
  <si>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</si>
  <si>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</si>
  <si>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</si>
  <si>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</si>
  <si>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</si>
  <si>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</si>
  <si>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</si>
  <si>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</si>
  <si>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</si>
  <si>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</si>
  <si>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</si>
  <si>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</si>
  <si>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</si>
  <si>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</si>
  <si>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</si>
  <si>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</si>
  <si>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</si>
  <si>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</si>
  <si>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</si>
  <si>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</si>
  <si>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</si>
  <si>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</si>
  <si>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</si>
  <si>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</si>
  <si>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</si>
  <si>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</si>
  <si>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</si>
  <si>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</si>
  <si>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</si>
  <si>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</si>
  <si>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</si>
  <si>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</si>
  <si>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</si>
  <si>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</si>
  <si>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</si>
  <si>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</si>
  <si>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</si>
  <si>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</si>
  <si>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</si>
  <si>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</si>
  <si>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</si>
  <si>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</si>
  <si>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</si>
  <si>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</si>
  <si>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</si>
  <si>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</si>
  <si>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</si>
  <si>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</si>
  <si>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</si>
  <si>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</si>
  <si>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</si>
  <si>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</si>
  <si>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</si>
  <si>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</si>
  <si>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</si>
  <si>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</si>
  <si>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</si>
  <si>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</si>
  <si>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</si>
  <si>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</si>
  <si>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</si>
  <si>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</si>
  <si>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</si>
  <si>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</si>
  <si>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</si>
  <si>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</si>
  <si>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</si>
  <si>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</si>
  <si>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</si>
  <si>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</si>
  <si>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</si>
  <si>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</si>
  <si>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</si>
  <si>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</si>
  <si>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</si>
  <si>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</si>
  <si>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</si>
  <si>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</si>
  <si>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</si>
  <si>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</si>
  <si>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</si>
  <si>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</si>
  <si>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</si>
  <si>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</si>
  <si>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</si>
  <si>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</si>
  <si>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</si>
  <si>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</si>
  <si>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</si>
  <si>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</si>
  <si>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</si>
  <si>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</si>
  <si>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</si>
  <si>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</si>
  <si>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</si>
  <si>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</si>
  <si>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</si>
  <si>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</si>
  <si>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</si>
  <si>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</si>
  <si>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</si>
  <si>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</si>
  <si>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</si>
  <si>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</si>
  <si>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</si>
  <si>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</si>
  <si>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</si>
  <si>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</si>
  <si>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</si>
  <si>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</si>
  <si>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</si>
  <si>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</si>
  <si>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</si>
  <si>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</si>
  <si>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</si>
  <si>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</si>
  <si>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</si>
  <si>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</si>
  <si>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</si>
  <si>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</si>
  <si>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</si>
  <si>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</si>
  <si>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</si>
  <si>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</si>
  <si>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</si>
  <si>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</si>
  <si>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</si>
  <si>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</si>
  <si>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</si>
  <si>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</si>
  <si>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</si>
  <si>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</si>
  <si>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</si>
  <si>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</si>
  <si>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</si>
  <si>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</si>
  <si>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</si>
  <si>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</si>
  <si>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</si>
  <si>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</si>
  <si>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</si>
  <si>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</si>
  <si>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</si>
  <si>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</si>
  <si>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</si>
  <si>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</si>
  <si>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</si>
  <si>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</si>
  <si>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</si>
  <si>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</si>
  <si>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</si>
  <si>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</si>
  <si>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</si>
  <si>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</si>
  <si>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</si>
  <si>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</si>
  <si>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</si>
  <si>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</si>
  <si>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</si>
  <si>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</si>
  <si>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</si>
  <si>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</si>
  <si>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</si>
  <si>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</si>
  <si>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</si>
  <si>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</si>
  <si>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</si>
  <si>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</si>
  <si>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</si>
  <si>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</si>
  <si>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</si>
  <si>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</si>
  <si>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</si>
  <si>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</si>
  <si>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</si>
  <si>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</si>
  <si>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</si>
  <si>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</si>
  <si>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</si>
  <si>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</si>
  <si>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</si>
  <si>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</si>
  <si>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</si>
  <si>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</si>
  <si>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</si>
  <si>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</si>
  <si>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</si>
  <si>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</si>
  <si>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</si>
  <si>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</si>
  <si>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</si>
  <si>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</si>
  <si>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</si>
  <si>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</si>
  <si>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</si>
  <si>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</si>
  <si>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</si>
  <si>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</si>
  <si>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</si>
  <si>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</si>
  <si>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</si>
  <si>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</si>
  <si>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</si>
  <si>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</si>
  <si>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</si>
  <si>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</si>
  <si>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</si>
  <si>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</si>
  <si>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</si>
  <si>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</si>
  <si>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</si>
  <si>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</si>
  <si>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</si>
  <si>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</si>
  <si>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</si>
  <si>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</si>
  <si>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</si>
  <si>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</si>
  <si>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</si>
  <si>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</si>
  <si>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</si>
  <si>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</si>
  <si>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</si>
  <si>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</si>
  <si>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</si>
  <si>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</si>
  <si>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</si>
  <si>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</si>
  <si>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</si>
  <si>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</si>
  <si>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</si>
  <si>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</si>
  <si>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</si>
  <si>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</si>
  <si>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</si>
  <si>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</si>
  <si>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</si>
  <si>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</si>
  <si>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</si>
  <si>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</si>
  <si>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</si>
  <si>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</si>
  <si>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</si>
  <si>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</si>
  <si>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</si>
  <si>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</si>
  <si>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</si>
  <si>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</si>
  <si>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</si>
  <si>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</si>
  <si>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</si>
  <si>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</si>
  <si>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</si>
  <si>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</si>
  <si>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</si>
  <si>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</si>
  <si>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</si>
  <si>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</si>
  <si>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</si>
  <si>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</si>
  <si>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</si>
  <si>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</si>
  <si>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</si>
  <si>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</si>
  <si>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</si>
  <si>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</si>
  <si>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</si>
  <si>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</si>
  <si>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</si>
  <si>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</si>
  <si>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</si>
  <si>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</si>
  <si>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</si>
  <si>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</si>
  <si>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</si>
  <si>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</si>
  <si>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</si>
  <si>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</si>
  <si>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</si>
  <si>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</si>
  <si>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</si>
  <si>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</si>
  <si>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</si>
  <si>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</si>
  <si>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</si>
  <si>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</si>
  <si>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</si>
  <si>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</si>
  <si>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</si>
  <si>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</si>
  <si>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</si>
  <si>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</si>
  <si>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</si>
  <si>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</si>
  <si>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</si>
  <si>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</si>
  <si>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</si>
  <si>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</si>
  <si>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</si>
  <si>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</si>
  <si>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</si>
  <si>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</si>
  <si>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</si>
  <si>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</si>
  <si>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</si>
  <si>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</si>
  <si>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</si>
  <si>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</si>
  <si>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</si>
  <si>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</si>
  <si>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</si>
  <si>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</si>
  <si>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</si>
  <si>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</si>
  <si>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</si>
  <si>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</si>
  <si>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</si>
  <si>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</si>
  <si>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</si>
  <si>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</si>
  <si>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</si>
  <si>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</si>
  <si>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</si>
  <si>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</si>
  <si>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</si>
  <si>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</si>
  <si>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</si>
  <si>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</si>
  <si>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</si>
  <si>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</si>
  <si>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</si>
  <si>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</si>
  <si>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</si>
  <si>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</si>
  <si>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</si>
  <si>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</si>
  <si>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</si>
  <si>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</si>
  <si>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</si>
  <si>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</si>
  <si>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</si>
  <si>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</si>
  <si>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</si>
  <si>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</si>
  <si>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</si>
  <si>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</si>
  <si>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</si>
  <si>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</si>
  <si>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</si>
  <si>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</si>
  <si>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</si>
  <si>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</si>
  <si>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</si>
  <si>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</si>
  <si>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</si>
  <si>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</si>
  <si>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</si>
  <si>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</si>
  <si>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</si>
  <si>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</si>
  <si>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</si>
  <si>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</si>
  <si>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</si>
  <si>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</si>
  <si>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</si>
  <si>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</si>
  <si>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</si>
  <si>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</si>
  <si>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</si>
  <si>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</si>
  <si>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</si>
  <si>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</si>
  <si>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</si>
  <si>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</si>
  <si>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</si>
  <si>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</si>
  <si>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</si>
  <si>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</si>
  <si>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</si>
  <si>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</si>
  <si>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</si>
  <si>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</si>
  <si>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</si>
  <si>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</si>
  <si>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</si>
  <si>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</si>
  <si>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</si>
  <si>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</si>
  <si>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</si>
  <si>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</si>
  <si>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</si>
  <si>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</si>
  <si>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</si>
  <si>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</si>
  <si>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</si>
  <si>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</si>
  <si>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</si>
  <si>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</si>
  <si>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</si>
  <si>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</si>
  <si>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</si>
  <si>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</si>
  <si>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</si>
  <si>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</si>
  <si>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</si>
  <si>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</si>
  <si>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</si>
  <si>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</si>
  <si>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</si>
  <si>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</si>
  <si>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</si>
  <si>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</si>
  <si>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</si>
  <si>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</si>
  <si>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</si>
  <si>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</si>
  <si>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</si>
  <si>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</si>
  <si>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</si>
  <si>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</si>
  <si>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</si>
  <si>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</si>
  <si>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</si>
  <si>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</si>
  <si>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</si>
  <si>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</si>
  <si>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</si>
  <si>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</si>
  <si>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</si>
  <si>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</si>
  <si>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</si>
  <si>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</si>
  <si>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</si>
  <si>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</si>
  <si>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</si>
  <si>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</si>
  <si>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</si>
  <si>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</si>
  <si>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</si>
  <si>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</si>
  <si>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</si>
  <si>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</si>
  <si>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</si>
  <si>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</si>
  <si>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</si>
  <si>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</si>
  <si>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</si>
  <si>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</si>
  <si>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</si>
  <si>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</si>
  <si>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</si>
  <si>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</si>
  <si>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</si>
  <si>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</si>
  <si>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</si>
  <si>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</si>
  <si>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</si>
  <si>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</si>
  <si>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</si>
  <si>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</si>
  <si>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</si>
  <si>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</si>
  <si>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</si>
  <si>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</si>
  <si>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</si>
  <si>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</si>
  <si>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</si>
  <si>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</si>
  <si>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</si>
  <si>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</si>
  <si>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</si>
  <si>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</si>
  <si>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</si>
  <si>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</si>
  <si>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</si>
  <si>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</si>
  <si>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</si>
  <si>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</si>
  <si>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</si>
  <si>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</si>
  <si>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</si>
  <si>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</si>
  <si>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</si>
  <si>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</si>
  <si>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</si>
  <si>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</si>
  <si>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</si>
  <si>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</si>
  <si>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</si>
  <si>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</si>
  <si>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</si>
  <si>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</si>
  <si>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</si>
  <si>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</si>
  <si>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</si>
  <si>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</si>
  <si>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</si>
  <si>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</si>
  <si>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</si>
  <si>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</si>
  <si>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</si>
  <si>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</si>
  <si>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</si>
  <si>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</si>
  <si>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</si>
  <si>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</si>
  <si>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</si>
  <si>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</si>
  <si>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</si>
  <si>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</si>
  <si>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</si>
  <si>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</si>
  <si>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</si>
  <si>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</si>
  <si>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</si>
  <si>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</si>
  <si>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</si>
  <si>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</si>
  <si>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</si>
  <si>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</si>
  <si>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</si>
  <si>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</si>
  <si>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</si>
  <si>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</si>
  <si>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</si>
  <si>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</si>
  <si>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</si>
  <si>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</si>
  <si>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</si>
  <si>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</si>
  <si>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</si>
  <si>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</si>
  <si>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</si>
  <si>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</si>
  <si>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</si>
  <si>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</si>
  <si>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</si>
  <si>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</si>
  <si>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</si>
  <si>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</si>
  <si>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</si>
  <si>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</si>
  <si>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</si>
  <si>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</si>
  <si>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</si>
  <si>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</si>
  <si>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</si>
  <si>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</si>
  <si>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</si>
  <si>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</si>
  <si>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</si>
  <si>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</si>
  <si>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</si>
  <si>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</si>
  <si>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</si>
  <si>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</si>
  <si>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</si>
  <si>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</si>
  <si>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</si>
  <si>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</si>
  <si>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</si>
  <si>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</si>
  <si>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</si>
  <si>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</si>
  <si>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</si>
  <si>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</si>
  <si>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</si>
  <si>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</si>
  <si>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</si>
  <si>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</si>
  <si>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</si>
  <si>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</si>
  <si>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</si>
  <si>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</si>
  <si>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</si>
  <si>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</si>
  <si>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</si>
  <si>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</si>
  <si>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</si>
  <si>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</si>
  <si>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</si>
  <si>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</si>
  <si>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</si>
  <si>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</si>
  <si>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</si>
  <si>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</si>
  <si>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</si>
  <si>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</si>
  <si>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</si>
  <si>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</si>
  <si>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</si>
  <si>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</si>
  <si>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</si>
  <si>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</si>
  <si>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</si>
  <si>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</si>
  <si>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</si>
  <si>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</si>
  <si>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</si>
  <si>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</si>
  <si>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</si>
  <si>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</si>
  <si>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</si>
  <si>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</si>
  <si>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</si>
  <si>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</si>
  <si>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</si>
  <si>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</si>
  <si>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</si>
  <si>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</si>
  <si>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</si>
  <si>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</si>
  <si>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</si>
  <si>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</si>
  <si>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</si>
  <si>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</si>
  <si>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</si>
  <si>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</si>
  <si>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</si>
  <si>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</si>
  <si>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</si>
  <si>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</si>
  <si>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</si>
  <si>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</si>
  <si>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</si>
  <si>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</si>
  <si>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</si>
  <si>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</si>
  <si>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</si>
  <si>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</si>
  <si>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</si>
  <si>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</si>
  <si>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</si>
  <si>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</si>
  <si>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</si>
  <si>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</si>
  <si>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</si>
  <si>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</si>
  <si>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</si>
  <si>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</si>
  <si>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</si>
  <si>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</si>
  <si>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</si>
  <si>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</si>
  <si>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</si>
  <si>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</si>
  <si>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</si>
  <si>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</si>
  <si>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</si>
  <si>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</si>
  <si>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</si>
  <si>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</si>
  <si>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</si>
  <si>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</si>
  <si>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</si>
  <si>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</si>
  <si>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</si>
  <si>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</si>
  <si>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</si>
  <si>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</si>
  <si>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</si>
  <si>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</si>
  <si>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</si>
  <si>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</si>
  <si>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</si>
  <si>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</si>
  <si>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</si>
  <si>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</si>
  <si>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</si>
  <si>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</si>
  <si>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</si>
  <si>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</si>
  <si>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</si>
  <si>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</si>
  <si>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</si>
  <si>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</si>
  <si>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</si>
  <si>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</si>
  <si>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</si>
  <si>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</si>
  <si>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</si>
  <si>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</si>
  <si>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</si>
  <si>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</si>
  <si>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</si>
  <si>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</si>
  <si>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</si>
  <si>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</si>
  <si>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</si>
  <si>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</si>
  <si>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</si>
  <si>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</si>
  <si>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</si>
  <si>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</si>
  <si>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</si>
  <si>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</si>
  <si>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</si>
  <si>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</si>
  <si>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</si>
  <si>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</si>
  <si>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</si>
  <si>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</si>
  <si>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</si>
  <si>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</si>
  <si>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</si>
  <si>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</si>
  <si>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</si>
  <si>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</si>
  <si>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</si>
  <si>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</si>
  <si>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</si>
  <si>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</si>
  <si>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</si>
  <si>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</si>
  <si>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</si>
  <si>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</si>
  <si>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</si>
  <si>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</si>
  <si>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</si>
  <si>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</si>
  <si>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</si>
  <si>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</si>
  <si>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</si>
  <si>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</si>
  <si>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</si>
  <si>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</si>
  <si>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</si>
  <si>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</si>
  <si>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</si>
  <si>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</si>
  <si>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</si>
  <si>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</si>
  <si>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</si>
  <si>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</si>
  <si>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</si>
  <si>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</si>
  <si>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</si>
  <si>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</si>
  <si>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</si>
  <si>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</si>
  <si>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</si>
  <si>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</si>
  <si>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</si>
  <si>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</si>
  <si>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</si>
  <si>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</si>
  <si>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</si>
  <si>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</si>
  <si>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</si>
  <si>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</si>
  <si>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</si>
  <si>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</si>
  <si>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</si>
  <si>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</si>
  <si>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</si>
  <si>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</si>
  <si>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</si>
  <si>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</si>
  <si>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</si>
  <si>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</si>
  <si>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</si>
  <si>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</si>
  <si>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</si>
  <si>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</si>
  <si>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</si>
  <si>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</si>
  <si>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</si>
  <si>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</si>
  <si>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</si>
  <si>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</si>
  <si>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</si>
  <si>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</si>
  <si>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</si>
  <si>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</si>
  <si>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</si>
  <si>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</si>
  <si>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</si>
  <si>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</si>
  <si>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</si>
  <si>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</si>
  <si>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</si>
  <si>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</si>
  <si>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</si>
  <si>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</si>
  <si>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</si>
  <si>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</si>
  <si>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</si>
  <si>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</si>
  <si>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</si>
  <si>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</si>
  <si>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</si>
  <si>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</si>
  <si>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</si>
  <si>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</si>
  <si>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</si>
  <si>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</si>
  <si>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</si>
  <si>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</si>
  <si>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</si>
  <si>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</si>
  <si>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</si>
  <si>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</si>
  <si>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</si>
  <si>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</si>
  <si>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</si>
  <si>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</si>
  <si>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</si>
  <si>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</si>
  <si>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</si>
  <si>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</si>
  <si>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</si>
  <si>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</si>
  <si>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</si>
  <si>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</si>
  <si>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</si>
  <si>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</si>
  <si>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</si>
  <si>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</si>
  <si>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</si>
  <si>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</si>
  <si>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</si>
  <si>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</si>
  <si>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</si>
  <si>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</si>
  <si>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</si>
  <si>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</si>
  <si>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</si>
  <si>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</si>
  <si>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</si>
  <si>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</si>
  <si>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</si>
  <si>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</si>
  <si>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</si>
  <si>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</si>
  <si>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</si>
  <si>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</si>
  <si>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</si>
  <si>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</si>
  <si>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</si>
  <si>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</si>
  <si>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</si>
  <si>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</si>
  <si>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</si>
  <si>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</si>
  <si>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</si>
  <si>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</si>
  <si>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</si>
  <si>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</si>
  <si>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</si>
  <si>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</si>
  <si>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</si>
  <si>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</si>
  <si>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</si>
  <si>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</si>
  <si>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</si>
  <si>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</si>
  <si>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</si>
  <si>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</si>
  <si>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</si>
  <si>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</si>
  <si>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</si>
  <si>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</si>
  <si>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</si>
  <si>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</si>
  <si>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</si>
  <si>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</si>
  <si>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</si>
  <si>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</si>
  <si>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</si>
  <si>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</si>
  <si>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</si>
  <si>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</si>
  <si>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</si>
  <si>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</si>
  <si>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</si>
  <si>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</si>
  <si>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</si>
  <si>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</si>
  <si>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</si>
  <si>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</si>
  <si>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</si>
  <si>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</si>
  <si>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</si>
  <si>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</si>
  <si>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</si>
  <si>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</si>
  <si>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</si>
  <si>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</si>
  <si>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</si>
  <si>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</si>
  <si>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</si>
  <si>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</si>
  <si>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</si>
  <si>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</si>
  <si>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</si>
  <si>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</si>
  <si>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</si>
  <si>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</si>
  <si>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</si>
  <si>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</si>
  <si>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</si>
  <si>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</si>
  <si>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</si>
  <si>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</si>
  <si>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</si>
  <si>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</si>
  <si>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</si>
  <si>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</si>
  <si>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</si>
  <si>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</si>
  <si>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</si>
  <si>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</si>
  <si>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</si>
  <si>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</si>
  <si>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</si>
  <si>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</si>
  <si>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</si>
  <si>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</si>
  <si>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</si>
  <si>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</si>
  <si>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</si>
  <si>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</si>
  <si>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</si>
  <si>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</si>
  <si>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</si>
  <si>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</si>
  <si>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</si>
  <si>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</si>
  <si>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</si>
  <si>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</si>
  <si>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</si>
  <si>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</si>
  <si>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</si>
  <si>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</si>
  <si>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</si>
  <si>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</si>
  <si>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</si>
  <si>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</si>
  <si>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</si>
  <si>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</si>
  <si>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</si>
  <si>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</si>
  <si>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</si>
  <si>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</si>
  <si>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</si>
  <si>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</si>
  <si>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</si>
  <si>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</si>
  <si>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</si>
  <si>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</si>
  <si>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</si>
  <si>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</si>
  <si>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</si>
  <si>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</si>
  <si>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</si>
  <si>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</si>
  <si>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</si>
  <si>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</si>
  <si>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</si>
  <si>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</si>
  <si>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</si>
  <si>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</si>
  <si>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</si>
  <si>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</si>
  <si>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</si>
  <si>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</si>
  <si>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</si>
  <si>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</si>
  <si>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</si>
  <si>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</si>
  <si>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</si>
  <si>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</si>
  <si>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</si>
  <si>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</si>
  <si>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</si>
  <si>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</si>
  <si>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</si>
  <si>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</si>
  <si>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</si>
  <si>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</si>
  <si>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</si>
  <si>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</si>
  <si>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</si>
  <si>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</si>
  <si>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</si>
  <si>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</si>
  <si>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</si>
  <si>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</si>
  <si>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</si>
  <si>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</si>
  <si>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</si>
  <si>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</si>
  <si>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</si>
  <si>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</si>
  <si>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</si>
  <si>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</si>
  <si>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</si>
  <si>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</si>
  <si>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</si>
  <si>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</si>
  <si>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</si>
  <si>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</si>
  <si>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</si>
  <si>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</si>
  <si>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</si>
  <si>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</si>
  <si>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</si>
  <si>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</si>
  <si>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</si>
  <si>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</si>
  <si>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</si>
  <si>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</si>
  <si>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</si>
  <si>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</si>
  <si>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</si>
  <si>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</si>
  <si>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</si>
  <si>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</si>
  <si>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</si>
  <si>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</si>
  <si>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</si>
  <si>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</si>
  <si>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</si>
  <si>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</si>
  <si>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</si>
  <si>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</si>
  <si>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</si>
  <si>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</si>
  <si>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</si>
  <si>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</si>
  <si>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</si>
  <si>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</si>
  <si>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</si>
  <si>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</si>
  <si>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</si>
  <si>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</si>
  <si>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</si>
  <si>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</si>
  <si>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</si>
  <si>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</si>
  <si>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</si>
  <si>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</si>
  <si>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</si>
  <si>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</si>
  <si>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</si>
  <si>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</si>
  <si>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</si>
  <si>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</si>
  <si>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</si>
  <si>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</si>
  <si>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</si>
  <si>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</si>
  <si>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</si>
  <si>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</si>
  <si>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</si>
  <si>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</si>
  <si>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</si>
  <si>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</si>
  <si>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</si>
  <si>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</si>
  <si>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</si>
  <si>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</si>
  <si>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</si>
  <si>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</si>
  <si>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</si>
  <si>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</si>
  <si>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</si>
  <si>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</si>
  <si>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</si>
  <si>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</si>
  <si>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</si>
  <si>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</si>
  <si>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</si>
  <si>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</si>
  <si>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</si>
  <si>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</si>
  <si>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</si>
  <si>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</si>
  <si>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</si>
  <si>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</si>
  <si>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</si>
  <si>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</si>
  <si>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</si>
  <si>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</si>
  <si>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</si>
  <si>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</si>
  <si>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</si>
  <si>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</si>
  <si>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</si>
  <si>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</si>
  <si>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</si>
  <si>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</si>
  <si>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</si>
  <si>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</si>
  <si>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</si>
  <si>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</si>
  <si>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</si>
  <si>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</si>
  <si>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</si>
  <si>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</si>
  <si>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</si>
  <si>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</si>
  <si>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</si>
  <si>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</si>
  <si>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</si>
  <si>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</si>
  <si>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</si>
  <si>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</si>
  <si>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</si>
  <si>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</si>
  <si>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</si>
  <si>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</si>
  <si>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</si>
  <si>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</si>
  <si>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</si>
  <si>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</si>
  <si>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</si>
  <si>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</si>
  <si>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</si>
  <si>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</si>
  <si>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</si>
  <si>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</si>
  <si>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</si>
  <si>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</si>
  <si>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</si>
  <si>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</si>
  <si>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</si>
  <si>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</si>
  <si>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</si>
  <si>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</si>
  <si>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</si>
  <si>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</si>
  <si>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</si>
  <si>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</si>
  <si>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</si>
  <si>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</si>
  <si>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</si>
  <si>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</si>
  <si>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</si>
  <si>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</si>
  <si>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</si>
  <si>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</si>
  <si>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</si>
  <si>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</si>
  <si>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</si>
  <si>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</si>
  <si>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</si>
  <si>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</si>
  <si>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</si>
  <si>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</si>
  <si>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</si>
  <si>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</si>
  <si>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</si>
  <si>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</si>
  <si>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</si>
  <si>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</si>
  <si>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</si>
  <si>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</si>
  <si>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</si>
  <si>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</si>
  <si>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</si>
  <si>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</si>
  <si>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</si>
  <si>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</si>
  <si>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</si>
  <si>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</si>
  <si>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</si>
  <si>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</si>
  <si>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</si>
  <si>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</si>
  <si>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</si>
  <si>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</si>
  <si>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</si>
  <si>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</si>
  <si>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</si>
  <si>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</si>
  <si>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</si>
  <si>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</si>
  <si>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</si>
  <si>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</si>
  <si>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</si>
  <si>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</si>
  <si>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</si>
  <si>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</si>
  <si>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</si>
  <si>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</si>
  <si>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</si>
  <si>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</si>
  <si>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</si>
  <si>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</si>
  <si>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</si>
  <si>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</si>
  <si>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</si>
  <si>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</si>
  <si>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</si>
  <si>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</si>
  <si>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</si>
  <si>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</si>
  <si>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</si>
  <si>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</si>
  <si>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</si>
  <si>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</si>
  <si>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</si>
  <si>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</si>
  <si>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</si>
  <si>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</si>
  <si>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</si>
  <si>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</si>
  <si>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</si>
  <si>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</si>
  <si>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</si>
  <si>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</si>
  <si>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</si>
  <si>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</si>
  <si>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</si>
  <si>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</si>
  <si>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</si>
  <si>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</si>
  <si>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</si>
  <si>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</si>
  <si>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</si>
  <si>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</si>
  <si>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</si>
  <si>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</si>
  <si>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</si>
  <si>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</si>
  <si>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</si>
  <si>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</si>
  <si>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</si>
  <si>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</si>
  <si>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</si>
  <si>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</si>
  <si>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</si>
  <si>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</si>
  <si>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</si>
  <si>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</si>
  <si>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</si>
  <si>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</si>
  <si>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</si>
  <si>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</si>
  <si>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</si>
  <si>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</si>
  <si>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</si>
  <si>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</si>
  <si>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</si>
  <si>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</si>
  <si>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</si>
  <si>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</si>
  <si>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</si>
  <si>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</si>
  <si>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</si>
  <si>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</si>
  <si>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</si>
  <si>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</si>
  <si>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</si>
  <si>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</si>
  <si>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</si>
  <si>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</si>
  <si>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</si>
  <si>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</si>
  <si>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</si>
  <si>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</si>
  <si>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</si>
  <si>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</si>
  <si>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</si>
  <si>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</si>
  <si>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</si>
  <si>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</si>
  <si>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</si>
  <si>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</si>
  <si>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</si>
  <si>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</si>
  <si>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</si>
  <si>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</si>
  <si>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</si>
  <si>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</si>
  <si>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</si>
  <si>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</si>
  <si>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</si>
  <si>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</si>
  <si>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</si>
  <si>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</si>
  <si>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</si>
  <si>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</si>
  <si>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</si>
  <si>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</si>
  <si>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</si>
  <si>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</si>
  <si>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</si>
  <si>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</si>
  <si>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</si>
  <si>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</si>
  <si>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</si>
  <si>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</si>
  <si>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</si>
  <si>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</si>
  <si>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</si>
  <si>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</si>
  <si>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</si>
  <si>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</si>
  <si>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</si>
  <si>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</si>
  <si>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</si>
  <si>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</si>
  <si>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</si>
  <si>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</si>
  <si>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</si>
  <si>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</si>
  <si>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</si>
  <si>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</si>
  <si>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</si>
  <si>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</si>
  <si>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</si>
  <si>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</si>
  <si>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</si>
  <si>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</si>
  <si>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</si>
  <si>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</si>
  <si>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</si>
  <si>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</si>
  <si>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</si>
  <si>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</si>
  <si>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</si>
  <si>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</si>
  <si>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</si>
  <si>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</si>
  <si>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</si>
  <si>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</si>
  <si>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</si>
  <si>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</si>
  <si>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</si>
  <si>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</si>
  <si>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</si>
  <si>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</si>
  <si>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</si>
  <si>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</si>
  <si>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</si>
  <si>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</si>
  <si>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</si>
  <si>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</si>
  <si>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</si>
  <si>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</si>
  <si>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</si>
  <si>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</si>
  <si>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</si>
  <si>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</si>
  <si>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</si>
  <si>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</si>
  <si>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</si>
  <si>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</si>
  <si>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</si>
  <si>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</si>
  <si>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</si>
  <si>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</si>
  <si>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</si>
  <si>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</si>
  <si>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</si>
  <si>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</si>
  <si>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</si>
  <si>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</si>
  <si>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</si>
  <si>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</si>
  <si>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</si>
  <si>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</si>
  <si>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</si>
  <si>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</si>
  <si>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</si>
  <si>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</si>
  <si>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</si>
  <si>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</si>
  <si>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</si>
  <si>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</si>
  <si>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</si>
  <si>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</si>
  <si>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</si>
  <si>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</si>
  <si>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</si>
  <si>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</si>
  <si>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</si>
  <si>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</si>
  <si>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</si>
  <si>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</si>
  <si>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</si>
  <si>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</si>
  <si>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</si>
  <si>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</si>
  <si>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</si>
  <si>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</si>
  <si>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</si>
  <si>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</si>
  <si>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</si>
  <si>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</si>
  <si>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</si>
  <si>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</si>
  <si>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</si>
  <si>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</si>
  <si>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</si>
  <si>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</si>
  <si>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</si>
  <si>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</si>
  <si>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</si>
  <si>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</si>
  <si>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</si>
  <si>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</si>
  <si>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</si>
  <si>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</si>
  <si>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</si>
  <si>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</si>
  <si>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</si>
  <si>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</si>
  <si>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</si>
  <si>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</si>
  <si>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</si>
  <si>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</si>
  <si>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</si>
  <si>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</si>
  <si>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</si>
  <si>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</si>
  <si>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</si>
  <si>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</si>
  <si>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</si>
  <si>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</si>
  <si>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</si>
  <si>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</si>
  <si>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</si>
  <si>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</si>
  <si>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</si>
  <si>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</si>
  <si>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</si>
  <si>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</si>
  <si>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</si>
  <si>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</si>
  <si>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</si>
  <si>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</si>
  <si>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</si>
  <si>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</si>
  <si>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</si>
  <si>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</si>
  <si>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</si>
  <si>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</si>
  <si>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</si>
  <si>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</si>
  <si>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</si>
  <si>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</si>
  <si>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</si>
  <si>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</si>
  <si>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</si>
  <si>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</si>
  <si>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</si>
  <si>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</si>
  <si>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</si>
  <si>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</si>
  <si>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</si>
  <si>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</si>
  <si>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</si>
  <si>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</si>
  <si>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</si>
  <si>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</si>
  <si>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</si>
  <si>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</si>
  <si>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</si>
  <si>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</si>
  <si>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</si>
  <si>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</si>
  <si>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</si>
  <si>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</si>
  <si>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</si>
  <si>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</si>
  <si>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</si>
  <si>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</si>
  <si>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</si>
  <si>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</si>
  <si>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</si>
  <si>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</si>
  <si>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</si>
  <si>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</si>
  <si>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</si>
  <si>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</si>
  <si>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</si>
  <si>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</si>
  <si>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</si>
  <si>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</si>
  <si>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</si>
  <si>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</si>
  <si>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</si>
  <si>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</si>
  <si>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</si>
  <si>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</si>
  <si>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</si>
  <si>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</si>
  <si>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</si>
  <si>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</si>
  <si>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</si>
  <si>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</si>
  <si>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</si>
  <si>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</si>
  <si>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</si>
  <si>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</si>
  <si>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</si>
  <si>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</si>
  <si>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</si>
  <si>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</si>
  <si>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</si>
  <si>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</si>
  <si>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</si>
  <si>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</si>
  <si>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</si>
  <si>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</si>
  <si>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</si>
  <si>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</si>
  <si>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</si>
  <si>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</si>
  <si>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</si>
  <si>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</si>
  <si>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</si>
  <si>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</si>
  <si>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</si>
  <si>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</si>
  <si>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</si>
  <si>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</si>
  <si>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</si>
  <si>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</si>
  <si>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</si>
  <si>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</si>
  <si>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</si>
  <si>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</si>
  <si>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</si>
  <si>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</si>
  <si>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</si>
  <si>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</si>
  <si>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</si>
  <si>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</si>
  <si>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</si>
  <si>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</si>
  <si>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</si>
  <si>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</si>
  <si>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</si>
  <si>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</si>
  <si>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</si>
  <si>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</si>
  <si>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</si>
  <si>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</si>
  <si>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</si>
  <si>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</si>
  <si>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</si>
  <si>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</si>
  <si>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</si>
  <si>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</si>
  <si>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</si>
  <si>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</si>
  <si>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</si>
  <si>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</si>
  <si>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</si>
  <si>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</si>
  <si>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</si>
  <si>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</si>
  <si>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</si>
  <si>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</si>
  <si>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</si>
  <si>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</si>
  <si>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</si>
  <si>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</si>
  <si>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</si>
  <si>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</si>
  <si>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</si>
  <si>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</si>
  <si>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</si>
  <si>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</si>
  <si>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</si>
  <si>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</si>
  <si>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</si>
  <si>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</si>
  <si>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</si>
  <si>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</si>
  <si>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</si>
  <si>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</si>
  <si>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</si>
  <si>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</si>
  <si>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</si>
  <si>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</si>
  <si>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</si>
  <si>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</si>
  <si>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</si>
  <si>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</si>
  <si>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</si>
  <si>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</si>
  <si>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</si>
  <si>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</si>
  <si>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</si>
  <si>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</si>
  <si>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</si>
  <si>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</si>
  <si>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</si>
  <si>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</si>
  <si>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</si>
  <si>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</si>
  <si>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</si>
  <si>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</si>
  <si>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</si>
  <si>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</si>
  <si>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</si>
  <si>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</si>
  <si>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</si>
  <si>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</si>
  <si>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</si>
  <si>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</si>
  <si>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</si>
  <si>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</si>
  <si>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</si>
  <si>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</si>
  <si>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</si>
  <si>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</si>
  <si>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</si>
  <si>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</si>
  <si>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</si>
  <si>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</si>
  <si>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</si>
  <si>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</si>
  <si>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</si>
  <si>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</si>
  <si>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</si>
  <si>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</si>
  <si>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</si>
  <si>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</si>
  <si>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</si>
  <si>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</si>
  <si>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</si>
  <si>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</si>
  <si>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</si>
  <si>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</si>
  <si>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</si>
  <si>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</si>
  <si>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</si>
  <si>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</si>
  <si>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</si>
  <si>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</si>
  <si>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</si>
  <si>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</si>
  <si>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</si>
  <si>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</si>
  <si>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</si>
  <si>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</si>
  <si>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</si>
  <si>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</si>
  <si>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</si>
  <si>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</si>
  <si>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</si>
  <si>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</si>
  <si>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</si>
  <si>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</si>
  <si>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</si>
  <si>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</si>
  <si>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</si>
  <si>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</si>
  <si>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</si>
  <si>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</si>
  <si>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</si>
  <si>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</si>
  <si>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</si>
  <si>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</si>
  <si>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</si>
  <si>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</si>
  <si>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</si>
  <si>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</si>
  <si>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</si>
  <si>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</si>
  <si>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</si>
  <si>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</si>
  <si>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</si>
  <si>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</si>
  <si>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</si>
  <si>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</si>
  <si>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</si>
  <si>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</si>
  <si>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</si>
  <si>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</si>
  <si>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</si>
  <si>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</si>
  <si>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</si>
  <si>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</si>
  <si>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</si>
  <si>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</si>
  <si>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</si>
  <si>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</si>
  <si>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</si>
  <si>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</si>
  <si>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</si>
  <si>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</si>
  <si>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</si>
  <si>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</si>
  <si>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</si>
  <si>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</si>
  <si>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</si>
  <si>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</si>
  <si>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</si>
  <si>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</si>
  <si>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</si>
  <si>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</si>
  <si>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</si>
  <si>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</si>
  <si>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</si>
  <si>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</si>
  <si>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</si>
  <si>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</si>
  <si>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</si>
  <si>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</si>
  <si>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</si>
  <si>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</si>
  <si>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</si>
  <si>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</si>
  <si>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</si>
  <si>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</si>
  <si>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</si>
  <si>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</si>
  <si>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</si>
  <si>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</si>
  <si>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</si>
  <si>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</si>
  <si>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</si>
  <si>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</si>
  <si>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</si>
  <si>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</si>
  <si>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</si>
  <si>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</si>
  <si>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</si>
  <si>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</si>
  <si>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</si>
  <si>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</si>
  <si>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</si>
  <si>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</si>
  <si>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</si>
  <si>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</si>
  <si>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</si>
  <si>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</si>
  <si>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</si>
  <si>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</si>
  <si>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</si>
  <si>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</si>
  <si>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</si>
  <si>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</si>
  <si>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</si>
  <si>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</si>
  <si>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</si>
  <si>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</si>
  <si>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</si>
  <si>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</si>
  <si>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</si>
  <si>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</si>
  <si>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</si>
  <si>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</si>
  <si>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</si>
  <si>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</si>
  <si>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</si>
  <si>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</si>
  <si>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</si>
  <si>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</si>
  <si>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</si>
  <si>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</si>
  <si>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</si>
  <si>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</si>
  <si>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</si>
  <si>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</si>
  <si>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</si>
  <si>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</si>
  <si>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</si>
  <si>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</si>
  <si>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</si>
  <si>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</si>
  <si>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</si>
  <si>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</si>
  <si>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</si>
  <si>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</si>
  <si>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</si>
  <si>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</si>
  <si>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</si>
  <si>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</si>
  <si>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</si>
  <si>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</si>
  <si>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</si>
  <si>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</si>
  <si>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</si>
  <si>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</si>
  <si>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</si>
  <si>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</si>
  <si>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</si>
  <si>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</si>
  <si>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</si>
  <si>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</si>
  <si>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</si>
  <si>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</si>
  <si>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</si>
  <si>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</si>
  <si>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</si>
  <si>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</si>
  <si>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</si>
  <si>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</si>
  <si>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</si>
  <si>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</si>
  <si>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</si>
  <si>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</si>
  <si>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</si>
  <si>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</si>
  <si>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</si>
  <si>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</si>
  <si>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</si>
  <si>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</si>
  <si>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</si>
  <si>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</si>
  <si>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</si>
  <si>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</si>
  <si>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</si>
  <si>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</si>
  <si>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</si>
  <si>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</si>
  <si>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</si>
  <si>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</si>
  <si>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</si>
  <si>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</si>
  <si>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</si>
  <si>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</si>
  <si>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</si>
  <si>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</si>
  <si>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</si>
  <si>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</si>
  <si>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</si>
  <si>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</si>
  <si>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</si>
  <si>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</si>
  <si>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</si>
  <si>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</si>
  <si>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</si>
  <si>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</si>
  <si>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</si>
  <si>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</si>
  <si>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</si>
  <si>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</si>
  <si>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</si>
  <si>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</si>
  <si>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</si>
  <si>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</si>
  <si>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</si>
  <si>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</si>
  <si>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</si>
  <si>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</si>
  <si>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</si>
  <si>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</si>
  <si>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</si>
  <si>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</si>
  <si>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</si>
  <si>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</si>
  <si>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</si>
  <si>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</si>
  <si>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</si>
  <si>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</si>
  <si>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</si>
  <si>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</si>
  <si>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</si>
  <si>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</si>
  <si>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</si>
  <si>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</si>
  <si>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</si>
  <si>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</si>
  <si>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</si>
  <si>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</si>
  <si>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</si>
  <si>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</si>
  <si>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</si>
  <si>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</si>
  <si>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</si>
  <si>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</si>
  <si>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</si>
  <si>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</si>
  <si>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</si>
  <si>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</si>
  <si>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</si>
  <si>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</si>
  <si>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</si>
  <si>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</si>
  <si>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</si>
  <si>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</si>
  <si>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</si>
  <si>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</si>
  <si>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</si>
  <si>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</si>
  <si>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</si>
  <si>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</si>
  <si>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</si>
  <si>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</si>
  <si>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</si>
  <si>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</si>
  <si>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</si>
  <si>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</si>
  <si>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</si>
  <si>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</si>
  <si>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</si>
  <si>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</si>
  <si>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</si>
  <si>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</si>
  <si>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</si>
  <si>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</si>
  <si>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</si>
  <si>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</si>
  <si>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</si>
  <si>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</si>
  <si>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</si>
  <si>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</si>
  <si>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</si>
  <si>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</si>
  <si>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</si>
  <si>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</si>
  <si>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</si>
  <si>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</si>
  <si>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</si>
  <si>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</si>
  <si>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</si>
  <si>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</si>
  <si>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</si>
  <si>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</si>
  <si>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</si>
  <si>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</si>
  <si>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</si>
  <si>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</si>
  <si>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</si>
  <si>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</si>
  <si>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</si>
  <si>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</si>
  <si>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</si>
  <si>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</si>
  <si>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</si>
  <si>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</si>
  <si>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</si>
  <si>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</si>
  <si>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</si>
  <si>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</si>
  <si>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</si>
  <si>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</si>
  <si>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</si>
  <si>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</si>
  <si>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</si>
  <si>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</si>
  <si>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</si>
  <si>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</si>
  <si>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</si>
  <si>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</si>
  <si>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</si>
  <si>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</si>
  <si>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</si>
  <si>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</si>
  <si>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</si>
  <si>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</si>
  <si>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</si>
  <si>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</si>
  <si>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</si>
  <si>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</si>
  <si>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</si>
  <si>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</si>
  <si>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</si>
  <si>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</si>
  <si>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</si>
  <si>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</si>
  <si>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</si>
  <si>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</si>
  <si>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</si>
  <si>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</si>
  <si>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</si>
  <si>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</si>
  <si>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</si>
  <si>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</si>
  <si>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</si>
  <si>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</si>
  <si>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</si>
  <si>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</si>
  <si>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</si>
  <si>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</si>
  <si>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</si>
  <si>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</si>
  <si>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</si>
  <si>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</si>
  <si>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</si>
  <si>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</si>
  <si>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</si>
  <si>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</si>
  <si>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</si>
  <si>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</si>
  <si>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</si>
  <si>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</si>
  <si>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</si>
  <si>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</si>
  <si>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</si>
  <si>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</si>
  <si>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</si>
  <si>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</si>
  <si>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</si>
  <si>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</si>
  <si>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</si>
  <si>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</si>
  <si>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</si>
  <si>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</si>
  <si>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</si>
  <si>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</si>
  <si>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</si>
  <si>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</si>
  <si>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</si>
  <si>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</si>
  <si>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</si>
  <si>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</si>
  <si>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</si>
  <si>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</si>
  <si>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</si>
  <si>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</si>
  <si>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</si>
  <si>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</si>
  <si>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</si>
  <si>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</si>
  <si>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</si>
  <si>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</si>
  <si>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</si>
  <si>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</si>
  <si>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</si>
  <si>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</si>
  <si>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</si>
  <si>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</si>
  <si>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</si>
  <si>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</si>
  <si>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</si>
  <si>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</si>
  <si>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</si>
  <si>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</si>
  <si>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</si>
  <si>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</si>
  <si>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</si>
  <si>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</si>
  <si>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</si>
  <si>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</si>
  <si>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</si>
  <si>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</si>
  <si>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</si>
  <si>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</si>
  <si>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</si>
  <si>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</si>
  <si>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</si>
  <si>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</si>
  <si>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</si>
  <si>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</si>
  <si>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</si>
  <si>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</si>
  <si>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</si>
  <si>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</si>
  <si>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</si>
  <si>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</si>
  <si>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</si>
  <si>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</si>
  <si>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</si>
  <si>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</si>
  <si>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</si>
  <si>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</si>
  <si>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</si>
  <si>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</si>
  <si>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</si>
  <si>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</si>
  <si>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</si>
  <si>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</si>
  <si>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</si>
  <si>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</si>
  <si>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</si>
  <si>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</si>
  <si>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</si>
  <si>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</si>
  <si>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</si>
  <si>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</si>
  <si>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</si>
  <si>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</si>
  <si>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</si>
  <si>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</si>
  <si>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</si>
  <si>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</si>
  <si>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</si>
  <si>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</si>
  <si>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</si>
  <si>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</si>
  <si>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</si>
  <si>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</si>
  <si>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</si>
  <si>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</si>
  <si>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</si>
  <si>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</si>
  <si>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</si>
  <si>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</si>
  <si>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</si>
  <si>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</si>
  <si>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</si>
  <si>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</si>
  <si>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</si>
  <si>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</si>
  <si>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</si>
  <si>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</si>
  <si>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</si>
  <si>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</si>
  <si>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</si>
  <si>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</si>
  <si>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</si>
  <si>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</si>
  <si>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</si>
  <si>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</si>
  <si>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</si>
  <si>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</si>
  <si>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</si>
  <si>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</si>
  <si>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</si>
  <si>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</si>
  <si>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</si>
  <si>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</si>
  <si>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</si>
  <si>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</si>
  <si>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</si>
  <si>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</si>
  <si>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</si>
  <si>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</si>
  <si>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</si>
  <si>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</si>
  <si>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</si>
  <si>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</si>
  <si>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</si>
  <si>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</si>
  <si>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</si>
  <si>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</si>
  <si>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</si>
  <si>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</si>
  <si>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</si>
  <si>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</si>
  <si>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</si>
  <si>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</si>
  <si>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</si>
  <si>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</si>
  <si>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</si>
  <si>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</si>
  <si>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</si>
  <si>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</si>
  <si>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</si>
  <si>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</si>
  <si>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</si>
  <si>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</si>
  <si>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</si>
  <si>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</si>
  <si>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</si>
  <si>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</si>
  <si>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</si>
  <si>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</si>
  <si>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</si>
  <si>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</si>
  <si>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</si>
  <si>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</si>
  <si>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</si>
  <si>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</si>
  <si>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</si>
  <si>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</si>
  <si>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</si>
  <si>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</si>
  <si>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</si>
  <si>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</si>
  <si>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</si>
  <si>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</si>
  <si>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</si>
  <si>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</si>
  <si>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</si>
  <si>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</si>
  <si>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</si>
  <si>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</si>
  <si>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</si>
  <si>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</si>
  <si>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</si>
  <si>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</si>
  <si>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</si>
  <si>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</si>
  <si>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</si>
  <si>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</si>
  <si>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</si>
  <si>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</si>
  <si>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</si>
  <si>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</si>
  <si>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</si>
  <si>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</si>
  <si>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</si>
  <si>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</si>
  <si>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</si>
  <si>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</si>
  <si>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</si>
  <si>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</si>
  <si>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</si>
  <si>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</si>
  <si>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</si>
  <si>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</si>
  <si>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</si>
  <si>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</si>
  <si>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</si>
  <si>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</si>
  <si>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</si>
  <si>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</si>
  <si>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</si>
  <si>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</si>
  <si>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</si>
  <si>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</si>
  <si>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</si>
  <si>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</si>
  <si>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</si>
  <si>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</si>
  <si>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</si>
  <si>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</si>
  <si>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</si>
  <si>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</si>
  <si>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</si>
  <si>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</si>
  <si>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</si>
  <si>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</si>
  <si>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</si>
  <si>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</si>
  <si>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</si>
  <si>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</si>
  <si>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</si>
  <si>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</si>
  <si>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</si>
  <si>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</si>
  <si>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</si>
  <si>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</si>
  <si>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</si>
  <si>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</si>
  <si>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</si>
  <si>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</si>
  <si>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</si>
  <si>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</si>
  <si>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</si>
  <si>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</si>
  <si>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</si>
  <si>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</si>
  <si>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</si>
  <si>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</si>
  <si>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</si>
  <si>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</si>
  <si>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</si>
  <si>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</si>
  <si>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</si>
  <si>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</si>
  <si>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</si>
  <si>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</si>
  <si>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</si>
  <si>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</si>
  <si>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</si>
  <si>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</si>
  <si>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</si>
  <si>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</si>
  <si>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</si>
  <si>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</si>
  <si>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</si>
  <si>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</si>
  <si>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</si>
  <si>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</si>
  <si>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</si>
  <si>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</si>
  <si>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</si>
  <si>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</si>
  <si>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</si>
  <si>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</si>
  <si>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</si>
  <si>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</si>
  <si>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</si>
  <si>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</si>
  <si>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</si>
  <si>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</si>
  <si>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</si>
  <si>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</si>
  <si>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</si>
  <si>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</si>
  <si>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</si>
  <si>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</si>
  <si>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</si>
  <si>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</si>
  <si>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</si>
  <si>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</si>
  <si>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</si>
  <si>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</si>
  <si>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</si>
  <si>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</si>
  <si>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</si>
  <si>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</si>
  <si>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</si>
  <si>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</si>
  <si>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</si>
  <si>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</si>
  <si>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</si>
  <si>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</si>
  <si>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</si>
  <si>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</si>
  <si>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</si>
  <si>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</si>
  <si>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</si>
  <si>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</si>
  <si>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</si>
  <si>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</si>
  <si>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</si>
  <si>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</si>
  <si>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</si>
  <si>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</si>
  <si>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</si>
  <si>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</si>
  <si>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</si>
  <si>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</si>
  <si>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</si>
  <si>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</si>
  <si>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</si>
  <si>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</si>
  <si>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</si>
  <si>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</si>
  <si>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</si>
  <si>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</si>
  <si>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</si>
  <si>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</si>
  <si>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</si>
  <si>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</si>
  <si>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</si>
  <si>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</si>
  <si>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</si>
  <si>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</si>
  <si>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</si>
  <si>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</si>
  <si>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</si>
  <si>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</si>
  <si>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</si>
  <si>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</si>
  <si>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</si>
  <si>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</si>
  <si>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</si>
  <si>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</si>
  <si>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</si>
  <si>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</si>
  <si>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</si>
  <si>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</si>
  <si>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</si>
  <si>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</si>
  <si>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</si>
  <si>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</si>
  <si>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</si>
  <si>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</si>
  <si>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</si>
  <si>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</si>
  <si>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</si>
  <si>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</si>
  <si>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</si>
  <si>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</si>
  <si>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</si>
  <si>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</si>
  <si>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</si>
  <si>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</si>
  <si>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</si>
  <si>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</si>
  <si>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</si>
  <si>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</si>
  <si>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</si>
  <si>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</si>
  <si>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</si>
  <si>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</si>
  <si>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</si>
  <si>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</si>
  <si>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</si>
  <si>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</si>
  <si>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</si>
  <si>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</si>
  <si>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</si>
  <si>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</si>
  <si>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</si>
  <si>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</si>
  <si>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</si>
  <si>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</si>
  <si>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</si>
  <si>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</si>
  <si>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</si>
  <si>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</si>
  <si>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</si>
  <si>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</si>
  <si>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</si>
  <si>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</si>
  <si>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</si>
  <si>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</si>
  <si>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</si>
  <si>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</si>
  <si>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</si>
  <si>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</si>
  <si>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</si>
  <si>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</si>
  <si>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</si>
  <si>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</si>
  <si>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</si>
  <si>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</si>
  <si>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</si>
  <si>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</si>
  <si>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</si>
  <si>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</si>
  <si>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</si>
  <si>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</si>
  <si>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</si>
  <si>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</si>
  <si>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</si>
  <si>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</si>
  <si>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</si>
  <si>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</si>
  <si>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</si>
  <si>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</si>
  <si>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</si>
  <si>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</si>
  <si>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</si>
  <si>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</si>
  <si>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</si>
  <si>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</si>
  <si>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</si>
  <si>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</si>
  <si>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</si>
  <si>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</si>
  <si>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</si>
  <si>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</si>
  <si>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</si>
  <si>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</si>
  <si>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</si>
  <si>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</si>
  <si>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</si>
  <si>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</si>
  <si>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</si>
  <si>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</si>
  <si>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</si>
  <si>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</si>
  <si>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</si>
  <si>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</si>
  <si>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</si>
  <si>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</si>
  <si>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</si>
  <si>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</si>
  <si>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</si>
  <si>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</si>
  <si>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</si>
  <si>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</si>
  <si>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</si>
  <si>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</si>
  <si>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</si>
  <si>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</si>
  <si>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</si>
  <si>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</si>
  <si>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</si>
  <si>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</si>
  <si>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</si>
  <si>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</si>
  <si>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</si>
  <si>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</si>
  <si>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</si>
  <si>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</si>
  <si>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</si>
  <si>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</si>
  <si>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</si>
  <si>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</si>
  <si>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</si>
  <si>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</si>
  <si>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</si>
  <si>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</si>
  <si>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</si>
  <si>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</si>
  <si>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</si>
  <si>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</si>
  <si>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</si>
  <si>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</si>
  <si>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</si>
  <si>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</si>
  <si>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</si>
  <si>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</si>
  <si>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</si>
  <si>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</si>
  <si>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</si>
  <si>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</si>
  <si>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</si>
  <si>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</si>
  <si>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</si>
  <si>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</si>
  <si>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</si>
  <si>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</si>
  <si>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</si>
  <si>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</si>
  <si>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</si>
  <si>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</si>
  <si>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</si>
  <si>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</si>
  <si>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</si>
  <si>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</si>
  <si>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</si>
  <si>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</si>
  <si>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</si>
  <si>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</si>
  <si>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</si>
  <si>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</si>
  <si>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</si>
  <si>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</si>
  <si>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</si>
  <si>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</si>
  <si>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</si>
  <si>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</si>
  <si>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</si>
  <si>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</si>
  <si>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</si>
  <si>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</si>
  <si>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</si>
  <si>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</si>
  <si>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</si>
  <si>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</si>
  <si>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</si>
  <si>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</si>
  <si>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</si>
  <si>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</si>
  <si>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</si>
  <si>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</si>
  <si>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</si>
  <si>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</si>
  <si>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</si>
  <si>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</si>
  <si>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</si>
  <si>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</si>
  <si>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</si>
  <si>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</si>
  <si>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</si>
  <si>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</si>
  <si>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</si>
  <si>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</si>
  <si>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</si>
  <si>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</si>
  <si>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</si>
  <si>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</si>
  <si>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</si>
  <si>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</si>
  <si>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</si>
  <si>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</si>
  <si>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</si>
  <si>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</si>
  <si>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</si>
  <si>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</si>
  <si>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</si>
  <si>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</si>
  <si>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</si>
  <si>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</si>
  <si>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</si>
  <si>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</si>
  <si>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</si>
  <si>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</si>
  <si>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</si>
  <si>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</si>
  <si>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</si>
  <si>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</si>
  <si>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</si>
  <si>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</si>
  <si>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</si>
  <si>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</si>
  <si>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</si>
  <si>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</si>
  <si>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</si>
  <si>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</si>
  <si>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</si>
  <si>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</si>
  <si>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</si>
  <si>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</si>
  <si>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</si>
  <si>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</si>
  <si>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</si>
  <si>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</si>
  <si>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</si>
  <si>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</si>
  <si>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</si>
  <si>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</si>
  <si>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</si>
  <si>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</si>
  <si>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</si>
  <si>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</si>
  <si>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</si>
  <si>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</si>
  <si>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</si>
  <si>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</si>
  <si>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</si>
  <si>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</si>
  <si>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</si>
  <si>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</si>
  <si>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</si>
  <si>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</si>
  <si>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</si>
  <si>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</si>
  <si>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</si>
  <si>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</si>
  <si>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</si>
  <si>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</si>
  <si>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</si>
  <si>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</si>
  <si>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</si>
  <si>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</si>
  <si>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</si>
  <si>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</si>
  <si>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</si>
  <si>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</si>
  <si>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</si>
  <si>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</si>
  <si>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</si>
  <si>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</si>
  <si>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</si>
  <si>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</si>
  <si>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</si>
  <si>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</si>
  <si>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</si>
  <si>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</si>
  <si>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</si>
  <si>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</si>
  <si>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</si>
  <si>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</si>
  <si>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</si>
  <si>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</si>
  <si>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</si>
  <si>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</si>
  <si>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</si>
  <si>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</si>
  <si>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</si>
  <si>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</si>
  <si>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</si>
  <si>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</si>
  <si>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</si>
  <si>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</si>
  <si>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</si>
  <si>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</si>
  <si>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</si>
  <si>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</si>
  <si>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</si>
  <si>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</si>
  <si>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</si>
  <si>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</si>
  <si>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</si>
  <si>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</si>
  <si>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</si>
  <si>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</si>
  <si>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</si>
  <si>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</si>
  <si>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</si>
  <si>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</si>
  <si>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</si>
  <si>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</si>
  <si>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</si>
  <si>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</si>
  <si>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</si>
  <si>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</si>
  <si>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</si>
  <si>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</si>
  <si>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</si>
  <si>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</si>
  <si>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</si>
  <si>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</si>
  <si>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</si>
  <si>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</si>
  <si>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</si>
  <si>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</si>
  <si>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</si>
  <si>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</si>
  <si>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</si>
  <si>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</si>
  <si>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</si>
  <si>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</si>
  <si>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</si>
  <si>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</si>
  <si>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</si>
  <si>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</si>
  <si>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</si>
  <si>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</si>
  <si>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</si>
  <si>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</si>
  <si>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</si>
  <si>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</si>
  <si>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</si>
  <si>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</si>
  <si>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</si>
  <si>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</si>
  <si>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</si>
  <si>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</si>
  <si>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</si>
  <si>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</si>
  <si>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</si>
  <si>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</si>
  <si>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</si>
  <si>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</si>
  <si>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</si>
  <si>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</si>
  <si>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</si>
  <si>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</si>
  <si>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</si>
  <si>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</si>
  <si>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</si>
  <si>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</si>
  <si>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</si>
  <si>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</si>
  <si>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</si>
  <si>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</si>
  <si>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</si>
  <si>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</si>
  <si>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</si>
  <si>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</si>
  <si>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</si>
  <si>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</si>
  <si>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</si>
  <si>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</si>
  <si>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</si>
  <si>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</si>
  <si>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</si>
  <si>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</si>
  <si>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</si>
  <si>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</si>
  <si>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</si>
  <si>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</si>
  <si>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</si>
  <si>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</si>
  <si>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</si>
  <si>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</si>
  <si>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</si>
  <si>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</si>
  <si>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</si>
  <si>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</si>
  <si>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</si>
  <si>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</si>
  <si>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</si>
  <si>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</si>
  <si>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</si>
  <si>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</si>
  <si>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</si>
  <si>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</si>
  <si>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</si>
  <si>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</si>
  <si>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</si>
  <si>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</si>
  <si>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</si>
  <si>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</si>
  <si>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</si>
  <si>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</si>
  <si>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</si>
  <si>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</si>
  <si>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</si>
  <si>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</si>
  <si>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</si>
  <si>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</si>
  <si>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</si>
  <si>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</si>
  <si>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</si>
  <si>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</si>
  <si>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</si>
  <si>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</si>
  <si>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</si>
  <si>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</si>
  <si>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</si>
  <si>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</si>
  <si>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</si>
  <si>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</si>
  <si>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</si>
  <si>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</si>
  <si>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</si>
  <si>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</si>
  <si>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</si>
  <si>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</si>
  <si>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</si>
  <si>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</si>
  <si>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</si>
  <si>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</si>
  <si>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</si>
  <si>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</si>
  <si>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</si>
  <si>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</si>
  <si>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</si>
  <si>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</si>
  <si>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</si>
  <si>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</si>
  <si>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</si>
  <si>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</si>
  <si>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</si>
  <si>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</si>
  <si>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</si>
  <si>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</si>
  <si>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</si>
  <si>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</si>
  <si>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</si>
  <si>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</si>
  <si>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</si>
  <si>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</si>
  <si>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</si>
  <si>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</si>
  <si>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</si>
  <si>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</si>
  <si>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</si>
  <si>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</si>
  <si>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</si>
  <si>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</si>
  <si>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</si>
  <si>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</si>
  <si>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</si>
  <si>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</si>
  <si>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</si>
  <si>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</si>
  <si>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</si>
  <si>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</si>
  <si>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</si>
  <si>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</si>
  <si>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</si>
  <si>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</si>
  <si>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</si>
  <si>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</si>
  <si>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</si>
  <si>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</si>
  <si>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</si>
  <si>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</si>
  <si>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</si>
  <si>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</si>
  <si>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</si>
  <si>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</si>
  <si>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</si>
  <si>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</si>
  <si>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</si>
  <si>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</si>
  <si>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</si>
  <si>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</si>
  <si>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</si>
  <si>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</si>
  <si>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</si>
  <si>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</si>
  <si>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</si>
  <si>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</si>
  <si>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</si>
  <si>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</si>
  <si>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</si>
  <si>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</si>
  <si>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</si>
  <si>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</si>
  <si>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</si>
  <si>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</si>
  <si>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</si>
  <si>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</si>
  <si>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</si>
  <si>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</si>
  <si>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</si>
  <si>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</si>
  <si>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</si>
  <si>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</si>
  <si>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</si>
  <si>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</si>
  <si>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</si>
  <si>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</si>
  <si>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</si>
  <si>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</si>
  <si>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</si>
  <si>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</si>
  <si>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</si>
  <si>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</si>
  <si>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</si>
  <si>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</si>
  <si>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</si>
  <si>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</si>
  <si>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</si>
  <si>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</si>
  <si>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</si>
  <si>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</si>
  <si>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</si>
  <si>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</si>
  <si>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</si>
  <si>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</si>
  <si>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</si>
  <si>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</si>
  <si>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</si>
  <si>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</si>
  <si>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</si>
  <si>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</si>
  <si>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</si>
  <si>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</si>
  <si>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</si>
  <si>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</si>
  <si>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</si>
  <si>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</si>
  <si>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</si>
  <si>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</si>
  <si>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</si>
  <si>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</si>
  <si>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</si>
  <si>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</si>
  <si>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</si>
  <si>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</si>
  <si>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</si>
  <si>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</si>
  <si>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</si>
  <si>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</si>
  <si>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</si>
  <si>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</si>
  <si>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</si>
  <si>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</si>
  <si>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</si>
  <si>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</si>
  <si>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</si>
  <si>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</si>
  <si>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</si>
  <si>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</si>
  <si>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</si>
  <si>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</si>
  <si>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</si>
  <si>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</si>
  <si>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</si>
  <si>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</si>
  <si>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</si>
  <si>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</si>
  <si>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</si>
  <si>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</si>
  <si>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</si>
  <si>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</si>
  <si>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</si>
  <si>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</si>
  <si>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</si>
  <si>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</si>
  <si>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</si>
  <si>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</si>
  <si>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</si>
  <si>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</si>
  <si>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</si>
  <si>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</si>
  <si>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</si>
  <si>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</si>
  <si>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</si>
  <si>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</si>
  <si>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</si>
  <si>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</si>
  <si>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</si>
  <si>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</si>
  <si>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</si>
  <si>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</si>
  <si>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</si>
  <si>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项目</t>
    <phoneticPr fontId="143" type="noConversion"/>
  </si>
  <si>
    <t>总共</t>
    <phoneticPr fontId="143" type="noConversion"/>
  </si>
  <si>
    <t>一期</t>
    <phoneticPr fontId="143" type="noConversion"/>
  </si>
  <si>
    <t>其余</t>
    <phoneticPr fontId="143" type="noConversion"/>
  </si>
  <si>
    <t>土地面积</t>
    <phoneticPr fontId="143" type="noConversion"/>
  </si>
  <si>
    <t>总建筑面积</t>
    <phoneticPr fontId="143" type="noConversion"/>
  </si>
  <si>
    <t>计容面积</t>
    <phoneticPr fontId="143" type="noConversion"/>
  </si>
  <si>
    <t>洋房</t>
    <phoneticPr fontId="143" type="noConversion"/>
  </si>
  <si>
    <t>叠拼</t>
    <phoneticPr fontId="143" type="noConversion"/>
  </si>
  <si>
    <t>商业</t>
    <phoneticPr fontId="143" type="noConversion"/>
  </si>
  <si>
    <t>消防监控、监控室</t>
    <phoneticPr fontId="143" type="noConversion"/>
  </si>
  <si>
    <t>物业用房</t>
    <phoneticPr fontId="143" type="noConversion"/>
  </si>
  <si>
    <t>幼儿园</t>
    <phoneticPr fontId="143" type="noConversion"/>
  </si>
  <si>
    <t>门卫</t>
    <phoneticPr fontId="143" type="noConversion"/>
  </si>
  <si>
    <t>不计容</t>
    <phoneticPr fontId="143" type="noConversion"/>
  </si>
  <si>
    <t>架空层面积</t>
    <phoneticPr fontId="143" type="noConversion"/>
  </si>
  <si>
    <t>楼顶机房及楼梯间</t>
    <phoneticPr fontId="143" type="noConversion"/>
  </si>
  <si>
    <t>地下车库</t>
    <phoneticPr fontId="143" type="noConversion"/>
  </si>
  <si>
    <t>人防车库</t>
    <phoneticPr fontId="143" type="noConversion"/>
  </si>
  <si>
    <t>一期洋房</t>
    <phoneticPr fontId="3" type="noConversion"/>
  </si>
  <si>
    <t>一期叠拼</t>
    <phoneticPr fontId="3" type="noConversion"/>
  </si>
  <si>
    <t>幼儿园</t>
    <phoneticPr fontId="3" type="noConversion"/>
  </si>
  <si>
    <t>设备</t>
    <phoneticPr fontId="3" type="noConversion"/>
  </si>
  <si>
    <t>是</t>
  </si>
  <si>
    <t>地上</t>
  </si>
  <si>
    <t>住宅</t>
  </si>
  <si>
    <t>洋房</t>
  </si>
  <si>
    <t>洋房</t>
    <phoneticPr fontId="7" type="noConversion"/>
  </si>
  <si>
    <t>叠拼</t>
  </si>
  <si>
    <t>叠拼</t>
    <phoneticPr fontId="7" type="noConversion"/>
  </si>
  <si>
    <t>未包含在土地购买价格中</t>
  </si>
  <si>
    <t>已包含在土地取得成本中</t>
  </si>
  <si>
    <t>三亚天骄·海棠湾</t>
  </si>
  <si>
    <t>长基听棠</t>
  </si>
  <si>
    <t>龙棠大观</t>
  </si>
  <si>
    <t>正常</t>
  </si>
  <si>
    <t>住宅</t>
    <phoneticPr fontId="143" type="noConversion"/>
  </si>
  <si>
    <t>60-70（含）</t>
  </si>
  <si>
    <t>较好</t>
  </si>
  <si>
    <t>一般</t>
  </si>
  <si>
    <t>六通</t>
  </si>
  <si>
    <t>好</t>
  </si>
  <si>
    <t>洋房</t>
    <phoneticPr fontId="143" type="noConversion"/>
  </si>
  <si>
    <t>钢混</t>
  </si>
  <si>
    <t>钢混</t>
    <phoneticPr fontId="143" type="noConversion"/>
  </si>
  <si>
    <t>好</t>
    <phoneticPr fontId="143" type="noConversion"/>
  </si>
  <si>
    <t>精装修</t>
  </si>
  <si>
    <t>精装修</t>
    <phoneticPr fontId="143" type="noConversion"/>
  </si>
  <si>
    <t>专业</t>
    <phoneticPr fontId="143" type="noConversion"/>
  </si>
  <si>
    <t>六通</t>
    <phoneticPr fontId="143" type="noConversion"/>
  </si>
  <si>
    <t>毛坯</t>
  </si>
  <si>
    <t>毛坯</t>
    <phoneticPr fontId="143" type="noConversion"/>
  </si>
  <si>
    <t>成本法</t>
  </si>
  <si>
    <t>假设开发法</t>
  </si>
  <si>
    <t>情况3</t>
  </si>
  <si>
    <t>出让金+开发费</t>
  </si>
  <si>
    <t>工程进度</t>
    <phoneticPr fontId="143" type="noConversion"/>
  </si>
  <si>
    <t>洋房</t>
    <phoneticPr fontId="143" type="noConversion"/>
  </si>
  <si>
    <t>9-1</t>
    <phoneticPr fontId="143" type="noConversion"/>
  </si>
  <si>
    <t>9-2</t>
  </si>
  <si>
    <t>9-3</t>
  </si>
  <si>
    <t>9-5</t>
  </si>
  <si>
    <t>9-6</t>
  </si>
  <si>
    <t>9-7</t>
  </si>
  <si>
    <t>9-8</t>
  </si>
  <si>
    <t>9-9</t>
  </si>
  <si>
    <t>9-10</t>
  </si>
  <si>
    <t>基础施工</t>
    <phoneticPr fontId="143" type="noConversion"/>
  </si>
  <si>
    <t>基础施工</t>
    <phoneticPr fontId="143" type="noConversion"/>
  </si>
  <si>
    <t>平地</t>
    <phoneticPr fontId="143" type="noConversion"/>
  </si>
  <si>
    <t>平地</t>
    <phoneticPr fontId="143" type="noConversion"/>
  </si>
  <si>
    <t>地上1层</t>
    <phoneticPr fontId="143" type="noConversion"/>
  </si>
  <si>
    <t>地上3层</t>
    <phoneticPr fontId="143" type="noConversion"/>
  </si>
  <si>
    <t>完工无装修</t>
    <phoneticPr fontId="143" type="noConversion"/>
  </si>
  <si>
    <t>全部缴纳</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</si>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</sst>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ꃿ"/>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97" fontId="137" fillId="0" borderId="0">
      <alignment vertical="center"/>
    </xf>
    <xf numFmtId="194" fontId="99"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1" xfId="10" applyFont="1" applyBorder="1">
      <alignment vertical="center"/>
    </xf>
    <xf numFmtId="0" fontId="99" fillId="0" borderId="0" xfId="10">
      <alignment vertical="center"/>
    </xf>
    <xf numFmtId="0" fontId="99" fillId="0" borderId="1" xfId="10"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94" fontId="99" fillId="0" borderId="0" xfId="19">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91" fontId="104" fillId="7" borderId="0" xfId="0" applyNumberFormat="1" applyFont="1" applyFill="1" applyProtection="1">
      <alignment vertical="center"/>
      <protection locked="0"/>
    </xf>
    <xf numFmtId="49" fontId="99" fillId="0" borderId="0" xfId="10" applyNumberFormat="1">
      <alignment vertical="center"/>
    </xf>
    <xf numFmtId="9" fontId="99" fillId="0" borderId="0" xfId="10" applyNumberFormat="1">
      <alignment vertical="center"/>
    </xf>
    <xf numFmtId="183"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3" xfId="10" applyFont="1" applyBorder="1" applyAlignment="1">
      <alignment horizontal="center" vertical="center"/>
    </xf>
    <xf numFmtId="0" fontId="99" fillId="0" borderId="15" xfId="10" applyFont="1" applyBorder="1" applyAlignment="1">
      <alignment horizontal="center" vertical="center"/>
    </xf>
    <xf numFmtId="0" fontId="99" fillId="0" borderId="2" xfId="1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39 2"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323034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47625</xdr:colOff>
      <xdr:row>16</xdr:row>
      <xdr:rowOff>95250</xdr:rowOff>
    </xdr:from>
    <xdr:to>
      <xdr:col>6</xdr:col>
      <xdr:colOff>428149</xdr:colOff>
      <xdr:row>20</xdr:row>
      <xdr:rowOff>95164</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2838450"/>
          <a:ext cx="3809524" cy="685714"/>
        </a:xfrm>
        <a:prstGeom prst="rect">
          <a:avLst/>
        </a:prstGeom>
      </xdr:spPr>
    </xdr:pic>
    <xdr:clientData/>
  </xdr:twoCellAnchor>
  <xdr:twoCellAnchor editAs="oneCell">
    <xdr:from>
      <xdr:col>1</xdr:col>
      <xdr:colOff>95250</xdr:colOff>
      <xdr:row>22</xdr:row>
      <xdr:rowOff>114300</xdr:rowOff>
    </xdr:from>
    <xdr:to>
      <xdr:col>11</xdr:col>
      <xdr:colOff>237241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0</xdr:col>
      <xdr:colOff>666750</xdr:colOff>
      <xdr:row>30</xdr:row>
      <xdr:rowOff>38100</xdr:rowOff>
    </xdr:from>
    <xdr:to>
      <xdr:col>5</xdr:col>
      <xdr:colOff>285369</xdr:colOff>
      <xdr:row>34</xdr:row>
      <xdr:rowOff>133252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0" y="5181600"/>
          <a:ext cx="3047619" cy="780952"/>
        </a:xfrm>
        <a:prstGeom prst="rect">
          <a:avLst/>
        </a:prstGeom>
      </xdr:spPr>
    </xdr:pic>
    <xdr:clientData/>
  </xdr:twoCellAnchor>
  <xdr:twoCellAnchor editAs="oneCell">
    <xdr:from>
      <xdr:col>1</xdr:col>
      <xdr:colOff>0</xdr:colOff>
      <xdr:row>35</xdr:row>
      <xdr:rowOff>152400</xdr:rowOff>
    </xdr:from>
    <xdr:to>
      <xdr:col>11</xdr:col>
      <xdr:colOff>351515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57150</xdr:colOff>
      <xdr:row>41</xdr:row>
      <xdr:rowOff>123825</xdr:rowOff>
    </xdr:from>
    <xdr:to>
      <xdr:col>11</xdr:col>
      <xdr:colOff>408674</xdr:colOff>
      <xdr:row>64</xdr:row>
      <xdr:rowOff>85237</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715327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104775</xdr:colOff>
      <xdr:row>32</xdr:row>
      <xdr:rowOff>95250</xdr:rowOff>
    </xdr:from>
    <xdr:to>
      <xdr:col>10</xdr:col>
      <xdr:colOff>608766</xdr:colOff>
      <xdr:row>36</xdr:row>
      <xdr:rowOff>104688</xdr:rowOff>
    </xdr:to>
    <xdr:pic>
      <xdr:nvPicPr>
        <xdr:cNvPr id="9" name="图片 8"/>
        <xdr:cNvPicPr>
          <a:picLocks noChangeAspect="1"/>
        </xdr:cNvPicPr>
      </xdr:nvPicPr>
      <xdr:blipFill>
        <a:blip xmlns:r="http://schemas.openxmlformats.org/officeDocument/2006/relationships" r:embed="rId7"/>
        <a:stretch>
          <a:fillRect/>
        </a:stretch>
      </xdr:blipFill>
      <xdr:spPr>
        <a:xfrm>
          <a:off x="790575" y="5581650"/>
          <a:ext cx="6676191" cy="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2303;&#22320;-&#21097;&#2031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72;&#23447;&#22320;-&#36793;&#36828;20191031-1731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97;&#20313;&#22303;&#22320;-&#36793;&#36828;20191031-173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洋房</v>
          </cell>
        </row>
        <row r="20">
          <cell r="C20" t="str">
            <v>叠墅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好</v>
          </cell>
        </row>
        <row r="109">
          <cell r="B109" t="str">
            <v>公共部分装修</v>
          </cell>
          <cell r="C109" t="str">
            <v>精装修</v>
          </cell>
        </row>
        <row r="114">
          <cell r="B114" t="str">
            <v>物业管理</v>
          </cell>
          <cell r="C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sheetData sheetId="31"/>
      <sheetData sheetId="32"/>
      <sheetData sheetId="33"/>
      <sheetData sheetId="34"/>
      <sheetData sheetId="35">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17">
          <cell r="C17" t="str">
            <v>项目类型</v>
          </cell>
        </row>
        <row r="19">
          <cell r="C19" t="str">
            <v>洋房</v>
          </cell>
        </row>
        <row r="20">
          <cell r="C20" t="str">
            <v>叠墅</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5007</v>
          </cell>
        </row>
      </sheetData>
      <sheetData sheetId="27"/>
      <sheetData sheetId="28">
        <row r="99">
          <cell r="B99" t="str">
            <v>毗邻道路的类型与等级</v>
          </cell>
        </row>
        <row r="114">
          <cell r="B114" t="str">
            <v>宗地开发程度</v>
          </cell>
        </row>
        <row r="116">
          <cell r="B116" t="str">
            <v>工程地质条件</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3300</v>
          </cell>
        </row>
        <row r="7">
          <cell r="L7">
            <v>3500</v>
          </cell>
        </row>
        <row r="14">
          <cell r="L14">
            <v>1800</v>
          </cell>
        </row>
      </sheetData>
      <sheetData sheetId="15"/>
      <sheetData sheetId="16"/>
      <sheetData sheetId="17"/>
      <sheetData sheetId="18">
        <row r="8">
          <cell r="D8">
            <v>43978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L6">
            <v>3300</v>
          </cell>
        </row>
      </sheetData>
      <sheetData sheetId="15" refreshError="1"/>
      <sheetData sheetId="16" refreshError="1"/>
      <sheetData sheetId="17" refreshError="1"/>
      <sheetData sheetId="18" refreshError="1"/>
      <sheetData sheetId="19" refreshError="1"/>
      <sheetData sheetId="20">
        <row r="49">
          <cell r="C49">
            <v>32411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估价对象为出让国有建设用地使用权及在建建筑物房地产，为所有。根据《国有土地使用证》[]，估价对象（分摊）出让国有建设用地使用权面积为13641.1平方米，建筑面积为11781平方米。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13641.1平方米，规划建筑面积为11781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2019年10月26日（评估专业人员实地查勘之日）</v>
      </c>
    </row>
    <row r="13" spans="1:2" s="1592" customFormat="1">
      <c r="A13" s="1590" t="s">
        <v>1223</v>
      </c>
      <c r="B13" s="1591" t="str">
        <f>'预评函-1'!A18</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12978</v>
      </c>
    </row>
    <row r="21" spans="1:2" s="1592" customFormat="1">
      <c r="A21" s="1590" t="s">
        <v>1231</v>
      </c>
      <c r="B21" s="1591">
        <f ca="1">'预评函-2'!D7</f>
        <v>11016</v>
      </c>
    </row>
    <row r="22" spans="1:2" s="1592" customFormat="1">
      <c r="A22" s="1590" t="s">
        <v>1232</v>
      </c>
      <c r="B22" s="1591" t="str">
        <f ca="1">'预评函-2'!D6</f>
        <v>壹亿贰仟玖佰柒拾捌万元整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12978</v>
      </c>
    </row>
    <row r="31" spans="1:2" s="1592" customFormat="1">
      <c r="A31" s="1590" t="s">
        <v>1270</v>
      </c>
      <c r="B31" s="1591">
        <f ca="1">'预评函-2'!D15</f>
        <v>11016</v>
      </c>
    </row>
    <row r="32" spans="1:2" s="1592" customFormat="1">
      <c r="A32" s="1590" t="s">
        <v>1237</v>
      </c>
      <c r="B32" s="1591" t="str">
        <f ca="1">'预评函-2'!D14</f>
        <v>壹亿贰仟玖佰柒拾捌万元整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11781</v>
      </c>
    </row>
    <row r="44" spans="1:2" s="1592" customFormat="1">
      <c r="A44" s="1590" t="s">
        <v>1269</v>
      </c>
      <c r="B44" s="1591" t="str">
        <f>'预评函-3'!C2</f>
        <v>(分摊)土地面积</v>
      </c>
    </row>
    <row r="45" spans="1:2" s="1592" customFormat="1">
      <c r="A45" s="1590" t="s">
        <v>1241</v>
      </c>
      <c r="B45" s="1591">
        <f>'预评函-3'!C4</f>
        <v>13641.1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0" t="s">
        <v>861</v>
      </c>
      <c r="C54" s="2017" t="s">
        <v>1277</v>
      </c>
    </row>
    <row r="55" spans="1:4">
      <c r="A55" s="3023"/>
      <c r="B55" s="2020" t="s">
        <v>862</v>
      </c>
      <c r="C55" s="2017" t="s">
        <v>1278</v>
      </c>
    </row>
    <row r="56" spans="1:4">
      <c r="A56" s="3023"/>
      <c r="B56" s="2020" t="s">
        <v>863</v>
      </c>
      <c r="C56" s="2017" t="s">
        <v>1282</v>
      </c>
    </row>
    <row r="57" spans="1:4">
      <c r="A57" s="302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0" customWidth="1"/>
    <col min="2"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v>43764</v>
      </c>
      <c r="C3" s="2035" t="s">
        <v>1774</v>
      </c>
      <c r="D3" s="2034">
        <f>B3</f>
        <v>43764</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35" t="s">
        <v>1780</v>
      </c>
      <c r="E8" s="2055" t="s">
        <v>3054</v>
      </c>
      <c r="F8" s="2056"/>
      <c r="G8" s="2024"/>
      <c r="H8" s="2024"/>
      <c r="I8" s="2024"/>
      <c r="J8" s="2040"/>
      <c r="K8" s="2041"/>
      <c r="L8" s="2026"/>
      <c r="M8" s="2026"/>
      <c r="N8" s="2027"/>
      <c r="O8" s="2028"/>
      <c r="P8" s="2027"/>
      <c r="Q8" s="2027"/>
      <c r="R8" s="2027"/>
    </row>
    <row r="9" spans="1:19" ht="18" customHeight="1" thickBot="1">
      <c r="A9" s="2038" t="s">
        <v>1781</v>
      </c>
      <c r="B9" s="2057" t="s">
        <v>3054</v>
      </c>
      <c r="C9" s="2058"/>
      <c r="D9" s="3036"/>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3057</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67403</v>
      </c>
      <c r="E13" s="2078"/>
      <c r="F13" s="2078"/>
      <c r="G13" s="2078"/>
      <c r="H13" s="2078"/>
      <c r="I13" s="1046"/>
      <c r="J13" s="2040"/>
      <c r="K13" s="2052"/>
      <c r="L13" s="2026"/>
      <c r="M13" s="2026"/>
      <c r="N13" s="2027"/>
      <c r="O13" s="2028"/>
      <c r="P13" s="2027"/>
      <c r="Q13" s="2027"/>
      <c r="R13" s="2027"/>
    </row>
    <row r="14" spans="1:19" ht="18" customHeight="1">
      <c r="A14" s="2075"/>
      <c r="B14" s="2076"/>
      <c r="C14" s="2077" t="s">
        <v>1794</v>
      </c>
      <c r="D14" s="1049">
        <v>70</v>
      </c>
      <c r="E14" s="1049"/>
      <c r="F14" s="1049"/>
      <c r="G14" s="1049"/>
      <c r="H14" s="1049"/>
      <c r="I14" s="1049"/>
      <c r="J14" s="2040"/>
      <c r="K14" s="2079"/>
      <c r="L14" s="2026"/>
      <c r="M14" s="2026"/>
      <c r="N14" s="2027"/>
      <c r="O14" s="2028"/>
      <c r="P14" s="2027"/>
      <c r="Q14" s="2027"/>
      <c r="R14" s="2027"/>
    </row>
    <row r="15" spans="1:19" ht="18" customHeight="1">
      <c r="A15" s="2061"/>
      <c r="B15" s="2080"/>
      <c r="C15" s="2077" t="s">
        <v>1795</v>
      </c>
      <c r="D15" s="1048">
        <f>IF(B12="出让",IF(D13="","",ROUNDDOWN(MIN((D13-$D$3)/365,D14),2)),D14)</f>
        <v>64.760000000000005</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42"/>
      <c r="C16" s="3043"/>
      <c r="D16" s="3044"/>
      <c r="E16" s="2084" t="s">
        <v>1797</v>
      </c>
      <c r="F16" s="3045"/>
      <c r="G16" s="3046"/>
      <c r="H16" s="3046"/>
      <c r="I16" s="3047"/>
      <c r="J16" s="2027"/>
      <c r="K16" s="2081"/>
      <c r="L16" s="2082"/>
      <c r="M16" s="2082"/>
      <c r="N16" s="2083"/>
      <c r="O16" s="2082"/>
      <c r="P16" s="2083"/>
      <c r="Q16" s="2027"/>
      <c r="R16" s="2027"/>
    </row>
    <row r="17" spans="1:22" ht="18" customHeight="1">
      <c r="A17" s="2085" t="s">
        <v>1798</v>
      </c>
      <c r="B17" s="2033" t="s">
        <v>1799</v>
      </c>
      <c r="C17" s="1053">
        <f>'数据-汇总表'!E3</f>
        <v>11781</v>
      </c>
      <c r="D17" s="2086" t="s">
        <v>1800</v>
      </c>
      <c r="E17" s="3048" t="s">
        <v>1801</v>
      </c>
      <c r="F17" s="3049"/>
      <c r="G17" s="3049"/>
      <c r="H17" s="3049"/>
      <c r="I17" s="3050"/>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13641.1</v>
      </c>
      <c r="D18" s="2089" t="s">
        <v>1800</v>
      </c>
      <c r="E18" s="3051" t="s">
        <v>1804</v>
      </c>
      <c r="F18" s="3052"/>
      <c r="G18" s="3052"/>
      <c r="H18" s="3052"/>
      <c r="I18" s="3053"/>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8" t="s">
        <v>1809</v>
      </c>
      <c r="C20" s="3039"/>
      <c r="D20" s="3040" t="s">
        <v>1810</v>
      </c>
      <c r="E20" s="3041"/>
      <c r="F20" s="2096" t="s">
        <v>1811</v>
      </c>
      <c r="G20" s="2040"/>
      <c r="H20" s="2040"/>
      <c r="I20" s="2040"/>
      <c r="J20" s="2040"/>
      <c r="K20" s="303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5"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5"/>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5"/>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6"/>
      <c r="B30" s="2033" t="s">
        <v>1828</v>
      </c>
      <c r="C30" s="3027"/>
      <c r="D30" s="302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9"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24" t="s">
        <v>1838</v>
      </c>
      <c r="T34" s="2133" t="str">
        <f>NUMBERSTRING(7-K34,1)&amp;"通"</f>
        <v>七通</v>
      </c>
      <c r="U34" s="2027"/>
      <c r="V34" s="2027"/>
    </row>
    <row r="35" spans="1:22" ht="18" customHeight="1">
      <c r="A35" s="2134"/>
      <c r="B35" s="3031" t="s">
        <v>1839</v>
      </c>
      <c r="C35" s="3031"/>
      <c r="D35" s="3031"/>
      <c r="E35" s="3031"/>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4"/>
      <c r="T35" s="47"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6" sqref="E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4">
        <f>面积表!F7</f>
        <v>13641.1</v>
      </c>
      <c r="B3" s="13">
        <f>IF(C3="否",G5-AT5,G5)</f>
        <v>11781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2"/>
      <c r="C5" s="1802"/>
      <c r="D5" s="1805"/>
      <c r="E5" s="15" t="s">
        <v>1</v>
      </c>
      <c r="F5" s="15">
        <f>SUM(F13:F587)</f>
        <v>0</v>
      </c>
      <c r="G5" s="15">
        <f>SUM(G13:G587)</f>
        <v>11781</v>
      </c>
      <c r="H5" s="15">
        <f t="shared" ref="H5:AT5" si="0">SUM(H13:H656)</f>
        <v>10595.869999999999</v>
      </c>
      <c r="I5" s="15">
        <f t="shared" si="0"/>
        <v>10595.869999999999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1185.1300000000001</v>
      </c>
      <c r="AD5" s="15">
        <f t="shared" si="0"/>
        <v>1133.2</v>
      </c>
      <c r="AE5" s="15">
        <f t="shared" si="0"/>
        <v>0</v>
      </c>
      <c r="AF5" s="15">
        <f t="shared" si="0"/>
        <v>0</v>
      </c>
      <c r="AG5" s="15">
        <f t="shared" si="0"/>
        <v>0</v>
      </c>
      <c r="AH5" s="15">
        <f t="shared" si="0"/>
        <v>0</v>
      </c>
      <c r="AI5" s="15">
        <f t="shared" si="0"/>
        <v>0</v>
      </c>
      <c r="AJ5" s="15">
        <f t="shared" si="0"/>
        <v>0</v>
      </c>
      <c r="AK5" s="15">
        <f t="shared" si="0"/>
        <v>0</v>
      </c>
      <c r="AL5" s="15">
        <f t="shared" si="0"/>
        <v>51.93</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1875</v>
      </c>
      <c r="AW5" s="1802"/>
      <c r="AX5" s="1802"/>
      <c r="AY5" s="16" t="s">
        <v>3</v>
      </c>
      <c r="AZ5" s="17">
        <f t="shared" ref="AZ5:BT5" si="1">SUM(AZ13:AZ656)</f>
        <v>11781</v>
      </c>
      <c r="BA5" s="17">
        <f t="shared" si="1"/>
        <v>10595.869999999999</v>
      </c>
      <c r="BB5" s="17">
        <f t="shared" si="1"/>
        <v>10595.869999999999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1185.1300000000001</v>
      </c>
      <c r="BM5" s="17">
        <f t="shared" si="1"/>
        <v>1133.2</v>
      </c>
      <c r="BN5" s="17">
        <f t="shared" si="1"/>
        <v>0</v>
      </c>
      <c r="BO5" s="17">
        <f t="shared" si="1"/>
        <v>0</v>
      </c>
      <c r="BP5" s="17">
        <f t="shared" si="1"/>
        <v>0</v>
      </c>
      <c r="BQ5" s="17">
        <f t="shared" si="1"/>
        <v>51.93</v>
      </c>
      <c r="BR5" s="17">
        <f t="shared" si="1"/>
        <v>0</v>
      </c>
      <c r="BS5" s="17">
        <f t="shared" si="1"/>
        <v>0</v>
      </c>
      <c r="BT5" s="18">
        <f t="shared" si="1"/>
        <v>0</v>
      </c>
    </row>
    <row r="6" spans="1:72" s="2176" customFormat="1" ht="12.75">
      <c r="A6" s="14" t="s">
        <v>1876</v>
      </c>
      <c r="B6" s="2173"/>
      <c r="C6" s="2173"/>
      <c r="D6" s="2174"/>
      <c r="E6" s="15">
        <f>H6+AC6+AT6</f>
        <v>13641.1</v>
      </c>
      <c r="F6" s="15" t="s">
        <v>1</v>
      </c>
      <c r="G6" s="15" t="s">
        <v>2</v>
      </c>
      <c r="H6" s="19">
        <f>SUMIF(I$12:AB$12,"总值",I6:AB6)</f>
        <v>12268.85</v>
      </c>
      <c r="I6" s="15">
        <f t="shared" ref="I6:AB6" si="2">ROUND($A$3*I5/$B$3,2)</f>
        <v>12268.85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1372.25</v>
      </c>
      <c r="AD6" s="15">
        <f t="shared" ref="AD6:AS6" si="3">ROUND($A$3*AD5/$B$3,2)</f>
        <v>1312.12</v>
      </c>
      <c r="AE6" s="15">
        <f t="shared" si="3"/>
        <v>0</v>
      </c>
      <c r="AF6" s="15">
        <f t="shared" si="3"/>
        <v>0</v>
      </c>
      <c r="AG6" s="15">
        <f t="shared" si="3"/>
        <v>0</v>
      </c>
      <c r="AH6" s="15">
        <f t="shared" si="3"/>
        <v>0</v>
      </c>
      <c r="AI6" s="15">
        <f t="shared" si="3"/>
        <v>0</v>
      </c>
      <c r="AJ6" s="15">
        <f t="shared" si="3"/>
        <v>0</v>
      </c>
      <c r="AK6" s="15">
        <f t="shared" si="3"/>
        <v>0</v>
      </c>
      <c r="AL6" s="15">
        <f t="shared" si="3"/>
        <v>60.13</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13641.1</v>
      </c>
      <c r="AZ6" s="15" t="s">
        <v>3</v>
      </c>
      <c r="BA6" s="15">
        <f>ROUND($AY$6*BA5/$AZ$5,2)</f>
        <v>12268.85</v>
      </c>
      <c r="BB6" s="15">
        <f>ROUND($AY$6*BB5/$AZ$5,2)</f>
        <v>12268.85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1372.25</v>
      </c>
      <c r="BM6" s="15">
        <f t="shared" si="5"/>
        <v>1312.12</v>
      </c>
      <c r="BN6" s="15">
        <f t="shared" si="5"/>
        <v>0</v>
      </c>
      <c r="BO6" s="15">
        <f t="shared" si="5"/>
        <v>0</v>
      </c>
      <c r="BP6" s="15">
        <f t="shared" si="5"/>
        <v>0</v>
      </c>
      <c r="BQ6" s="15">
        <f t="shared" si="5"/>
        <v>60.13</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2" t="s">
        <v>1885</v>
      </c>
      <c r="AW7" s="2165" t="s">
        <v>1886</v>
      </c>
      <c r="AX7" s="22"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0"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1895</v>
      </c>
      <c r="I9" s="2190" t="s">
        <v>3082</v>
      </c>
      <c r="J9" s="980"/>
      <c r="K9" s="2190"/>
      <c r="L9" s="980"/>
      <c r="M9" s="2190"/>
      <c r="N9" s="980"/>
      <c r="O9" s="2190"/>
      <c r="P9" s="980"/>
      <c r="Q9" s="2190"/>
      <c r="R9" s="980"/>
      <c r="S9" s="2190"/>
      <c r="T9" s="980"/>
      <c r="U9" s="2190"/>
      <c r="V9" s="980"/>
      <c r="W9" s="2190"/>
      <c r="X9" s="2191"/>
      <c r="Y9" s="2190"/>
      <c r="Z9" s="980"/>
      <c r="AA9" s="2190"/>
      <c r="AB9" s="980"/>
      <c r="AC9" s="2182"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92"/>
      <c r="AT9" s="2181"/>
      <c r="AU9" s="2181" t="s">
        <v>1898</v>
      </c>
      <c r="AV9" s="1291"/>
      <c r="AW9" s="2164"/>
      <c r="AX9" s="1291"/>
      <c r="AY9" s="27"/>
      <c r="AZ9" s="27" t="s">
        <v>1888</v>
      </c>
      <c r="BA9" s="2193" t="s">
        <v>1899</v>
      </c>
      <c r="BB9" s="2194"/>
      <c r="BC9" s="1337"/>
      <c r="BD9" s="1337"/>
      <c r="BE9" s="1337"/>
      <c r="BF9" s="1337"/>
      <c r="BG9" s="1337"/>
      <c r="BH9" s="1337"/>
      <c r="BI9" s="1337"/>
      <c r="BJ9" s="1337"/>
      <c r="BK9" s="2195"/>
      <c r="BL9" s="14" t="s">
        <v>1900</v>
      </c>
      <c r="BM9" s="1817"/>
      <c r="BN9" s="2184"/>
      <c r="BO9" s="1817"/>
      <c r="BP9" s="1817"/>
      <c r="BQ9" s="1817"/>
      <c r="BR9" s="1817"/>
      <c r="BS9" s="1817"/>
      <c r="BT9" s="25"/>
    </row>
    <row r="10" spans="1:72" s="2188" customFormat="1" ht="12.75">
      <c r="A10" s="2181"/>
      <c r="B10" s="2181"/>
      <c r="C10" s="2181"/>
      <c r="D10" s="2181"/>
      <c r="E10" s="2181"/>
      <c r="F10" s="2181"/>
      <c r="G10" s="1291"/>
      <c r="H10" s="27"/>
      <c r="I10" s="2190" t="s">
        <v>3083</v>
      </c>
      <c r="J10" s="980"/>
      <c r="K10" s="2196"/>
      <c r="L10" s="980"/>
      <c r="M10" s="2196"/>
      <c r="N10" s="980"/>
      <c r="O10" s="2196"/>
      <c r="P10" s="980"/>
      <c r="Q10" s="2196"/>
      <c r="R10" s="980"/>
      <c r="S10" s="2196"/>
      <c r="T10" s="980"/>
      <c r="U10" s="2196"/>
      <c r="V10" s="980"/>
      <c r="W10" s="2196"/>
      <c r="X10" s="980"/>
      <c r="Y10" s="2196"/>
      <c r="Z10" s="980"/>
      <c r="AA10" s="2196"/>
      <c r="AB10" s="980"/>
      <c r="AC10" s="1291"/>
      <c r="AD10" s="14" t="s">
        <v>1901</v>
      </c>
      <c r="AE10" s="2197"/>
      <c r="AF10" s="14" t="s">
        <v>1901</v>
      </c>
      <c r="AG10" s="2197"/>
      <c r="AH10" s="14" t="s">
        <v>1902</v>
      </c>
      <c r="AI10" s="2197"/>
      <c r="AJ10" s="14" t="s">
        <v>1902</v>
      </c>
      <c r="AK10" s="2197"/>
      <c r="AL10" s="14" t="s">
        <v>1903</v>
      </c>
      <c r="AM10" s="1297"/>
      <c r="AN10" s="14" t="s">
        <v>1903</v>
      </c>
      <c r="AO10" s="1297"/>
      <c r="AP10" s="14" t="s">
        <v>1904</v>
      </c>
      <c r="AQ10" s="1297"/>
      <c r="AR10" s="14" t="s">
        <v>1904</v>
      </c>
      <c r="AS10" s="1297"/>
      <c r="AT10" s="2181"/>
      <c r="AU10" s="2181"/>
      <c r="AV10" s="1291"/>
      <c r="AW10" s="2164"/>
      <c r="AX10" s="1291"/>
      <c r="AY10" s="27"/>
      <c r="AZ10" s="27"/>
      <c r="BA10" s="2198" t="s">
        <v>1895</v>
      </c>
      <c r="BB10" s="2199" t="str">
        <f>I9</f>
        <v>地上</v>
      </c>
      <c r="BC10" s="28">
        <f>K9</f>
        <v>0</v>
      </c>
      <c r="BD10" s="28">
        <f>M9</f>
        <v>0</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7"/>
      <c r="AZ11" s="27"/>
      <c r="BA11" s="27"/>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2963" t="s">
        <v>3077</v>
      </c>
      <c r="D13" s="2212" t="s">
        <v>3081</v>
      </c>
      <c r="E13" s="15">
        <f>IF($C$3="是",ROUND($A$3*G13/$B$3,2),ROUND($A$3*(G13-AT13)/$B$3,2))</f>
        <v>4161.93</v>
      </c>
      <c r="F13" s="31"/>
      <c r="G13" s="32">
        <f>H13+AC13+AT13</f>
        <v>3594.41</v>
      </c>
      <c r="H13" s="19">
        <f>SUMIF(I$12:AB$12,"总值",I13:AB13)</f>
        <v>3594.41</v>
      </c>
      <c r="I13" s="2213">
        <f>面积表!F9</f>
        <v>3594.41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一期洋房</v>
      </c>
      <c r="AY13" s="1805">
        <f>ROUND($AY$6*AZ13/$AZ$5,2)</f>
        <v>4161.93</v>
      </c>
      <c r="AZ13" s="15">
        <f>BA13+BL13</f>
        <v>3594.41</v>
      </c>
      <c r="BA13" s="15">
        <f>SUM(BB13:BK13)</f>
        <v>3594.41</v>
      </c>
      <c r="BB13" s="15">
        <f>IF($D13="是",I13-J13,0)</f>
        <v>3594.41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964" t="s">
        <v>3078</v>
      </c>
      <c r="D14" s="2212" t="s">
        <v>3081</v>
      </c>
      <c r="E14" s="15">
        <f>IF($C$3="是",ROUND($A$3*G14/$B$3,2),ROUND($A$3*(G14-AT14)/$B$3,2))</f>
        <v>8106.92</v>
      </c>
      <c r="F14" s="31"/>
      <c r="G14" s="32">
        <f>H14+AC14+AT14</f>
        <v>7001.46</v>
      </c>
      <c r="H14" s="19">
        <f>SUMIF(I$12:AB$12,"总值",I14:AB14)</f>
        <v>7001.46</v>
      </c>
      <c r="I14" s="2213">
        <f>面积表!F10</f>
        <v>7001.46</v>
      </c>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一期叠拼</v>
      </c>
      <c r="AY14" s="1805">
        <f>ROUND($AY$6*AZ14/$AZ$5,2)</f>
        <v>8106.92</v>
      </c>
      <c r="AZ14" s="15">
        <f>BA14+BL14</f>
        <v>7001.46</v>
      </c>
      <c r="BA14" s="15">
        <f>SUM(BB14:BK14)</f>
        <v>7001.46</v>
      </c>
      <c r="BB14" s="15">
        <f>IF($D14="是",I14-J14,0)</f>
        <v>7001.46</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64" t="s">
        <v>3079</v>
      </c>
      <c r="D15" s="2212" t="s">
        <v>3081</v>
      </c>
      <c r="E15" s="15">
        <f>IF($C$3="是",ROUND($A$3*G15/$B$3,2),ROUND($A$3*(G15-AT15)/$B$3,2))</f>
        <v>1312.12</v>
      </c>
      <c r="F15" s="31"/>
      <c r="G15" s="32">
        <f>H15+AC15+AT15</f>
        <v>1133.2</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1133.2</v>
      </c>
      <c r="AD15" s="2214">
        <f>面积表!F14</f>
        <v>1133.2</v>
      </c>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幼儿园</v>
      </c>
      <c r="AY15" s="1805">
        <f>ROUND($AY$6*AZ15/$AZ$5,2)</f>
        <v>1312.12</v>
      </c>
      <c r="AZ15" s="15">
        <f>BA15+BL15</f>
        <v>1133.2</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1133.2</v>
      </c>
      <c r="BM15" s="15">
        <f>IF($D15="是",AD15-AE15,0)</f>
        <v>1133.2</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964" t="s">
        <v>3080</v>
      </c>
      <c r="D16" s="2212" t="s">
        <v>3081</v>
      </c>
      <c r="E16" s="15">
        <f>IF($C$3="是",ROUND($A$3*G16/$B$3,2),ROUND($A$3*(G16-AT16)/$B$3,2))</f>
        <v>60.13</v>
      </c>
      <c r="F16" s="31"/>
      <c r="G16" s="32">
        <f>H16+AC16+AT16</f>
        <v>51.93</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51.93</v>
      </c>
      <c r="AD16" s="2214"/>
      <c r="AE16" s="2214"/>
      <c r="AF16" s="2214"/>
      <c r="AG16" s="2214"/>
      <c r="AH16" s="2214"/>
      <c r="AI16" s="2214"/>
      <c r="AJ16" s="2214"/>
      <c r="AK16" s="2214"/>
      <c r="AL16" s="2214">
        <f>面积表!F15+面积表!F17</f>
        <v>51.93</v>
      </c>
      <c r="AM16" s="2214"/>
      <c r="AN16" s="2214"/>
      <c r="AO16" s="2214"/>
      <c r="AP16" s="2214"/>
      <c r="AQ16" s="2214"/>
      <c r="AR16" s="2214"/>
      <c r="AS16" s="2214"/>
      <c r="AT16" s="2215"/>
      <c r="AU16" s="2216"/>
      <c r="AV16" s="11">
        <f t="shared" si="6"/>
        <v>0</v>
      </c>
      <c r="AW16" s="11">
        <f t="shared" si="6"/>
        <v>0</v>
      </c>
      <c r="AX16" s="11" t="str">
        <f t="shared" si="6"/>
        <v>设备</v>
      </c>
      <c r="AY16" s="1805">
        <f>ROUND($AY$6*AZ16/$AZ$5,2)</f>
        <v>60.13</v>
      </c>
      <c r="AZ16" s="15">
        <f>BA16+BL16</f>
        <v>51.93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51.93</v>
      </c>
      <c r="BM16" s="15">
        <f>IF($D16="是",AD16-AE16,0)</f>
        <v>0</v>
      </c>
      <c r="BN16" s="15">
        <f>IF($D16="是",AF16-AG16,0)</f>
        <v>0</v>
      </c>
      <c r="BO16" s="15">
        <f>IF($D16="是",AH16-AI16,0)</f>
        <v>0</v>
      </c>
      <c r="BP16" s="15">
        <f>IF($D16="是",AJ16-AK16,0)</f>
        <v>0</v>
      </c>
      <c r="BQ16" s="15">
        <f>IF($D16="是",AL16-AM16,0)</f>
        <v>51.93</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19"/>
  <sheetViews>
    <sheetView workbookViewId="0">
      <selection activeCell="O17" sqref="O17"/>
    </sheetView>
  </sheetViews>
  <sheetFormatPr defaultRowHeight="13.5"/>
  <cols>
    <col min="1" max="3" width="9" style="2961"/>
    <col min="4" max="4" width="17.25" style="2961" bestFit="1" customWidth="1"/>
    <col min="5" max="7" width="9.5" style="2961" bestFit="1" customWidth="1"/>
    <col min="8" max="9" width="9" style="2961"/>
    <col min="10" max="10" width="10.5" style="2961" bestFit="1" customWidth="1"/>
    <col min="11" max="13" width="9" style="2961"/>
    <col min="14" max="14" width="9.5" style="2961" bestFit="1" customWidth="1"/>
    <col min="15" max="16384" width="9" style="2961"/>
  </cols>
  <sheetData>
    <row r="6" spans="3:14">
      <c r="C6" s="3056" t="s">
        <v>3058</v>
      </c>
      <c r="D6" s="3056"/>
      <c r="E6" s="2960" t="s">
        <v>3059</v>
      </c>
      <c r="F6" s="2960" t="s">
        <v>3060</v>
      </c>
      <c r="G6" s="2960" t="s">
        <v>3061</v>
      </c>
      <c r="J6" s="2961" t="s">
        <v>3114</v>
      </c>
      <c r="M6" s="2961" t="s">
        <v>3131</v>
      </c>
    </row>
    <row r="7" spans="3:14">
      <c r="C7" s="3056" t="s">
        <v>3062</v>
      </c>
      <c r="D7" s="3056"/>
      <c r="E7" s="2962">
        <v>29475.73</v>
      </c>
      <c r="F7" s="2962">
        <v>13641.1</v>
      </c>
      <c r="G7" s="2962">
        <f>E7-F7</f>
        <v>15834.63</v>
      </c>
      <c r="J7" s="2961" t="s">
        <v>3115</v>
      </c>
      <c r="K7" s="2961" t="s">
        <v>3125</v>
      </c>
      <c r="L7" s="2978">
        <v>0.1</v>
      </c>
      <c r="M7" s="2978">
        <v>0.85</v>
      </c>
      <c r="N7" s="2979">
        <f>L7*M7</f>
        <v>8.5000000000000006E-2</v>
      </c>
    </row>
    <row r="8" spans="3:14">
      <c r="C8" s="3056" t="s">
        <v>3063</v>
      </c>
      <c r="D8" s="3056"/>
      <c r="E8" s="2962">
        <v>50549.98</v>
      </c>
      <c r="F8" s="2962">
        <v>24657.98</v>
      </c>
      <c r="G8" s="2962">
        <f t="shared" ref="G8:G19" si="0">E8-F8</f>
        <v>25892.000000000004</v>
      </c>
      <c r="J8" s="2977" t="s">
        <v>3116</v>
      </c>
      <c r="K8" s="2961" t="s">
        <v>3126</v>
      </c>
      <c r="L8" s="2978">
        <v>0.1</v>
      </c>
      <c r="M8" s="2978">
        <v>0.85</v>
      </c>
      <c r="N8" s="2979">
        <f t="shared" ref="N8:N16" si="1">L8*M8</f>
        <v>8.5000000000000006E-2</v>
      </c>
    </row>
    <row r="9" spans="3:14">
      <c r="C9" s="3056" t="s">
        <v>3064</v>
      </c>
      <c r="D9" s="2960" t="s">
        <v>3065</v>
      </c>
      <c r="E9" s="2962">
        <v>27900.15</v>
      </c>
      <c r="F9" s="2962">
        <v>3594.41</v>
      </c>
      <c r="G9" s="2962">
        <f t="shared" si="0"/>
        <v>24305.74</v>
      </c>
      <c r="H9" s="2961">
        <f>F9*L7</f>
        <v>359.44100000000003</v>
      </c>
      <c r="J9" s="2977" t="s">
        <v>3117</v>
      </c>
      <c r="K9" s="2961" t="s">
        <v>3127</v>
      </c>
      <c r="L9" s="2978">
        <v>0</v>
      </c>
      <c r="M9" s="2978">
        <v>0.85</v>
      </c>
      <c r="N9" s="2979">
        <f t="shared" si="1"/>
        <v>0</v>
      </c>
    </row>
    <row r="10" spans="3:14">
      <c r="C10" s="3056"/>
      <c r="D10" s="2960" t="s">
        <v>3066</v>
      </c>
      <c r="E10" s="2962">
        <v>7001.46</v>
      </c>
      <c r="F10" s="2962">
        <v>7001.46</v>
      </c>
      <c r="G10" s="2962">
        <f t="shared" si="0"/>
        <v>0</v>
      </c>
      <c r="H10" s="2961">
        <f>F10*(N8+N9+N10+N11+N12+N13+N14+N15+N16)/9</f>
        <v>925.74860000000001</v>
      </c>
      <c r="J10" s="2977" t="s">
        <v>3118</v>
      </c>
      <c r="K10" s="2961" t="s">
        <v>3128</v>
      </c>
      <c r="L10" s="2978">
        <v>0</v>
      </c>
      <c r="M10" s="2978">
        <v>0.85</v>
      </c>
      <c r="N10" s="2979">
        <f t="shared" si="1"/>
        <v>0</v>
      </c>
    </row>
    <row r="11" spans="3:14">
      <c r="C11" s="3056"/>
      <c r="D11" s="2960" t="s">
        <v>3067</v>
      </c>
      <c r="E11" s="2962">
        <v>48.03</v>
      </c>
      <c r="F11" s="2962">
        <v>0</v>
      </c>
      <c r="G11" s="2962">
        <f t="shared" si="0"/>
        <v>48.03</v>
      </c>
      <c r="J11" s="2977" t="s">
        <v>3119</v>
      </c>
      <c r="K11" s="2961" t="s">
        <v>3126</v>
      </c>
      <c r="L11" s="2978">
        <v>0.2</v>
      </c>
      <c r="M11" s="2978">
        <v>0.85</v>
      </c>
      <c r="N11" s="2979">
        <f t="shared" si="1"/>
        <v>0.17</v>
      </c>
    </row>
    <row r="12" spans="3:14">
      <c r="C12" s="3056"/>
      <c r="D12" s="2960" t="s">
        <v>3068</v>
      </c>
      <c r="E12" s="2962">
        <v>43.99</v>
      </c>
      <c r="F12" s="2962">
        <v>0</v>
      </c>
      <c r="G12" s="2962">
        <f t="shared" si="0"/>
        <v>43.99</v>
      </c>
      <c r="J12" s="2977" t="s">
        <v>3120</v>
      </c>
      <c r="K12" s="2961" t="s">
        <v>3126</v>
      </c>
      <c r="L12" s="2978">
        <v>0.3</v>
      </c>
      <c r="M12" s="2978">
        <v>0.85</v>
      </c>
      <c r="N12" s="2979">
        <f t="shared" si="1"/>
        <v>0.255</v>
      </c>
    </row>
    <row r="13" spans="3:14">
      <c r="C13" s="3056"/>
      <c r="D13" s="2960" t="s">
        <v>3069</v>
      </c>
      <c r="E13" s="2962">
        <v>102.48</v>
      </c>
      <c r="F13" s="2962">
        <v>0</v>
      </c>
      <c r="G13" s="2962">
        <f t="shared" si="0"/>
        <v>102.48</v>
      </c>
      <c r="J13" s="2977" t="s">
        <v>3121</v>
      </c>
      <c r="K13" s="2961" t="s">
        <v>3129</v>
      </c>
      <c r="L13" s="2978">
        <v>0.35</v>
      </c>
      <c r="M13" s="2978">
        <v>0.85</v>
      </c>
      <c r="N13" s="2979">
        <f t="shared" si="1"/>
        <v>0.29749999999999999</v>
      </c>
    </row>
    <row r="14" spans="3:14">
      <c r="C14" s="3056"/>
      <c r="D14" s="2960" t="s">
        <v>3070</v>
      </c>
      <c r="E14" s="2962">
        <v>1133.2</v>
      </c>
      <c r="F14" s="2962">
        <v>1133.2</v>
      </c>
      <c r="G14" s="2962">
        <f t="shared" si="0"/>
        <v>0</v>
      </c>
      <c r="J14" s="2977" t="s">
        <v>3122</v>
      </c>
      <c r="K14" s="2961" t="s">
        <v>3127</v>
      </c>
      <c r="L14" s="2978">
        <v>0</v>
      </c>
      <c r="M14" s="2978">
        <v>0.85</v>
      </c>
      <c r="N14" s="2979">
        <f t="shared" si="1"/>
        <v>0</v>
      </c>
    </row>
    <row r="15" spans="3:14">
      <c r="C15" s="3056"/>
      <c r="D15" s="2960" t="s">
        <v>3071</v>
      </c>
      <c r="E15" s="2962">
        <v>11</v>
      </c>
      <c r="F15" s="2962">
        <v>11</v>
      </c>
      <c r="G15" s="2962">
        <f t="shared" si="0"/>
        <v>0</v>
      </c>
      <c r="J15" s="2977" t="s">
        <v>3123</v>
      </c>
      <c r="K15" s="2961" t="s">
        <v>3127</v>
      </c>
      <c r="L15" s="2978">
        <v>0</v>
      </c>
      <c r="M15" s="2978">
        <v>0.85</v>
      </c>
      <c r="N15" s="2979">
        <f t="shared" si="1"/>
        <v>0</v>
      </c>
    </row>
    <row r="16" spans="3:14">
      <c r="C16" s="3057" t="s">
        <v>3072</v>
      </c>
      <c r="D16" s="2960" t="s">
        <v>3073</v>
      </c>
      <c r="E16" s="2962">
        <v>1084.8599999999999</v>
      </c>
      <c r="F16" s="2962">
        <v>0</v>
      </c>
      <c r="G16" s="2962">
        <f t="shared" si="0"/>
        <v>1084.8599999999999</v>
      </c>
      <c r="J16" s="2977" t="s">
        <v>3124</v>
      </c>
      <c r="K16" s="2961" t="s">
        <v>3130</v>
      </c>
      <c r="L16" s="2978">
        <v>0.45</v>
      </c>
      <c r="M16" s="2978">
        <v>0.85</v>
      </c>
      <c r="N16" s="2979">
        <f t="shared" si="1"/>
        <v>0.38250000000000001</v>
      </c>
    </row>
    <row r="17" spans="3:15">
      <c r="C17" s="3058"/>
      <c r="D17" s="2960" t="s">
        <v>3074</v>
      </c>
      <c r="E17" s="2962">
        <v>347.83</v>
      </c>
      <c r="F17" s="2962">
        <v>40.93</v>
      </c>
      <c r="G17" s="2962">
        <f t="shared" si="0"/>
        <v>306.89999999999998</v>
      </c>
      <c r="J17" s="2977"/>
      <c r="N17" s="2979">
        <f>SUM(N8:N16)</f>
        <v>1.19</v>
      </c>
      <c r="O17" s="2961">
        <f>N17/9</f>
        <v>0.13222222222222221</v>
      </c>
    </row>
    <row r="18" spans="3:15">
      <c r="C18" s="3058"/>
      <c r="D18" s="2960" t="s">
        <v>3075</v>
      </c>
      <c r="E18" s="2962">
        <v>11357.88</v>
      </c>
      <c r="F18" s="2962">
        <v>0</v>
      </c>
      <c r="G18" s="2962">
        <f t="shared" si="0"/>
        <v>11357.88</v>
      </c>
    </row>
    <row r="19" spans="3:15">
      <c r="C19" s="3059"/>
      <c r="D19" s="2960" t="s">
        <v>3076</v>
      </c>
      <c r="E19" s="2962">
        <v>1519.1</v>
      </c>
      <c r="F19" s="2962">
        <v>0</v>
      </c>
      <c r="G19" s="2962">
        <f t="shared" si="0"/>
        <v>1519.1</v>
      </c>
    </row>
  </sheetData>
  <mergeCells count="5">
    <mergeCell ref="C6:D6"/>
    <mergeCell ref="C7:D7"/>
    <mergeCell ref="C8:D8"/>
    <mergeCell ref="C9:C15"/>
    <mergeCell ref="C16: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8" sqref="G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69" t="s">
        <v>1935</v>
      </c>
      <c r="B2" s="3069"/>
      <c r="C2" s="3069"/>
      <c r="D2" s="966" t="s">
        <v>1911</v>
      </c>
      <c r="E2" s="2226" t="s">
        <v>1912</v>
      </c>
      <c r="F2" s="1391"/>
      <c r="G2" s="2227"/>
      <c r="H2" s="2228"/>
      <c r="I2" s="2229" t="s">
        <v>1936</v>
      </c>
      <c r="J2" s="1391"/>
      <c r="K2" s="1391"/>
      <c r="L2" s="1391"/>
      <c r="M2" s="1391"/>
      <c r="N2" s="1426"/>
      <c r="O2" s="1391"/>
      <c r="P2" s="1391"/>
    </row>
    <row r="3" spans="1:16" ht="15.75" thickBot="1">
      <c r="A3" s="3070" t="s">
        <v>1909</v>
      </c>
      <c r="B3" s="3070"/>
      <c r="C3" s="3070"/>
      <c r="D3" s="45">
        <f>'数据-基础表'!AY6</f>
        <v>13641.1</v>
      </c>
      <c r="E3" s="45">
        <f>'数据-基础表'!AZ5</f>
        <v>11781</v>
      </c>
      <c r="F3" s="1391"/>
      <c r="G3" s="1398"/>
      <c r="H3" s="1246" t="s">
        <v>1910</v>
      </c>
      <c r="I3" s="54">
        <f>ROUND('数据-基础表'!B3/'数据-基础表'!A3,2)</f>
        <v>0.86</v>
      </c>
      <c r="J3" s="1391"/>
      <c r="K3" s="1391"/>
      <c r="L3" s="1391"/>
      <c r="M3" s="1391"/>
      <c r="N3" s="1426"/>
      <c r="O3" s="1391"/>
      <c r="P3" s="1391"/>
    </row>
    <row r="4" spans="1:16" ht="15">
      <c r="A4" s="3071"/>
      <c r="B4" s="3072"/>
      <c r="C4" s="3073"/>
      <c r="D4" s="2230" t="s">
        <v>1911</v>
      </c>
      <c r="E4" s="2231" t="s">
        <v>1912</v>
      </c>
      <c r="F4" s="1391"/>
      <c r="G4" s="2232" t="s">
        <v>1937</v>
      </c>
      <c r="H4" s="1246" t="s">
        <v>1917</v>
      </c>
      <c r="I4" s="54">
        <f>ROUND(SUMIF('数据-基础表'!I9:AS9,"地上",'数据-基础表'!I5:AS5)/'数据-基础表'!A3,2)</f>
        <v>0.86</v>
      </c>
      <c r="J4" s="1391"/>
      <c r="K4" s="1391"/>
      <c r="L4" s="1391"/>
      <c r="M4" s="1391"/>
      <c r="N4" s="1426"/>
      <c r="O4" s="1391"/>
      <c r="P4" s="1391"/>
    </row>
    <row r="5" spans="1:16">
      <c r="A5" s="46" t="s">
        <v>1913</v>
      </c>
      <c r="B5" s="3074" t="s">
        <v>1914</v>
      </c>
      <c r="C5" s="3074"/>
      <c r="D5" s="47">
        <f>ROUND($D$3*E5/$E$3,2)</f>
        <v>12268.85</v>
      </c>
      <c r="E5" s="48">
        <f>SUMIF('数据-基础表'!$11:$11,"住宅",'数据-基础表'!$5:$5)</f>
        <v>10595.869999999999</v>
      </c>
      <c r="F5" s="1391"/>
      <c r="G5" s="1398"/>
      <c r="H5" s="1246" t="s">
        <v>1910</v>
      </c>
      <c r="I5" s="54">
        <f>ROUND(E31/D31,2)</f>
        <v>0.86</v>
      </c>
      <c r="J5" s="1391"/>
      <c r="K5" s="1391"/>
      <c r="L5" s="1391"/>
      <c r="M5" s="1391"/>
      <c r="N5" s="1391"/>
      <c r="O5" s="1391"/>
      <c r="P5" s="1391"/>
    </row>
    <row r="6" spans="1:16" ht="15" thickBot="1">
      <c r="A6" s="2233"/>
      <c r="B6" s="3074" t="s">
        <v>1915</v>
      </c>
      <c r="C6" s="3074"/>
      <c r="D6" s="47">
        <f>ROUND($D$3*E6/$E$3,2)</f>
        <v>1372.25</v>
      </c>
      <c r="E6" s="48">
        <f>E3-E5</f>
        <v>1185.130000000001</v>
      </c>
      <c r="F6" s="1391"/>
      <c r="G6" s="2234" t="s">
        <v>1916</v>
      </c>
      <c r="H6" s="1398" t="s">
        <v>1917</v>
      </c>
      <c r="I6" s="938">
        <f>ROUND(F31/D31,2)</f>
        <v>0.86</v>
      </c>
      <c r="J6" s="1391"/>
      <c r="K6" s="1391"/>
      <c r="L6" s="1391"/>
      <c r="M6" s="1391"/>
      <c r="N6" s="1391"/>
      <c r="O6" s="1391"/>
      <c r="P6" s="1391"/>
    </row>
    <row r="7" spans="1:16" ht="15">
      <c r="A7" s="3066"/>
      <c r="B7" s="3067"/>
      <c r="C7" s="3068"/>
      <c r="D7" s="2230" t="s">
        <v>1911</v>
      </c>
      <c r="E7" s="2235" t="s">
        <v>1918</v>
      </c>
      <c r="F7" s="1391"/>
      <c r="G7" s="2227" t="s">
        <v>1919</v>
      </c>
      <c r="H7" s="63"/>
      <c r="I7" s="419"/>
      <c r="J7" s="1391"/>
      <c r="K7" s="1391"/>
      <c r="L7" s="1391"/>
      <c r="M7" s="1391"/>
      <c r="N7" s="1391"/>
      <c r="O7" s="1391"/>
      <c r="P7" s="1391"/>
    </row>
    <row r="8" spans="1:16">
      <c r="A8" s="46" t="s">
        <v>1920</v>
      </c>
      <c r="B8" s="49" t="s">
        <v>1921</v>
      </c>
      <c r="C8" s="47" t="s">
        <v>1922</v>
      </c>
      <c r="D8" s="47">
        <f t="shared" ref="D8:D15" si="0">ROUND($D$3*E8/$E$3,2)</f>
        <v>12268.85</v>
      </c>
      <c r="E8" s="50">
        <f>SUMIF('数据-基础表'!BB10:BK10,"地上",'数据-基础表'!BB5:BK5)</f>
        <v>10595.869999999999</v>
      </c>
      <c r="F8" s="1391"/>
      <c r="G8" s="2236"/>
      <c r="H8" s="2236"/>
      <c r="I8" s="1391"/>
      <c r="J8" s="1391"/>
      <c r="K8" s="1391"/>
      <c r="L8" s="1391"/>
      <c r="M8" s="1391"/>
      <c r="N8" s="1391"/>
      <c r="O8" s="1391"/>
      <c r="P8" s="1391"/>
    </row>
    <row r="9" spans="1:16">
      <c r="A9" s="2237"/>
      <c r="B9" s="2238"/>
      <c r="C9" s="47" t="s">
        <v>1923</v>
      </c>
      <c r="D9" s="47">
        <f t="shared" si="0"/>
        <v>0</v>
      </c>
      <c r="E9" s="51">
        <v>0</v>
      </c>
      <c r="F9" s="1391"/>
      <c r="G9" s="2236"/>
      <c r="H9" s="2236"/>
      <c r="I9" s="1391"/>
      <c r="J9" s="1391"/>
      <c r="K9" s="1391"/>
      <c r="L9" s="1391"/>
      <c r="M9" s="1391"/>
      <c r="N9" s="1391"/>
      <c r="O9" s="1391"/>
      <c r="P9" s="1391"/>
    </row>
    <row r="10" spans="1:16">
      <c r="A10" s="2237"/>
      <c r="B10" s="2238"/>
      <c r="C10" s="47" t="s">
        <v>1932</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1924</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1925</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1926</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1938</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1933</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1927</v>
      </c>
      <c r="D16" s="49">
        <f>SUM(D8:D15)</f>
        <v>12268.85</v>
      </c>
      <c r="E16" s="52">
        <f>SUM(E8:E15)</f>
        <v>10595.869999999999</v>
      </c>
      <c r="F16" s="1391"/>
      <c r="G16" s="2236"/>
      <c r="H16" s="2239" t="s">
        <v>1939</v>
      </c>
      <c r="I16" s="2240"/>
      <c r="J16" s="1391"/>
      <c r="K16" s="3063" t="s">
        <v>1939</v>
      </c>
      <c r="L16" s="3064"/>
      <c r="M16" s="3064"/>
      <c r="N16" s="3064"/>
      <c r="O16" s="3064"/>
      <c r="P16" s="3065"/>
    </row>
    <row r="17" spans="1:19" ht="15">
      <c r="A17" s="2241" t="s">
        <v>1940</v>
      </c>
      <c r="B17" s="2242" t="s">
        <v>1941</v>
      </c>
      <c r="C17" s="2243" t="s">
        <v>1942</v>
      </c>
      <c r="D17" s="2244" t="s">
        <v>1930</v>
      </c>
      <c r="E17" s="2245" t="s">
        <v>1931</v>
      </c>
      <c r="F17" s="2246"/>
      <c r="G17" s="2247"/>
      <c r="H17" s="2248" t="s">
        <v>1943</v>
      </c>
      <c r="I17" s="2249" t="s">
        <v>1928</v>
      </c>
      <c r="J17" s="1391"/>
      <c r="K17" s="3060" t="s">
        <v>1944</v>
      </c>
      <c r="L17" s="3061"/>
      <c r="M17" s="3062"/>
      <c r="N17" s="3060" t="s">
        <v>1945</v>
      </c>
      <c r="O17" s="3061"/>
      <c r="P17" s="3062"/>
      <c r="R17" s="2227" t="s">
        <v>1946</v>
      </c>
      <c r="S17" s="63"/>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49" t="s">
        <v>1929</v>
      </c>
      <c r="C19" s="2965" t="s">
        <v>3085</v>
      </c>
      <c r="D19" s="47">
        <f>ROUND($D$3*E19/$E$3,2)</f>
        <v>4161.93</v>
      </c>
      <c r="E19" s="55">
        <f t="shared" ref="E19:E26" si="1">SUM(F19:G19)</f>
        <v>3594.41</v>
      </c>
      <c r="F19" s="56">
        <f>'数据-基础表'!H13</f>
        <v>3594.41</v>
      </c>
      <c r="G19" s="57"/>
      <c r="H19" s="722">
        <f>ROUND($D$3*I19/$E$3,2)</f>
        <v>20.399999999999999</v>
      </c>
      <c r="I19" s="50">
        <f t="shared" ref="I19:I26" si="2">IF($I$17="自定义",P19,M19)</f>
        <v>17.62</v>
      </c>
      <c r="J19" s="1391"/>
      <c r="K19" s="1390">
        <f t="shared" ref="K19:K26" si="3">ROUND(E$28*E19/E$27,2)</f>
        <v>17.62</v>
      </c>
      <c r="L19" s="1246">
        <f t="shared" ref="L19:L26" si="4">ROUND(IF(COUNTIF(C19,"*住宅*")&gt;0,E$29*E19/E$32,0),2)</f>
        <v>0</v>
      </c>
      <c r="M19" s="1402">
        <f>K19+L19</f>
        <v>17.62</v>
      </c>
      <c r="N19" s="2260"/>
      <c r="O19" s="2261"/>
      <c r="P19" s="1402">
        <f>N19+O19</f>
        <v>0</v>
      </c>
      <c r="R19" s="1246">
        <f t="shared" ref="R19:S26" si="5">D19+H19</f>
        <v>4182.33</v>
      </c>
      <c r="S19" s="1247">
        <f t="shared" si="5"/>
        <v>3612.0299999999997</v>
      </c>
    </row>
    <row r="20" spans="1:19">
      <c r="A20" s="2262"/>
      <c r="B20" s="49" t="s">
        <v>1957</v>
      </c>
      <c r="C20" s="2965" t="s">
        <v>3087</v>
      </c>
      <c r="D20" s="47">
        <f t="shared" ref="D20:D26" si="6">ROUND($D$3*E20/$E$3,2)</f>
        <v>8106.92</v>
      </c>
      <c r="E20" s="55">
        <f t="shared" si="1"/>
        <v>7001.46</v>
      </c>
      <c r="F20" s="56">
        <f>'数据-基础表'!H14</f>
        <v>7001.46</v>
      </c>
      <c r="G20" s="57"/>
      <c r="H20" s="722">
        <f t="shared" ref="H20:H26" si="7">ROUND($D$3*I20/$E$3,2)</f>
        <v>39.729999999999997</v>
      </c>
      <c r="I20" s="50">
        <f t="shared" si="2"/>
        <v>34.31</v>
      </c>
      <c r="J20" s="1391"/>
      <c r="K20" s="1390">
        <f t="shared" si="3"/>
        <v>34.31</v>
      </c>
      <c r="L20" s="1246">
        <f t="shared" si="4"/>
        <v>0</v>
      </c>
      <c r="M20" s="1402">
        <f t="shared" ref="M20:M26" si="8">K20+L20</f>
        <v>34.31</v>
      </c>
      <c r="N20" s="2260"/>
      <c r="O20" s="2261"/>
      <c r="P20" s="1402">
        <f t="shared" ref="P20:P26" si="9">N20+O20</f>
        <v>0</v>
      </c>
      <c r="R20" s="1246">
        <f t="shared" si="5"/>
        <v>8146.65</v>
      </c>
      <c r="S20" s="1247">
        <f t="shared" si="5"/>
        <v>7035.77</v>
      </c>
    </row>
    <row r="21" spans="1:19">
      <c r="A21" s="2262"/>
      <c r="B21" s="49" t="s">
        <v>1957</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1957</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1957</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1957</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43.5" thickBot="1">
      <c r="A27" s="2262"/>
      <c r="B27" s="47"/>
      <c r="C27" s="2265" t="s">
        <v>1958</v>
      </c>
      <c r="D27" s="1392">
        <f>SUM(D19:D26)</f>
        <v>12268.85</v>
      </c>
      <c r="E27" s="1393">
        <f>IF(SUM(E19:E26)='数据-基础表'!BA5,SUM(E19:E26),IF(F27="地上面积有误","面积有误","地下面积有误"))</f>
        <v>10595.869999999999</v>
      </c>
      <c r="F27" s="1392">
        <f>IF(SUM(F19:F26)=E8,SUM(F19:F26),"地上面积有误")</f>
        <v>10595.869999999999</v>
      </c>
      <c r="G27" s="1394">
        <f>SUM(G19:G26)</f>
        <v>0</v>
      </c>
      <c r="H27" s="1395">
        <f>SUM(H19:H26)</f>
        <v>60.129999999999995</v>
      </c>
      <c r="I27" s="1396">
        <f>SUM(I19:I26)</f>
        <v>51.930000000000007</v>
      </c>
      <c r="J27" s="1391"/>
      <c r="K27" s="1399">
        <f>SUM(K19:K26)</f>
        <v>51.930000000000007</v>
      </c>
      <c r="L27" s="1400">
        <f>SUM(L19:L26)</f>
        <v>0</v>
      </c>
      <c r="M27" s="1403">
        <f>SUM(M19:M26)</f>
        <v>51.930000000000007</v>
      </c>
      <c r="N27" s="1399">
        <f t="shared" ref="N27:O27" si="10">SUM(N19:N26)</f>
        <v>0</v>
      </c>
      <c r="O27" s="1400">
        <f t="shared" si="10"/>
        <v>0</v>
      </c>
      <c r="P27" s="1401">
        <f>SUM(P19:P26)</f>
        <v>0</v>
      </c>
      <c r="R27" s="1248" t="str">
        <f>IF(SUM(R19:R26)=$D$3,SUM(R19:R26),SUM(R19:R26)&amp;"误差"&amp;ROUND(SUM(R19:R26)-$D$3,2))</f>
        <v>12328.98误差-1312.12</v>
      </c>
      <c r="S27" s="1246" t="str">
        <f>IF(SUM(S19:S26)=$E$3,SUM(S19:S26),SUM(S19:S26)&amp;"误差"&amp;ROUND(SUM(S19:S26)-E3,2))</f>
        <v>10647.8误差-1133.2</v>
      </c>
    </row>
    <row r="28" spans="1:19">
      <c r="A28" s="2262"/>
      <c r="B28" s="49" t="s">
        <v>1959</v>
      </c>
      <c r="C28" s="1258" t="s">
        <v>1960</v>
      </c>
      <c r="D28" s="47">
        <f>ROUND($D$3*E28/$E$3,2)</f>
        <v>60.13</v>
      </c>
      <c r="E28" s="55">
        <f>SUM(F28:G28)</f>
        <v>51.93</v>
      </c>
      <c r="F28" s="63">
        <f>'数据-基础表'!BQ5+'数据-基础表'!BS5</f>
        <v>51.93</v>
      </c>
      <c r="G28" s="64">
        <f>'数据-基础表'!BR5+'数据-基础表'!BT5</f>
        <v>0</v>
      </c>
      <c r="H28" s="1391"/>
      <c r="I28" s="1391"/>
      <c r="J28" s="1391"/>
      <c r="K28" s="1391"/>
      <c r="L28" s="1391"/>
      <c r="M28" s="1391"/>
      <c r="N28" s="1391"/>
      <c r="O28" s="1391"/>
      <c r="P28" s="1391"/>
    </row>
    <row r="29" spans="1:19">
      <c r="A29" s="2262"/>
      <c r="B29" s="49" t="s">
        <v>1959</v>
      </c>
      <c r="C29" s="2266" t="s">
        <v>1961</v>
      </c>
      <c r="D29" s="47">
        <f>ROUND($D$3*E29/$E$3,2)</f>
        <v>1312.12</v>
      </c>
      <c r="E29" s="55">
        <f>SUM(F29:G29)</f>
        <v>1133.2</v>
      </c>
      <c r="F29" s="65">
        <f>'数据-基础表'!BM5+'数据-基础表'!BO5</f>
        <v>1133.2</v>
      </c>
      <c r="G29" s="66">
        <f>'数据-基础表'!BN5+'数据-基础表'!BP5</f>
        <v>0</v>
      </c>
      <c r="H29" s="1391"/>
      <c r="I29" s="1391"/>
      <c r="J29" s="1391"/>
      <c r="K29" s="1391"/>
      <c r="L29" s="1391"/>
      <c r="M29" s="1391"/>
      <c r="N29" s="1391"/>
      <c r="O29" s="1391"/>
      <c r="P29" s="1391"/>
    </row>
    <row r="30" spans="1:19" ht="15">
      <c r="A30" s="2262"/>
      <c r="B30" s="49"/>
      <c r="C30" s="2267" t="s">
        <v>1958</v>
      </c>
      <c r="D30" s="1392">
        <f>SUM(D28:D29)</f>
        <v>1372.25</v>
      </c>
      <c r="E30" s="1392">
        <f>SUM(E28:E29)</f>
        <v>1185.1300000000001</v>
      </c>
      <c r="F30" s="1392">
        <f>SUM(F28:F29)</f>
        <v>1185.1300000000001</v>
      </c>
      <c r="G30" s="1394">
        <f>SUM(G28:G29)</f>
        <v>0</v>
      </c>
      <c r="H30" s="1391"/>
      <c r="I30" s="1391"/>
      <c r="J30" s="1391"/>
      <c r="K30" s="1391"/>
      <c r="L30" s="1391"/>
      <c r="M30" s="1391"/>
      <c r="N30" s="1391"/>
      <c r="O30" s="1391"/>
      <c r="P30" s="1391"/>
    </row>
    <row r="31" spans="1:19" ht="15.75" thickBot="1">
      <c r="A31" s="2268"/>
      <c r="B31" s="2269"/>
      <c r="C31" s="1006" t="s">
        <v>1962</v>
      </c>
      <c r="D31" s="728">
        <f>D27+D30</f>
        <v>13641.1</v>
      </c>
      <c r="E31" s="728">
        <f>E27+E30</f>
        <v>11781</v>
      </c>
      <c r="F31" s="729">
        <f>F27+F30</f>
        <v>11781</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43764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8" t="s">
        <v>1988</v>
      </c>
      <c r="R5" s="2299" t="s">
        <v>1989</v>
      </c>
      <c r="S5" s="2300" t="s">
        <v>1990</v>
      </c>
      <c r="T5" s="2301" t="s">
        <v>1991</v>
      </c>
      <c r="U5" s="1266" t="s">
        <v>1992</v>
      </c>
      <c r="V5" s="1267" t="s">
        <v>1993</v>
      </c>
      <c r="W5" s="1267" t="s">
        <v>1994</v>
      </c>
      <c r="X5" s="70"/>
      <c r="Y5" s="69" t="s">
        <v>1995</v>
      </c>
      <c r="Z5" s="2302" t="s">
        <v>1992</v>
      </c>
      <c r="AA5" s="1267" t="s">
        <v>1993</v>
      </c>
      <c r="AB5" s="1267" t="s">
        <v>1994</v>
      </c>
      <c r="AC5" s="70"/>
      <c r="AD5" s="70" t="s">
        <v>1995</v>
      </c>
      <c r="AE5" s="1266" t="s">
        <v>1996</v>
      </c>
      <c r="AF5" s="1267" t="s">
        <v>1997</v>
      </c>
      <c r="AG5" s="69" t="s">
        <v>1998</v>
      </c>
      <c r="AH5" s="1266" t="s">
        <v>1999</v>
      </c>
      <c r="AI5" s="2302" t="s">
        <v>2000</v>
      </c>
      <c r="AJ5" s="2302" t="s">
        <v>2001</v>
      </c>
      <c r="AK5" s="1267" t="s">
        <v>2002</v>
      </c>
      <c r="AL5" s="1267" t="s">
        <v>2003</v>
      </c>
      <c r="AM5" s="69" t="s">
        <v>2004</v>
      </c>
      <c r="AN5" s="2303" t="s">
        <v>2005</v>
      </c>
      <c r="AO5" s="2073" t="s">
        <v>2006</v>
      </c>
      <c r="AP5" s="1248"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洋房</v>
      </c>
      <c r="B6" s="2306" t="str">
        <f>IF(A6=0,"","经营性")</f>
        <v>经营性</v>
      </c>
      <c r="C6" s="2307" t="s">
        <v>3083</v>
      </c>
      <c r="D6" s="1050">
        <f>SUMIF(项目基本情况!D$12:I$12,C6,项目基本情况!D$14:I$14)</f>
        <v>70</v>
      </c>
      <c r="E6" s="1047">
        <f>IF(B6="","",SUMIF(项目基本情况!D$12:I$12,C6,项目基本情况!D$13:I$13))</f>
        <v>67403</v>
      </c>
      <c r="F6" s="71">
        <f>SUMIF(项目基本情况!D$12:I$12,C6,项目基本情况!D$15:I$15)</f>
        <v>64.760000000000005</v>
      </c>
      <c r="G6" s="72">
        <f>IF(ISERROR(ROUND(POWER(1+H6,D6-F6)*(POWER(1+H6,F6)-1)/(POWER(1+H6,D6)-1),3)),0,ROUND(POWER(1+H6,D6-F6)*(POWER(1+H6,F6)-1)/(POWER(1+H6,D6)-1),3))</f>
        <v>0.98799999999999999</v>
      </c>
      <c r="H6" s="801">
        <v>4.4999999999999998E-2</v>
      </c>
      <c r="I6" s="801">
        <v>0.05</v>
      </c>
      <c r="J6" s="73">
        <v>8.5000000000000006E-2</v>
      </c>
      <c r="K6" s="1250">
        <f>SUMIF('数据-汇总表'!C$19:C$33,A6,'数据-汇总表'!E$19:E$33)</f>
        <v>3594.41</v>
      </c>
      <c r="L6" s="802">
        <f>'[4]数据-取费表'!$L$6</f>
        <v>3300</v>
      </c>
      <c r="M6" s="74">
        <f t="shared" ref="M6:M14" si="0">ROUND(K6*L6/10000,0)</f>
        <v>1186</v>
      </c>
      <c r="N6" s="800">
        <v>0.08</v>
      </c>
      <c r="O6" s="74">
        <f>IF($N$5="成新度","——",ROUND(M6*N6,0))</f>
        <v>95</v>
      </c>
      <c r="P6" s="75">
        <f>IF($N$5="成新度","——",M6-O6)</f>
        <v>1091</v>
      </c>
      <c r="Q6" s="2975">
        <v>0.4</v>
      </c>
      <c r="R6" s="76">
        <f ca="1">SUMIF('数据-汇总表'!C$19:C$33,A6,'数据-汇总表'!R$19:R$27)</f>
        <v>4182.33</v>
      </c>
      <c r="S6" s="53">
        <f>IF('数据-汇总表'!$I$17="按面积比例",SUMIF('数据-汇总表'!C$19:C$33,A6,'数据-汇总表'!K$19:K$33),SUMIF('数据-汇总表'!C$19:C$33,A6,'数据-汇总表'!N$19:N$33))</f>
        <v>17.62</v>
      </c>
      <c r="T6" s="1442">
        <f>ROUND($L$14*S6/10000,0)</f>
        <v>3</v>
      </c>
      <c r="U6" s="77"/>
      <c r="V6" s="78"/>
      <c r="W6" s="78"/>
      <c r="X6" s="1260"/>
      <c r="Y6" s="79"/>
      <c r="Z6" s="80"/>
      <c r="AA6" s="73"/>
      <c r="AB6" s="73"/>
      <c r="AC6" s="1260"/>
      <c r="AD6" s="81"/>
      <c r="AE6" s="1261">
        <f ca="1">IF(AN6="",0,SUMIF(INDIRECT("'"&amp;AN6&amp;"'"&amp;"!E:E"),$AE$5,INDIRECT("'"&amp;AN6&amp;"'"&amp;"!F:F")))</f>
        <v>0</v>
      </c>
      <c r="AF6" s="1803"/>
      <c r="AG6" s="146">
        <f>IF(AF6="",0,AE6-AF6)</f>
        <v>0</v>
      </c>
      <c r="AH6" s="82"/>
      <c r="AI6" s="84"/>
      <c r="AJ6" s="85"/>
      <c r="AK6" s="86"/>
      <c r="AL6" s="87"/>
      <c r="AM6" s="88"/>
      <c r="AN6" s="2308"/>
      <c r="AO6" s="54" t="e">
        <f ca="1">SUMIF(INDIRECT("'"&amp;AN6&amp;"'"&amp;"!A:A"),"总价",INDIRECT("'"&amp;AN6&amp;"'"&amp;"!B:B"))</f>
        <v>#REF!</v>
      </c>
      <c r="AP6" s="2309">
        <f>IF(C6="住宅",K6*L6,0)</f>
        <v>11861553</v>
      </c>
      <c r="AQ6" s="54">
        <f>ROUND($L$14*$N$14*S6/10000,0)</f>
        <v>0</v>
      </c>
      <c r="AR6" s="54">
        <f>ROUND($L$14*(1-$N$14)*S6/10000,0)</f>
        <v>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叠拼</v>
      </c>
      <c r="B7" s="2306" t="str">
        <f t="shared" ref="B7:B13" si="1">IF(A7=0,"","经营性")</f>
        <v>经营性</v>
      </c>
      <c r="C7" s="2307" t="s">
        <v>3083</v>
      </c>
      <c r="D7" s="1050">
        <f>SUMIF(项目基本情况!D$12:I$12,C7,项目基本情况!D$14:I$14)</f>
        <v>70</v>
      </c>
      <c r="E7" s="1047">
        <f>IF(B7="","",SUMIF(项目基本情况!D$12:I$12,C7,项目基本情况!D$13:I$13))</f>
        <v>67403</v>
      </c>
      <c r="F7" s="71">
        <f>SUMIF(项目基本情况!D$12:I$12,C7,项目基本情况!D$15:I$15)</f>
        <v>64.760000000000005</v>
      </c>
      <c r="G7" s="72">
        <f t="shared" ref="G7:G11" si="2">IF(ISERROR(ROUND(POWER(1+H7,D7-F7)*(POWER(1+H7,F7)-1)/(POWER(1+H7,D7)-1),3)),0,ROUND(POWER(1+H7,D7-F7)*(POWER(1+H7,F7)-1)/(POWER(1+H7,D7)-1),3))</f>
        <v>0.98799999999999999</v>
      </c>
      <c r="H7" s="801">
        <v>4.4999999999999998E-2</v>
      </c>
      <c r="I7" s="801">
        <v>0.05</v>
      </c>
      <c r="J7" s="73">
        <v>8.5000000000000006E-2</v>
      </c>
      <c r="K7" s="1250">
        <f>SUMIF('数据-汇总表'!C$19:C$33,A7,'数据-汇总表'!E$19:E$33)</f>
        <v>7001.46</v>
      </c>
      <c r="L7" s="802">
        <f>'[4]数据-取费表'!$L$7</f>
        <v>3500</v>
      </c>
      <c r="M7" s="74">
        <f t="shared" si="0"/>
        <v>2451</v>
      </c>
      <c r="N7" s="800">
        <v>0.13</v>
      </c>
      <c r="O7" s="74">
        <f t="shared" ref="O7:O14" si="3">IF($N$5="成新度","——",ROUND(M7*N7,0))</f>
        <v>319</v>
      </c>
      <c r="P7" s="75">
        <f t="shared" ref="P7:P14" si="4">IF($N$5="成新度","——",M7-O7)</f>
        <v>2132</v>
      </c>
      <c r="Q7" s="2975">
        <v>0.5</v>
      </c>
      <c r="R7" s="76">
        <f ca="1">SUMIF('数据-汇总表'!C$19:C$33,A7,'数据-汇总表'!R$19:R$27)</f>
        <v>8146.65</v>
      </c>
      <c r="S7" s="53">
        <f>IF('数据-汇总表'!$I$17="按面积比例",SUMIF('数据-汇总表'!C$19:C$33,A7,'数据-汇总表'!K$19:K$33),SUMIF('数据-汇总表'!C$19:C$33,A7,'数据-汇总表'!N$19:N$33))</f>
        <v>34.31</v>
      </c>
      <c r="T7" s="1442">
        <f t="shared" ref="T7:T13" si="5">ROUND($L$14*S7/10000,0)</f>
        <v>6</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24505110</v>
      </c>
      <c r="AQ7" s="54">
        <f t="shared" ref="AQ7:AQ13" si="10">ROUND($L$14*$N$14*S7/10000,0)</f>
        <v>0</v>
      </c>
      <c r="AR7" s="54">
        <f t="shared" ref="AR7:AR13" si="11">ROUND($L$14*(1-$N$14)*S7/10000,0)</f>
        <v>6</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0"/>
      <c r="E14" s="1047"/>
      <c r="F14" s="71"/>
      <c r="G14" s="72"/>
      <c r="H14" s="1249"/>
      <c r="I14" s="1249"/>
      <c r="J14" s="1249"/>
      <c r="K14" s="1250">
        <f>SUMIF('数据-汇总表'!C$19:C$33,A14,'数据-汇总表'!E$19:E$33)</f>
        <v>51.93</v>
      </c>
      <c r="L14" s="90">
        <f>'[4]数据-取费表'!$L$14</f>
        <v>1800</v>
      </c>
      <c r="M14" s="74">
        <f t="shared" si="0"/>
        <v>9</v>
      </c>
      <c r="N14" s="91">
        <v>0</v>
      </c>
      <c r="O14" s="74">
        <f t="shared" si="3"/>
        <v>0</v>
      </c>
      <c r="P14" s="75">
        <f t="shared" si="4"/>
        <v>9</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0"/>
      <c r="E15" s="1047"/>
      <c r="F15" s="71"/>
      <c r="G15" s="72"/>
      <c r="H15" s="1249"/>
      <c r="I15" s="1249"/>
      <c r="J15" s="1249"/>
      <c r="K15" s="1250">
        <f>SUMIF('数据-汇总表'!C$19:C$33,A15,'数据-汇总表'!E$19:E$33)</f>
        <v>1133.2</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6"/>
      <c r="C16" s="1004"/>
      <c r="D16" s="2313"/>
      <c r="E16" s="96"/>
      <c r="F16" s="96"/>
      <c r="G16" s="97">
        <f>ROUND(SUMPRODUCT(G6:G13,K6:K13)/SUMPRODUCT((G6:G13&gt;0)*(K6:K13)),3)</f>
        <v>0.98799999999999999</v>
      </c>
      <c r="H16" s="98">
        <f>ROUND(SUMPRODUCT(H6:H13,K6:K13)/SUMPRODUCT((H6:H13&gt;0)*(K6:K13)),3)</f>
        <v>4.4999999999999998E-2</v>
      </c>
      <c r="I16" s="99"/>
      <c r="J16" s="99"/>
      <c r="K16" s="100">
        <f>SUM(K6:K15)</f>
        <v>11781</v>
      </c>
      <c r="L16" s="101">
        <f>ROUND(M16*10000/SUM(K6:K14),0)</f>
        <v>3424</v>
      </c>
      <c r="M16" s="101">
        <f>SUM(M6:M14)</f>
        <v>3646</v>
      </c>
      <c r="N16" s="102">
        <f>ROUND(SUMPRODUCT(M6:M14,N6:N14)/M16,3)</f>
        <v>0.113</v>
      </c>
      <c r="O16" s="101">
        <f>SUM(O6:O14)</f>
        <v>414</v>
      </c>
      <c r="P16" s="101">
        <f>SUM(P6:P14)</f>
        <v>3232</v>
      </c>
      <c r="Q16" s="103">
        <f>ROUND(SUMPRODUCT(Q6:Q13,K6:K13)/SUMPRODUCT((Q6:Q13&gt;0)*(K6:K13)),2)</f>
        <v>0.47</v>
      </c>
      <c r="R16" s="1254">
        <f ca="1">SUM(R6:R13)</f>
        <v>12328.98</v>
      </c>
      <c r="S16" s="104">
        <f>SUM(S6:S13)</f>
        <v>51.930000000000007</v>
      </c>
      <c r="T16" s="105">
        <f>IF(SUMIF(T6:T13,"&lt;9E307")=M14,SUMIF(T6:T13,"&lt;9E307"),"有误，请检查")</f>
        <v>9</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1">
        <v>0</v>
      </c>
      <c r="C19" s="2276" t="s">
        <v>2017</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2">
        <v>2</v>
      </c>
      <c r="C20" s="2276" t="s">
        <v>2019</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2">
        <v>0.2</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3">
        <f>B19+B20</f>
        <v>2</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3">
        <f>B19+B21</f>
        <v>0.2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4">
        <f>B20-B21</f>
        <v>1.8</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5">
        <v>220</v>
      </c>
      <c r="C27" s="1763" t="s">
        <v>2028</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8">
        <v>220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0">
        <v>259</v>
      </c>
      <c r="C29" s="1763" t="s">
        <v>2031</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19">
        <f>B30-B32</f>
        <v>100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4">
        <v>100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5">
        <v>0.04</v>
      </c>
      <c r="C33" s="1762" t="s">
        <v>2036</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1">
        <v>0.05</v>
      </c>
      <c r="C34" s="1762" t="s">
        <v>2038</v>
      </c>
      <c r="D34" s="2277" t="s">
        <v>2039</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8">
        <v>200</v>
      </c>
      <c r="C35" s="1762" t="s">
        <v>2041</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2">
        <v>1.4999999999999999E-2</v>
      </c>
      <c r="C36" s="1762" t="s">
        <v>2043</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3">
        <v>0.02</v>
      </c>
      <c r="C37" s="1762" t="s">
        <v>2045</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1">
        <v>0.02</v>
      </c>
      <c r="C38" s="1762" t="s">
        <v>2045</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4">
        <f>B42+B43</f>
        <v>5.6000000000000001E-2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6">
        <f>B42*(B44+B45+B46)+B47</f>
        <v>6.000000000000001E-3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7">
        <v>7.0000000000000007E-2</v>
      </c>
      <c r="C44" s="1762" t="s">
        <v>2054</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5">
        <v>0.03</v>
      </c>
      <c r="C45" s="1763" t="s">
        <v>2056</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5">
        <v>0.02</v>
      </c>
      <c r="C46" s="1763" t="s">
        <v>2058</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8"/>
      <c r="C47" s="1763" t="s">
        <v>2060</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29">
        <v>0.03</v>
      </c>
      <c r="C48" s="1770" t="s">
        <v>2062</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5">
        <v>5.0000000000000001E-4</v>
      </c>
      <c r="C49" s="1770" t="s">
        <v>2064</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c r="C53" s="1426" t="s">
        <v>2069</v>
      </c>
      <c r="D53" s="2336" t="s">
        <v>2070</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3"/>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3"/>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3"/>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3"/>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3"/>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3"/>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5" t="s">
        <v>2081</v>
      </c>
      <c r="B1" s="3076"/>
      <c r="C1" s="3076"/>
      <c r="D1" s="3076"/>
      <c r="E1" s="3076"/>
      <c r="F1" s="3076"/>
      <c r="G1" s="307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5"/>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1"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6"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7"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zoomScaleNormal="100" zoomScaleSheetLayoutView="100" workbookViewId="0">
      <selection activeCell="B21" sqref="B2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11781</v>
      </c>
      <c r="C1" s="1741"/>
      <c r="D1" s="1741"/>
      <c r="E1" s="1741"/>
      <c r="F1" s="1741"/>
      <c r="G1" s="1739"/>
    </row>
    <row r="2" spans="1:10" ht="16.5">
      <c r="A2" s="1742" t="s">
        <v>1349</v>
      </c>
      <c r="B2" s="1742">
        <f>SUM(C14:C23)</f>
        <v>13641.1</v>
      </c>
      <c r="C2" s="1741"/>
      <c r="D2" s="1741"/>
      <c r="E2" s="1741"/>
      <c r="F2" s="1741"/>
      <c r="G2" s="1739"/>
    </row>
    <row r="3" spans="1:10" ht="16.5">
      <c r="A3" s="1742" t="s">
        <v>1358</v>
      </c>
      <c r="B3" s="1743">
        <f>项目基本情况!D3</f>
        <v>43764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12978</v>
      </c>
      <c r="C5" s="1742">
        <f ca="1">ROUND(B5*10000/$B$1,0)</f>
        <v>11016</v>
      </c>
      <c r="D5" s="1742">
        <f ca="1">ROUND(B5*10000/$B$2,0)</f>
        <v>9514</v>
      </c>
      <c r="E5" s="1741"/>
      <c r="F5" s="1739"/>
      <c r="G5" s="1739"/>
    </row>
    <row r="6" spans="1:10" ht="16.5">
      <c r="A6" s="1742" t="s">
        <v>1352</v>
      </c>
      <c r="B6" s="1742">
        <f ca="1">SUM(G14:G23)</f>
        <v>12978</v>
      </c>
      <c r="C6" s="1742">
        <f ca="1">ROUND(B6*10000/$B$1,0)</f>
        <v>11016</v>
      </c>
      <c r="D6" s="1742">
        <f ca="1">ROUND(B6*10000/$B$2,0)</f>
        <v>9514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11781</v>
      </c>
      <c r="C14" s="1740">
        <f>结果表!C118</f>
        <v>13641.1</v>
      </c>
      <c r="D14" s="1740">
        <f ca="1">结果表!H118</f>
        <v>12978</v>
      </c>
      <c r="E14" s="1740">
        <f ca="1">ROUND(D14*10000/B14,0)</f>
        <v>11016</v>
      </c>
      <c r="F14" s="1740">
        <f ca="1">ROUND(D14*10000/C14,0)</f>
        <v>9514</v>
      </c>
      <c r="G14" s="1740">
        <f ca="1">结果表!D122</f>
        <v>12978</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C88" sqref="C8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2118</v>
      </c>
      <c r="B1" s="2417"/>
      <c r="C1" s="2418"/>
      <c r="D1" s="2417"/>
      <c r="E1" s="2417"/>
      <c r="F1" s="2419" t="s">
        <v>2119</v>
      </c>
      <c r="G1" s="2069" t="s">
        <v>2120</v>
      </c>
      <c r="H1" s="2420" t="str">
        <f>IF(G1="现房","——","估价对象范围")</f>
        <v>估价对象范围</v>
      </c>
      <c r="I1" s="2421"/>
    </row>
    <row r="2" spans="1:12" ht="21.75" customHeight="1" thickBot="1">
      <c r="A2" s="3110" t="str">
        <f>项目基本情况!S2</f>
        <v>出让国有建设用地使用权及在建建筑物房地产</v>
      </c>
      <c r="B2" s="3111"/>
      <c r="C2" s="3111"/>
      <c r="D2" s="3111"/>
      <c r="E2" s="3111"/>
      <c r="F2" s="3111"/>
      <c r="G2" s="3111"/>
      <c r="H2" s="3111"/>
      <c r="I2" s="3112"/>
    </row>
    <row r="3" spans="1:12" ht="12.75">
      <c r="A3" s="3114" t="s">
        <v>2121</v>
      </c>
      <c r="B3" s="3115"/>
      <c r="C3" s="3115"/>
      <c r="D3" s="3115"/>
      <c r="E3" s="3115"/>
      <c r="F3" s="3115"/>
      <c r="G3" s="3115"/>
      <c r="H3" s="3115"/>
      <c r="I3" s="3115"/>
    </row>
    <row r="4" spans="1:12" ht="14.25">
      <c r="A4" s="2424" t="s">
        <v>2122</v>
      </c>
      <c r="B4" s="2425" t="s">
        <v>2123</v>
      </c>
      <c r="C4" s="2426" t="s">
        <v>3110</v>
      </c>
      <c r="D4" s="2426" t="s">
        <v>3111</v>
      </c>
      <c r="E4" s="3107" t="s">
        <v>2124</v>
      </c>
      <c r="F4" s="3108"/>
      <c r="G4" s="3108"/>
      <c r="H4" s="3108"/>
      <c r="I4" s="311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0" t="s">
        <v>2125</v>
      </c>
      <c r="B5" s="3024">
        <v>25</v>
      </c>
      <c r="C5" s="3116"/>
      <c r="D5" s="3113"/>
      <c r="E5" s="139" t="s">
        <v>2126</v>
      </c>
      <c r="F5" s="2428"/>
      <c r="G5" s="2428"/>
      <c r="H5" s="2428"/>
      <c r="I5" s="1830"/>
    </row>
    <row r="6" spans="1:12" ht="12.75">
      <c r="A6" s="3090"/>
      <c r="B6" s="3024"/>
      <c r="C6" s="3118"/>
      <c r="D6" s="3113"/>
      <c r="E6" s="139" t="s">
        <v>2127</v>
      </c>
      <c r="F6" s="2428"/>
      <c r="G6" s="2428"/>
      <c r="H6" s="2428"/>
      <c r="I6" s="1830"/>
    </row>
    <row r="7" spans="1:12" ht="12.75">
      <c r="A7" s="3090"/>
      <c r="B7" s="3024"/>
      <c r="C7" s="3117"/>
      <c r="D7" s="3113"/>
      <c r="E7" s="139" t="s">
        <v>2128</v>
      </c>
      <c r="F7" s="2428"/>
      <c r="G7" s="2428"/>
      <c r="H7" s="2428"/>
      <c r="I7" s="1830"/>
    </row>
    <row r="8" spans="1:12" ht="12.75">
      <c r="A8" s="3090" t="s">
        <v>2129</v>
      </c>
      <c r="B8" s="3024">
        <v>15</v>
      </c>
      <c r="C8" s="3116"/>
      <c r="D8" s="3113"/>
      <c r="E8" s="139" t="s">
        <v>2130</v>
      </c>
      <c r="F8" s="2428"/>
      <c r="G8" s="2428"/>
      <c r="H8" s="2428"/>
      <c r="I8" s="1830"/>
    </row>
    <row r="9" spans="1:12" ht="12.75">
      <c r="A9" s="3090"/>
      <c r="B9" s="3024"/>
      <c r="C9" s="3117"/>
      <c r="D9" s="3113"/>
      <c r="E9" s="139" t="s">
        <v>2131</v>
      </c>
      <c r="F9" s="2428"/>
      <c r="G9" s="2428"/>
      <c r="H9" s="2428"/>
      <c r="I9" s="1830"/>
    </row>
    <row r="10" spans="1:12" ht="12.75">
      <c r="A10" s="3090" t="s">
        <v>2132</v>
      </c>
      <c r="B10" s="3024">
        <v>15</v>
      </c>
      <c r="C10" s="3116"/>
      <c r="D10" s="3113"/>
      <c r="E10" s="139" t="s">
        <v>2133</v>
      </c>
      <c r="F10" s="2428"/>
      <c r="G10" s="2428"/>
      <c r="H10" s="2428"/>
      <c r="I10" s="1830"/>
    </row>
    <row r="11" spans="1:12" ht="12.75">
      <c r="A11" s="3090"/>
      <c r="B11" s="3024"/>
      <c r="C11" s="3117"/>
      <c r="D11" s="3113"/>
      <c r="E11" s="139" t="s">
        <v>2134</v>
      </c>
      <c r="F11" s="2428"/>
      <c r="G11" s="2428"/>
      <c r="H11" s="2428"/>
      <c r="I11" s="1830"/>
    </row>
    <row r="12" spans="1:12" ht="12.75">
      <c r="A12" s="3090" t="s">
        <v>2135</v>
      </c>
      <c r="B12" s="3024">
        <v>15</v>
      </c>
      <c r="C12" s="3116"/>
      <c r="D12" s="3113"/>
      <c r="E12" s="139" t="s">
        <v>2136</v>
      </c>
      <c r="F12" s="2428"/>
      <c r="G12" s="2428"/>
      <c r="H12" s="2428"/>
      <c r="I12" s="1830"/>
    </row>
    <row r="13" spans="1:12" ht="12.75">
      <c r="A13" s="3090"/>
      <c r="B13" s="3024"/>
      <c r="C13" s="3117"/>
      <c r="D13" s="3113"/>
      <c r="E13" s="139" t="s">
        <v>2137</v>
      </c>
      <c r="F13" s="2428"/>
      <c r="G13" s="2428"/>
      <c r="H13" s="2428"/>
      <c r="I13" s="1830"/>
    </row>
    <row r="14" spans="1:12" ht="12.75">
      <c r="A14" s="3090" t="s">
        <v>2138</v>
      </c>
      <c r="B14" s="3024">
        <v>30</v>
      </c>
      <c r="C14" s="3093">
        <v>6</v>
      </c>
      <c r="D14" s="3141">
        <v>4</v>
      </c>
      <c r="E14" s="139" t="s">
        <v>2139</v>
      </c>
      <c r="F14" s="2428"/>
      <c r="G14" s="2428"/>
      <c r="H14" s="2428"/>
      <c r="I14" s="1830"/>
    </row>
    <row r="15" spans="1:12" ht="12.75">
      <c r="A15" s="3090"/>
      <c r="B15" s="3024"/>
      <c r="C15" s="3094"/>
      <c r="D15" s="3141"/>
      <c r="E15" s="139" t="s">
        <v>2140</v>
      </c>
      <c r="F15" s="2428"/>
      <c r="G15" s="2428"/>
      <c r="H15" s="2428"/>
      <c r="I15" s="1830"/>
    </row>
    <row r="16" spans="1:12" ht="12.75">
      <c r="A16" s="3090"/>
      <c r="B16" s="3024"/>
      <c r="C16" s="3095"/>
      <c r="D16" s="3141"/>
      <c r="E16" s="139" t="s">
        <v>2141</v>
      </c>
      <c r="F16" s="2428"/>
      <c r="G16" s="2428"/>
      <c r="H16" s="2428"/>
      <c r="I16" s="1830"/>
    </row>
    <row r="17" spans="1:35" ht="15">
      <c r="A17" s="2429" t="s">
        <v>2142</v>
      </c>
      <c r="B17" s="63"/>
      <c r="C17" s="140">
        <f>SUM(C5:C16)</f>
        <v>6</v>
      </c>
      <c r="D17" s="140">
        <f>SUM(D5:D16)</f>
        <v>4</v>
      </c>
      <c r="E17" s="137"/>
      <c r="F17" s="137"/>
      <c r="G17" s="137"/>
      <c r="H17" s="137"/>
      <c r="I17" s="137"/>
      <c r="K17" s="2427"/>
      <c r="L17" s="2430" t="s">
        <v>2143</v>
      </c>
      <c r="M17" s="2430" t="s">
        <v>2144</v>
      </c>
    </row>
    <row r="18" spans="1:35" ht="15.75" thickBot="1">
      <c r="A18" s="2431" t="s">
        <v>2145</v>
      </c>
      <c r="B18" s="2432"/>
      <c r="C18" s="141">
        <f>ROUND(C17/SUM(C17:D17),2)</f>
        <v>0.6</v>
      </c>
      <c r="D18" s="141">
        <f>1-C18</f>
        <v>0.4</v>
      </c>
      <c r="E18" s="137"/>
      <c r="F18" s="137"/>
      <c r="G18" s="137"/>
      <c r="H18" s="137"/>
      <c r="I18" s="137"/>
      <c r="K18" s="2427" t="s">
        <v>2146</v>
      </c>
      <c r="L18" s="2427">
        <f>IF(C1="",'数据-汇总表'!E3,SUMIF(项目类型,C1,'数据-汇总表'!E17:E26)+SUMIF(项目类型,C1,'数据-汇总表'!I17:I26))</f>
        <v>11781</v>
      </c>
      <c r="M18" s="2427">
        <f>IF(C1="",'数据-汇总表'!E3,SUMIF(项目类型,C1,'数据-汇总表'!E17:E26))</f>
        <v>11781</v>
      </c>
    </row>
    <row r="19" spans="1:35" ht="15">
      <c r="A19" s="2433" t="s">
        <v>2147</v>
      </c>
      <c r="B19" s="2434" t="s">
        <v>2148</v>
      </c>
      <c r="C19" s="142">
        <f ca="1">SUMIF(INDIRECT("'"&amp;C4&amp;"'"&amp;"!A:A"),结果表!B19,INDIRECT("'"&amp;C4&amp;"'"&amp;"!B:B"))</f>
        <v>7462</v>
      </c>
      <c r="D19" s="143">
        <f ca="1">SUMIF(INDIRECT("'"&amp;D4&amp;"'"&amp;"!A:A"),结果表!B19,INDIRECT("'"&amp;D4&amp;"'"&amp;"!B:B"))</f>
        <v>21253</v>
      </c>
      <c r="E19" s="2433" t="s">
        <v>2149</v>
      </c>
      <c r="F19" s="2434" t="s">
        <v>2148</v>
      </c>
      <c r="G19" s="144">
        <f ca="1">ROUND(C19*$C$18+D19*$D$18,0)</f>
        <v>12978</v>
      </c>
      <c r="H19" s="2435" t="s">
        <v>2150</v>
      </c>
      <c r="I19" s="137"/>
      <c r="K19" s="2427" t="s">
        <v>2151</v>
      </c>
      <c r="L19" s="2427">
        <f>IF(C1="",'数据-汇总表'!D3,SUMIF(项目类型,C1,'数据-汇总表'!D17:D26)+SUMIF(项目类型,C1,'数据-汇总表'!H17:H27))</f>
        <v>13641.1</v>
      </c>
      <c r="M19" s="2427">
        <f>IF(C1="",'数据-汇总表'!D3,SUMIF(项目类型,C1,'数据-汇总表'!D17:D26))</f>
        <v>13641.1</v>
      </c>
    </row>
    <row r="20" spans="1:35" ht="15">
      <c r="A20" s="2436"/>
      <c r="B20" s="1246" t="s">
        <v>2152</v>
      </c>
      <c r="C20" s="145">
        <f ca="1">SUMIF(INDIRECT("'"&amp;C4&amp;"'"&amp;"!A:A"),结果表!B20,INDIRECT("'"&amp;C4&amp;"'"&amp;"!B:B"))</f>
        <v>6334</v>
      </c>
      <c r="D20" s="146">
        <f ca="1">SUMIF(INDIRECT("'"&amp;D4&amp;"'"&amp;"!A:A"),结果表!B20,INDIRECT("'"&amp;D4&amp;"'"&amp;"!B:B"))</f>
        <v>18040</v>
      </c>
      <c r="E20" s="2436"/>
      <c r="F20" s="1246" t="s">
        <v>2152</v>
      </c>
      <c r="G20" s="147">
        <f ca="1">ROUND(C20*$C$18+D20*$D$18,0)</f>
        <v>11016</v>
      </c>
      <c r="H20" s="979" t="s">
        <v>2153</v>
      </c>
      <c r="I20" s="137"/>
    </row>
    <row r="21" spans="1:35" ht="15" customHeight="1" thickBot="1">
      <c r="A21" s="999"/>
      <c r="B21" s="2437" t="s">
        <v>2154</v>
      </c>
      <c r="C21" s="788">
        <f ca="1">ROUND(C19*10000/L19,0)</f>
        <v>5470</v>
      </c>
      <c r="D21" s="789">
        <f ca="1">ROUND(D19*10000/L19,0)</f>
        <v>15580</v>
      </c>
      <c r="E21" s="999"/>
      <c r="F21" s="2437" t="s">
        <v>2154</v>
      </c>
      <c r="G21" s="148">
        <f ca="1">ROUND(G19*10000/L19,0)</f>
        <v>9514</v>
      </c>
      <c r="H21" s="2438" t="s">
        <v>2153</v>
      </c>
      <c r="I21" s="137"/>
    </row>
    <row r="22" spans="1:35" ht="15" thickBot="1">
      <c r="A22" s="2280" t="s">
        <v>2155</v>
      </c>
      <c r="B22" s="2439"/>
      <c r="C22" s="2440"/>
      <c r="D22" s="790">
        <f ca="1">IF(C19&lt;D19,D19/C19-1,C19/D19-1)</f>
        <v>1.8481640310908602</v>
      </c>
      <c r="E22" s="137"/>
      <c r="F22" s="137"/>
      <c r="G22" s="137"/>
      <c r="H22" s="137"/>
      <c r="I22" s="137"/>
    </row>
    <row r="23" spans="1:35" ht="13.5" thickBot="1">
      <c r="A23" s="2417"/>
      <c r="B23" s="2417"/>
      <c r="C23" s="2417"/>
      <c r="D23" s="2417"/>
      <c r="E23" s="137"/>
      <c r="F23" s="137"/>
      <c r="G23" s="137"/>
      <c r="H23" s="137"/>
      <c r="I23" s="137"/>
    </row>
    <row r="24" spans="1:35" ht="14.25">
      <c r="A24" s="3084" t="s">
        <v>2156</v>
      </c>
      <c r="B24" s="2434" t="s">
        <v>2148</v>
      </c>
      <c r="C24" s="144">
        <f>IF(B30=0,0,D30)</f>
        <v>0</v>
      </c>
      <c r="D24" s="2441"/>
      <c r="E24" s="137"/>
      <c r="F24" s="137"/>
      <c r="G24" s="137"/>
      <c r="H24" s="137"/>
      <c r="I24" s="137"/>
    </row>
    <row r="25" spans="1:35" ht="14.25">
      <c r="A25" s="3085"/>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6" t="s">
        <v>3030</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12978</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102" t="s">
        <v>2170</v>
      </c>
      <c r="B36" s="2460" t="s">
        <v>2171</v>
      </c>
      <c r="C36" s="153"/>
      <c r="D36" s="2461"/>
      <c r="E36" s="2462"/>
      <c r="F36" s="2463"/>
      <c r="G36" s="137"/>
      <c r="H36" s="137"/>
      <c r="I36" s="137"/>
    </row>
    <row r="37" spans="1:15" ht="15.75" thickBot="1">
      <c r="A37" s="3103"/>
      <c r="B37" s="2266" t="s">
        <v>2172</v>
      </c>
      <c r="C37" s="155"/>
      <c r="D37" s="1391"/>
      <c r="E37" s="1391"/>
      <c r="F37" s="2463"/>
      <c r="G37" s="137"/>
      <c r="H37" s="137"/>
      <c r="I37" s="137"/>
    </row>
    <row r="38" spans="1:15" ht="15.75" thickBot="1">
      <c r="A38" s="3104"/>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81" t="s">
        <v>2184</v>
      </c>
      <c r="B45" s="3082"/>
      <c r="C45" s="3083"/>
      <c r="D45" s="163">
        <f ca="1">ROUND(H101*F45,0)</f>
        <v>12978</v>
      </c>
      <c r="E45" s="164" t="s">
        <v>2185</v>
      </c>
      <c r="F45" s="165">
        <v>1</v>
      </c>
      <c r="G45" s="166" t="s">
        <v>2186</v>
      </c>
      <c r="H45" s="137"/>
      <c r="I45" s="137"/>
      <c r="J45" s="3145" t="s">
        <v>2187</v>
      </c>
      <c r="K45" s="3145"/>
      <c r="L45" s="3145"/>
      <c r="M45" s="3145"/>
      <c r="N45" s="3145"/>
      <c r="O45" s="3145"/>
    </row>
    <row r="46" spans="1:15" ht="14.25" customHeight="1">
      <c r="A46" s="3078" t="s">
        <v>2188</v>
      </c>
      <c r="B46" s="3079"/>
      <c r="C46" s="3079"/>
      <c r="D46" s="3079"/>
      <c r="E46" s="3079"/>
      <c r="F46" s="3079"/>
      <c r="G46" s="3080"/>
      <c r="H46" s="2479"/>
      <c r="I46" s="167"/>
      <c r="J46" s="1808">
        <v>1</v>
      </c>
      <c r="K46" s="3145" t="s">
        <v>2189</v>
      </c>
      <c r="L46" s="3145"/>
      <c r="M46" s="3165"/>
      <c r="N46" s="3165"/>
      <c r="O46" s="3165"/>
    </row>
    <row r="47" spans="1:15" ht="12" customHeight="1">
      <c r="A47" s="168" t="s">
        <v>2190</v>
      </c>
      <c r="B47" s="169"/>
      <c r="C47" s="170"/>
      <c r="D47" s="171" t="s">
        <v>2191</v>
      </c>
      <c r="E47" s="23" t="s">
        <v>2192</v>
      </c>
      <c r="F47" s="172" t="s">
        <v>2193</v>
      </c>
      <c r="G47" s="173" t="s">
        <v>2194</v>
      </c>
      <c r="H47" s="2479"/>
      <c r="I47" s="167"/>
      <c r="J47" s="1808">
        <v>2</v>
      </c>
      <c r="K47" s="3145" t="s">
        <v>2195</v>
      </c>
      <c r="L47" s="3145"/>
      <c r="M47" s="3166">
        <f>'数据-取费表'!B2</f>
        <v>43764</v>
      </c>
      <c r="N47" s="3166"/>
      <c r="O47" s="3166"/>
    </row>
    <row r="48" spans="1:15" ht="25.5">
      <c r="A48" s="3109" t="s">
        <v>2196</v>
      </c>
      <c r="B48" s="3092"/>
      <c r="C48" s="3092"/>
      <c r="D48" s="139">
        <f ca="1">IF(H48="情况1",0,IF(H48="情况2",D52,IF(H48="情况3",D53,IF(H48="情况4",D54))))</f>
        <v>692</v>
      </c>
      <c r="E48" s="1797" t="str">
        <f>IF(H48="情况4","(销售额-原购置价)×税（费）率","销售额×税（费）率")</f>
        <v>销售额×税（费）率</v>
      </c>
      <c r="F48" s="174">
        <f>IF(H48="情况1","免征",'数据-取费表'!B41)</f>
        <v>5.6000000000000001E-2</v>
      </c>
      <c r="G48" s="2480" t="s">
        <v>2197</v>
      </c>
      <c r="H48" s="2481" t="s">
        <v>3112</v>
      </c>
      <c r="I48" s="2479"/>
      <c r="J48" s="1808">
        <v>3</v>
      </c>
      <c r="K48" s="3145" t="s">
        <v>2198</v>
      </c>
      <c r="L48" s="3145"/>
      <c r="M48" s="3167">
        <f ca="1">H101</f>
        <v>12978</v>
      </c>
      <c r="N48" s="3167"/>
      <c r="O48" s="3167"/>
    </row>
    <row r="49" spans="1:35" ht="25.5" customHeight="1">
      <c r="A49" s="175" t="s">
        <v>2199</v>
      </c>
      <c r="B49" s="3077" t="s">
        <v>2200</v>
      </c>
      <c r="C49" s="3077"/>
      <c r="D49" s="176">
        <v>0</v>
      </c>
      <c r="E49" s="22" t="s">
        <v>2201</v>
      </c>
      <c r="F49" s="27" t="s">
        <v>34</v>
      </c>
      <c r="G49" s="3151"/>
      <c r="H49" s="137"/>
      <c r="I49" s="2482"/>
      <c r="J49" s="1808">
        <v>4</v>
      </c>
      <c r="K49" s="3145" t="str">
        <f>IF(项目基本情况!E8="房地产抵押价值","房地产抵押价值","抵押担保权已注销时的房地产抵押价值")</f>
        <v>房地产抵押价值</v>
      </c>
      <c r="L49" s="3145"/>
      <c r="M49" s="3167">
        <f ca="1">IF(项目基本情况!E8="房地产抵押价值",H107,H109)</f>
        <v>12978</v>
      </c>
      <c r="N49" s="3167"/>
      <c r="O49" s="3167"/>
    </row>
    <row r="50" spans="1:35" ht="25.5" customHeight="1">
      <c r="A50" s="177"/>
      <c r="B50" s="3077" t="s">
        <v>2202</v>
      </c>
      <c r="C50" s="3077"/>
      <c r="D50" s="178"/>
      <c r="E50" s="30"/>
      <c r="F50" s="179"/>
      <c r="G50" s="3152"/>
      <c r="H50" s="137"/>
      <c r="I50" s="2482"/>
      <c r="J50" s="3145" t="s">
        <v>2203</v>
      </c>
      <c r="K50" s="3145"/>
      <c r="L50" s="3145"/>
      <c r="M50" s="3145"/>
      <c r="N50" s="3145"/>
      <c r="O50" s="3145"/>
    </row>
    <row r="51" spans="1:35" ht="12" customHeight="1">
      <c r="A51" s="180"/>
      <c r="B51" s="3077" t="s">
        <v>2204</v>
      </c>
      <c r="C51" s="3077"/>
      <c r="D51" s="181"/>
      <c r="E51" s="29"/>
      <c r="F51" s="179"/>
      <c r="G51" s="3153"/>
      <c r="H51" s="137"/>
      <c r="I51" s="2482"/>
      <c r="J51" s="2483" t="s">
        <v>2205</v>
      </c>
      <c r="K51" s="3145" t="s">
        <v>2206</v>
      </c>
      <c r="L51" s="3145"/>
      <c r="M51" s="2483" t="s">
        <v>2207</v>
      </c>
      <c r="N51" s="2483" t="s">
        <v>2208</v>
      </c>
      <c r="O51" s="2483" t="s">
        <v>2209</v>
      </c>
    </row>
    <row r="52" spans="1:35" ht="24" customHeight="1">
      <c r="A52" s="182" t="s">
        <v>2210</v>
      </c>
      <c r="B52" s="3077" t="s">
        <v>2211</v>
      </c>
      <c r="C52" s="3077"/>
      <c r="D52" s="181">
        <f ca="1">ROUND(D45*'数据-取费表'!B41/(1+'数据-取费表'!C42),0)</f>
        <v>692</v>
      </c>
      <c r="E52" s="11" t="s">
        <v>2212</v>
      </c>
      <c r="F52" s="183">
        <f>'数据-取费表'!B41</f>
        <v>5.6000000000000001E-2</v>
      </c>
      <c r="G52" s="2484"/>
      <c r="H52" s="137"/>
      <c r="I52" s="2482"/>
      <c r="J52" s="1808">
        <v>1</v>
      </c>
      <c r="K52" s="3146" t="s">
        <v>2213</v>
      </c>
      <c r="L52" s="3146"/>
      <c r="M52" s="1750">
        <f ca="1">D48</f>
        <v>692</v>
      </c>
      <c r="N52" s="1808" t="str">
        <f>E48</f>
        <v>销售额×税（费）率</v>
      </c>
      <c r="O52" s="1751">
        <f>F48</f>
        <v>5.6000000000000001E-2</v>
      </c>
    </row>
    <row r="53" spans="1:35" ht="12" customHeight="1">
      <c r="A53" s="182" t="s">
        <v>2214</v>
      </c>
      <c r="B53" s="3100" t="s">
        <v>2215</v>
      </c>
      <c r="C53" s="3101"/>
      <c r="D53" s="181">
        <f ca="1">ROUND(D45*'数据-取费表'!B41/(1+'数据-取费表'!C42),0)</f>
        <v>692</v>
      </c>
      <c r="E53" s="11" t="s">
        <v>2212</v>
      </c>
      <c r="F53" s="183">
        <f>'数据-取费表'!B41</f>
        <v>5.6000000000000001E-2</v>
      </c>
      <c r="G53" s="2484"/>
      <c r="H53" s="137"/>
      <c r="I53" s="2482"/>
      <c r="J53" s="1808">
        <v>2</v>
      </c>
      <c r="K53" s="3146" t="s">
        <v>2216</v>
      </c>
      <c r="L53" s="3146"/>
      <c r="M53" s="1750">
        <f t="shared" ref="M53:O54" ca="1" si="0">D55</f>
        <v>6</v>
      </c>
      <c r="N53" s="1808" t="str">
        <f t="shared" si="0"/>
        <v>销售额×税（费）率</v>
      </c>
      <c r="O53" s="1751">
        <f t="shared" si="0"/>
        <v>5.0000000000000001E-4</v>
      </c>
    </row>
    <row r="54" spans="1:35" ht="12" customHeight="1">
      <c r="A54" s="182" t="s">
        <v>2217</v>
      </c>
      <c r="B54" s="3100" t="s">
        <v>2218</v>
      </c>
      <c r="C54" s="3101"/>
      <c r="D54" s="181">
        <f ca="1">C68</f>
        <v>692</v>
      </c>
      <c r="E54" s="29" t="s">
        <v>2219</v>
      </c>
      <c r="F54" s="183">
        <f>'数据-取费表'!B41</f>
        <v>5.6000000000000001E-2</v>
      </c>
      <c r="G54" s="2484"/>
      <c r="H54" s="2485"/>
      <c r="I54" s="2482"/>
      <c r="J54" s="1808">
        <v>3</v>
      </c>
      <c r="K54" s="3146" t="s">
        <v>2220</v>
      </c>
      <c r="L54" s="3146"/>
      <c r="M54" s="1750">
        <f t="shared" ca="1" si="0"/>
        <v>5261</v>
      </c>
      <c r="N54" s="1808" t="str">
        <f t="shared" si="0"/>
        <v>增值额×税（费）率</v>
      </c>
      <c r="O54" s="1752" t="str">
        <f t="shared" si="0"/>
        <v>——</v>
      </c>
    </row>
    <row r="55" spans="1:35" ht="24" customHeight="1">
      <c r="A55" s="3091" t="s">
        <v>2221</v>
      </c>
      <c r="B55" s="3092"/>
      <c r="C55" s="3092"/>
      <c r="D55" s="184">
        <f ca="1">IF(H55="个人住宅",0,ROUND(D45*I55,0))</f>
        <v>6</v>
      </c>
      <c r="E55" s="11" t="s">
        <v>2222</v>
      </c>
      <c r="F55" s="183">
        <f>IF(H55="正常",I55,"免征")</f>
        <v>5.0000000000000001E-4</v>
      </c>
      <c r="G55" s="2484"/>
      <c r="H55" s="2481" t="s">
        <v>2223</v>
      </c>
      <c r="I55" s="185">
        <f>'数据-取费表'!B49</f>
        <v>5.0000000000000001E-4</v>
      </c>
      <c r="J55" s="1808" t="str">
        <f>IF(H59="非个人房产","",4)</f>
        <v/>
      </c>
      <c r="K55" s="3146" t="str">
        <f>IF(H59="非个人房产","——","个人所得税")</f>
        <v>——</v>
      </c>
      <c r="L55" s="3146"/>
      <c r="M55" s="1753" t="str">
        <f>D59</f>
        <v>——</v>
      </c>
      <c r="N55" s="1806" t="str">
        <f>E59</f>
        <v>——</v>
      </c>
      <c r="O55" s="1754" t="str">
        <f>F59</f>
        <v>——</v>
      </c>
    </row>
    <row r="56" spans="1:35" ht="24.75">
      <c r="A56" s="3091" t="s">
        <v>2224</v>
      </c>
      <c r="B56" s="3092"/>
      <c r="C56" s="3092"/>
      <c r="D56" s="184">
        <f ca="1">IF(H56="个人住宅",D57,D58)</f>
        <v>5261</v>
      </c>
      <c r="E56" s="11" t="s">
        <v>2225</v>
      </c>
      <c r="F56" s="183" t="str">
        <f>IF(H56="正常",F58,"免征")</f>
        <v>——</v>
      </c>
      <c r="G56" s="2486" t="s">
        <v>2226</v>
      </c>
      <c r="H56" s="2487" t="s">
        <v>2223</v>
      </c>
      <c r="I56" s="2488"/>
      <c r="J56" s="1808" t="str">
        <f>IF(项目基本情况!K6="上海银行",IF(J55="",4,J55+1),"")</f>
        <v/>
      </c>
      <c r="K56" s="3169" t="str">
        <f>IF(项目基本情况!K6="上海银行","其他处置费用","")</f>
        <v/>
      </c>
      <c r="L56" s="3170"/>
      <c r="M56" s="1750" t="str">
        <f>IF(项目基本情况!K6="上海银行",M69,"")</f>
        <v/>
      </c>
      <c r="N56" s="3172" t="str">
        <f>IF(项目基本情况!K6="上海银行","包含处置中涉及的律师、诉讼、拍卖、评估等费用","")</f>
        <v/>
      </c>
      <c r="O56" s="3173"/>
    </row>
    <row r="57" spans="1:35" ht="12.75">
      <c r="A57" s="182" t="s">
        <v>2199</v>
      </c>
      <c r="B57" s="3107" t="s">
        <v>2227</v>
      </c>
      <c r="C57" s="3119"/>
      <c r="D57" s="186">
        <v>0</v>
      </c>
      <c r="E57" s="22" t="s">
        <v>2201</v>
      </c>
      <c r="F57" s="154"/>
      <c r="G57" s="2484"/>
      <c r="H57" s="2488"/>
      <c r="I57" s="2488"/>
      <c r="J57" s="3146">
        <f>IF(AND(J55="",J56=""),4,IF(项目基本情况!K6="上海银行",结果表!J56+1,结果表!J55+1))</f>
        <v>4</v>
      </c>
      <c r="K57" s="3146" t="s">
        <v>2228</v>
      </c>
      <c r="L57" s="2489" t="s">
        <v>2229</v>
      </c>
      <c r="M57" s="1755"/>
      <c r="N57" s="1756">
        <f ca="1">SUMIF(M52:M56,"&lt;9e307")</f>
        <v>5959</v>
      </c>
      <c r="O57" s="2490"/>
      <c r="P57" s="1749">
        <f ca="1">N57/M49</f>
        <v>0.45916165819078442</v>
      </c>
    </row>
    <row r="58" spans="1:35" ht="24.75">
      <c r="A58" s="182" t="s">
        <v>2210</v>
      </c>
      <c r="B58" s="3107" t="s">
        <v>2230</v>
      </c>
      <c r="C58" s="3108"/>
      <c r="D58" s="184">
        <f ca="1">IF(H58="转让取得",C81,C97)</f>
        <v>5261</v>
      </c>
      <c r="E58" s="11" t="s">
        <v>2225</v>
      </c>
      <c r="F58" s="23" t="s">
        <v>34</v>
      </c>
      <c r="G58" s="2484"/>
      <c r="H58" s="2487" t="s">
        <v>2231</v>
      </c>
      <c r="I58" s="2488"/>
      <c r="J58" s="3146"/>
      <c r="K58" s="3146"/>
      <c r="L58" s="2489" t="s">
        <v>2232</v>
      </c>
      <c r="M58" s="1757"/>
      <c r="N58" s="2491" t="str">
        <f ca="1">NUMBERSTRING(INT(N57*10000),2)&amp;"元整"</f>
        <v>伍仟玖佰伍拾玖万元整</v>
      </c>
      <c r="O58" s="2492"/>
    </row>
    <row r="59" spans="1:35" ht="24.75" thickBot="1">
      <c r="A59" s="3149" t="s">
        <v>2233</v>
      </c>
      <c r="B59" s="3150"/>
      <c r="C59" s="3150"/>
      <c r="D59" s="187" t="str">
        <f>IF(H59="非个人房产","——",IF(H59="个人住宅",0,ROUND(D45*I59,0)))</f>
        <v>——</v>
      </c>
      <c r="E59" s="188" t="str">
        <f>IF(H59="非个人房产","——","销售额×税（费）率")</f>
        <v>——</v>
      </c>
      <c r="F59" s="189" t="str">
        <f>IF(H59="非个人房产","——",IF(H59="个人住宅","免征",I59))</f>
        <v>——</v>
      </c>
      <c r="G59" s="2493" t="s">
        <v>2226</v>
      </c>
      <c r="H59" s="2487" t="s">
        <v>2234</v>
      </c>
      <c r="I59" s="190">
        <v>0.01</v>
      </c>
      <c r="J59" s="3147">
        <f>J57+1</f>
        <v>5</v>
      </c>
      <c r="K59" s="3146" t="s">
        <v>2235</v>
      </c>
      <c r="L59" s="1808" t="s">
        <v>2229</v>
      </c>
      <c r="M59" s="1758"/>
      <c r="N59" s="1759">
        <f ca="1">M49-N57</f>
        <v>7019</v>
      </c>
      <c r="O59" s="2494"/>
    </row>
    <row r="60" spans="1:35" ht="12" customHeight="1">
      <c r="A60" s="2495"/>
      <c r="B60" s="2417"/>
      <c r="C60" s="2417"/>
      <c r="D60" s="2417"/>
      <c r="E60" s="2165"/>
      <c r="F60" s="2488"/>
      <c r="G60" s="2488"/>
      <c r="H60" s="2496"/>
      <c r="I60" s="137"/>
      <c r="J60" s="3148"/>
      <c r="K60" s="3146"/>
      <c r="L60" s="2489" t="s">
        <v>2232</v>
      </c>
      <c r="M60" s="1757"/>
      <c r="N60" s="2491" t="str">
        <f ca="1">NUMBERSTRING(INT(N59*10000),2)&amp;"元整"</f>
        <v>柒仟零壹拾玖万元整</v>
      </c>
      <c r="O60" s="2492"/>
    </row>
    <row r="61" spans="1:35" ht="13.5" thickBot="1">
      <c r="A61" s="3089" t="s">
        <v>2236</v>
      </c>
      <c r="B61" s="3089"/>
      <c r="C61" s="3089"/>
      <c r="D61" s="3089"/>
      <c r="E61" s="3089"/>
      <c r="F61" s="2488"/>
      <c r="G61" s="2488"/>
      <c r="H61" s="2496"/>
      <c r="I61" s="137"/>
      <c r="J61" s="1808">
        <f>J59+1</f>
        <v>6</v>
      </c>
      <c r="K61" s="3146" t="s">
        <v>2237</v>
      </c>
      <c r="L61" s="3146"/>
      <c r="M61" s="1760"/>
      <c r="N61" s="1761">
        <f ca="1">ROUND(N59*10000/'数据-汇总表'!E3,0)</f>
        <v>5958</v>
      </c>
      <c r="O61" s="2497"/>
    </row>
    <row r="62" spans="1:35" ht="12.75">
      <c r="A62" s="3105" t="s">
        <v>2238</v>
      </c>
      <c r="B62" s="3106"/>
      <c r="C62" s="1800"/>
      <c r="D62" s="1800" t="s">
        <v>2239</v>
      </c>
      <c r="E62" s="191" t="s">
        <v>2240</v>
      </c>
      <c r="F62" s="2488"/>
      <c r="G62" s="2488"/>
      <c r="H62" s="2496"/>
      <c r="I62" s="137"/>
    </row>
    <row r="63" spans="1:35" ht="12.75">
      <c r="A63" s="202" t="s">
        <v>775</v>
      </c>
      <c r="B63" s="192" t="s">
        <v>2241</v>
      </c>
      <c r="C63" s="193">
        <f ca="1">ROUND((C64+C65)/(1+'数据-取费表'!C42),0)</f>
        <v>12360</v>
      </c>
      <c r="D63" s="194"/>
      <c r="E63" s="195"/>
      <c r="F63" s="2488"/>
      <c r="G63" s="2488"/>
      <c r="H63" s="2496"/>
      <c r="I63" s="137"/>
      <c r="J63" s="3171" t="s">
        <v>2242</v>
      </c>
      <c r="K63" s="2498" t="s">
        <v>2243</v>
      </c>
      <c r="L63" s="1748">
        <f ca="1">IF(M49&gt;10000,M49*0.5%,IF(AND(M49&gt;1000,M49&lt;=10000),M49*1%,IF(AND(M49&gt;100,M49&lt;=1000),M49*3%,IF(AND(M49&gt;10,M49&lt;=100),M49*5%,M49*8%))))</f>
        <v>64.89</v>
      </c>
      <c r="M63" s="23">
        <f ca="1">ROUND(L63,1)</f>
        <v>64.900000000000006</v>
      </c>
      <c r="Z63" s="2422"/>
      <c r="AI63" s="2423"/>
    </row>
    <row r="64" spans="1:35" ht="14.25" customHeight="1">
      <c r="A64" s="196" t="s">
        <v>770</v>
      </c>
      <c r="B64" s="197" t="s">
        <v>2244</v>
      </c>
      <c r="C64" s="198">
        <f ca="1">D45</f>
        <v>12978</v>
      </c>
      <c r="D64" s="199" t="s">
        <v>32</v>
      </c>
      <c r="E64" s="200"/>
      <c r="F64" s="2488"/>
      <c r="G64" s="2488"/>
      <c r="H64" s="2496"/>
      <c r="I64" s="137"/>
      <c r="J64" s="3171"/>
      <c r="K64" s="2498" t="s">
        <v>2245</v>
      </c>
      <c r="L64" s="1748">
        <f ca="1">IF(M49&gt;2000,M49*0.5%,IF(AND(M49&gt;1000,M49&lt;=2000),M49*0.6%,IF(AND(M49&gt;500,M49&lt;=1000),M49*0.7%,IF(AND(M49&gt;200,M49&lt;=500),M49*0.8%,IF(AND(M49&gt;100,M49&lt;=200),M49*0.9%,IF(AND(M49&gt;50,M49&lt;=100),M49*1%,IF(AND(M49&gt;20,M49&lt;=50),M49*1.5%,IF(AND(M49&gt;10,M49&lt;=20),M49*2%,IF(AND(M49&gt;1,M49&lt;=10),M49*2.5%)))))))))</f>
        <v>64.89</v>
      </c>
      <c r="M64" s="23">
        <f t="shared" ref="M64:M65" ca="1" si="1">ROUND(L64,1)</f>
        <v>64.900000000000006</v>
      </c>
      <c r="N64" s="137" t="s">
        <v>2246</v>
      </c>
      <c r="Z64" s="2422"/>
      <c r="AI64" s="2423"/>
    </row>
    <row r="65" spans="1:35" ht="14.25" customHeight="1">
      <c r="A65" s="196" t="s">
        <v>771</v>
      </c>
      <c r="B65" s="197" t="s">
        <v>2247</v>
      </c>
      <c r="C65" s="201"/>
      <c r="D65" s="199"/>
      <c r="E65" s="200"/>
      <c r="F65" s="2488"/>
      <c r="G65" s="2488"/>
      <c r="H65" s="2496"/>
      <c r="I65" s="137"/>
      <c r="J65" s="3171"/>
      <c r="K65" s="2498" t="s">
        <v>2248</v>
      </c>
      <c r="L65" s="1748">
        <f ca="1">IF(M49&gt;1000,M49*0.1%,IF(AND(M49&gt;500,M49&lt;=1000),M49*0.5%,IF(AND(M49&gt;50,M49&lt;=500),M49*1%,IF(AND(M49&gt;1,M49&lt;=50),M49*1.5%))))</f>
        <v>12.978</v>
      </c>
      <c r="M65" s="23">
        <f t="shared" ca="1" si="1"/>
        <v>13</v>
      </c>
      <c r="N65" s="137" t="s">
        <v>2246</v>
      </c>
      <c r="Z65" s="2422"/>
      <c r="AI65" s="2423"/>
    </row>
    <row r="66" spans="1:35" ht="14.25" customHeight="1">
      <c r="A66" s="202" t="s">
        <v>772</v>
      </c>
      <c r="B66" s="203" t="s">
        <v>2249</v>
      </c>
      <c r="C66" s="204"/>
      <c r="D66" s="205" t="s">
        <v>32</v>
      </c>
      <c r="E66" s="1772" t="s">
        <v>1367</v>
      </c>
      <c r="F66" s="2488"/>
      <c r="G66" s="2488"/>
      <c r="H66" s="2496"/>
      <c r="I66" s="137"/>
      <c r="J66" s="3171"/>
      <c r="K66" s="2498" t="s">
        <v>2250</v>
      </c>
      <c r="L66" s="1748">
        <f ca="1">M49*0.5%</f>
        <v>64.89</v>
      </c>
      <c r="M66" s="23">
        <f ca="1">IF(L66&gt;0.5,0.5,ROUND(L66,0))</f>
        <v>0.5</v>
      </c>
      <c r="N66" s="137" t="s">
        <v>2251</v>
      </c>
      <c r="Z66" s="2422"/>
      <c r="AI66" s="2423"/>
    </row>
    <row r="67" spans="1:35" ht="14.25" customHeight="1">
      <c r="A67" s="202" t="s">
        <v>773</v>
      </c>
      <c r="B67" s="203" t="s">
        <v>2252</v>
      </c>
      <c r="C67" s="206">
        <f ca="1">C63-C66</f>
        <v>12360</v>
      </c>
      <c r="D67" s="199" t="s">
        <v>32</v>
      </c>
      <c r="E67" s="200"/>
      <c r="F67" s="2488"/>
      <c r="G67" s="2488"/>
      <c r="H67" s="2496"/>
      <c r="I67" s="137"/>
      <c r="J67" s="3171"/>
      <c r="K67" s="2498" t="s">
        <v>2253</v>
      </c>
      <c r="L67" s="1748">
        <f ca="1">IF(M49&gt;=10000,(8.25+(M49-10000)*0.01%),IF(AND(M49&gt;=8000,M49&lt;10000),(7.85+(M49-8000)*0.02%),IF(AND(M49&gt;=5000,M49&lt;8000),(6.65+(M49-5000)*0.04%),IF(AND(M49&gt;=2000,M49&lt;5000),(4.25+(PM49-2000)*0.08%),IF(AND(M49&gt;=1000,M49&lt;2000),(2.75+(M49-1000)*0.15%),IF(AND(M49&gt;=100,M49&lt;1000),(0.5+(M49-100)*0.25%),IF(AND(M49&gt;0,M49&lt;100),M49*0.5%)))))))</f>
        <v>8.5478000000000005</v>
      </c>
      <c r="M67" s="23">
        <f ca="1">ROUND(L67*0.9,1)</f>
        <v>7.7</v>
      </c>
      <c r="Z67" s="2422"/>
      <c r="AI67" s="2423"/>
    </row>
    <row r="68" spans="1:35" ht="14.25" customHeight="1" thickBot="1">
      <c r="A68" s="207" t="s">
        <v>774</v>
      </c>
      <c r="B68" s="208" t="s">
        <v>2254</v>
      </c>
      <c r="C68" s="209">
        <f ca="1">IF(C67&lt;=0,0,ROUND(C67*D68,0))</f>
        <v>692</v>
      </c>
      <c r="D68" s="210">
        <f>'数据-取费表'!B41</f>
        <v>5.6000000000000001E-2</v>
      </c>
      <c r="E68" s="211"/>
      <c r="F68" s="2488"/>
      <c r="G68" s="2488"/>
      <c r="H68" s="2496"/>
      <c r="I68" s="137"/>
      <c r="J68" s="3171"/>
      <c r="K68" s="2498" t="s">
        <v>2255</v>
      </c>
      <c r="L68" s="1748">
        <f ca="1">IF(M49&gt;10000,M49*0.5%,IF(AND(M49&gt;5000,M49&lt;=10000),M49*1%,IF(AND(M49&gt;1000,M49&lt;=5000),M49*2%,IF(AND(M49&gt;200,M49&lt;=1000),M49*3%,M49*5%))))</f>
        <v>64.89</v>
      </c>
      <c r="M68" s="23">
        <f ca="1">ROUND(L68,1)</f>
        <v>64.900000000000006</v>
      </c>
      <c r="Z68" s="2422"/>
      <c r="AI68" s="2423"/>
    </row>
    <row r="69" spans="1:35" s="2445" customFormat="1" ht="16.5" customHeight="1">
      <c r="A69" s="2499"/>
      <c r="B69" s="2500"/>
      <c r="C69" s="2501"/>
      <c r="D69" s="2502"/>
      <c r="E69" s="2503"/>
      <c r="F69" s="2165"/>
      <c r="G69" s="2165"/>
      <c r="H69" s="2164"/>
      <c r="I69" s="2417"/>
      <c r="J69" s="3171"/>
      <c r="K69" s="2498" t="s">
        <v>2256</v>
      </c>
      <c r="L69" s="2504"/>
      <c r="M69" s="23">
        <f ca="1">ROUND(SUM(M63:M68),0)</f>
        <v>216</v>
      </c>
      <c r="N69" s="1749">
        <f ca="1">M69/M49</f>
        <v>1.6643550624133148E-2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29" t="s">
        <v>2257</v>
      </c>
      <c r="B70" s="3130"/>
      <c r="C70" s="3130"/>
      <c r="D70" s="3130"/>
      <c r="E70" s="3130"/>
      <c r="F70" s="3130"/>
      <c r="G70" s="3130"/>
      <c r="H70" s="313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5" t="s">
        <v>2238</v>
      </c>
      <c r="B71" s="3106"/>
      <c r="C71" s="1800"/>
      <c r="D71" s="1800" t="s">
        <v>2239</v>
      </c>
      <c r="E71" s="212" t="s">
        <v>2240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2258</v>
      </c>
      <c r="C72" s="206">
        <f ca="1">ROUND(D45/(1+'数据-取费表'!C42),0)</f>
        <v>12360</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2259</v>
      </c>
      <c r="C73" s="206">
        <f ca="1">C74+C78</f>
        <v>74</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2260</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2261</v>
      </c>
      <c r="C75" s="217"/>
      <c r="D75" s="199" t="s">
        <v>32</v>
      </c>
      <c r="E75" s="218" t="s">
        <v>2262</v>
      </c>
      <c r="F75" s="2510" t="s">
        <v>2263</v>
      </c>
      <c r="G75" s="218" t="s">
        <v>2264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2265</v>
      </c>
      <c r="C76" s="199">
        <f>IF(F75="购房发票",ROUND(C75*H75*D76,0),0)</f>
        <v>0</v>
      </c>
      <c r="D76" s="221">
        <v>0.05</v>
      </c>
      <c r="E76" s="3100" t="s">
        <v>2266</v>
      </c>
      <c r="F76" s="3077"/>
      <c r="G76" s="3077"/>
      <c r="H76" s="312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2270</v>
      </c>
      <c r="C78" s="224">
        <f ca="1">ROUND(D45*D78/(1+'数据-取费表'!C42),0)</f>
        <v>74</v>
      </c>
      <c r="D78" s="225">
        <f>'数据-取费表'!B43</f>
        <v>6.000000000000001E-3</v>
      </c>
      <c r="E78" s="3086" t="s">
        <v>2271</v>
      </c>
      <c r="F78" s="3087"/>
      <c r="G78" s="3087"/>
      <c r="H78" s="309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2272</v>
      </c>
      <c r="C79" s="206">
        <f ca="1">C72-C73</f>
        <v>12286</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2273</v>
      </c>
      <c r="C80" s="226">
        <f ca="1">IF(C79&lt;=0,0,C79/C73)</f>
        <v>166.02702702702703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2274</v>
      </c>
      <c r="C81" s="227">
        <f ca="1">ROUND(IF(C79&lt;=0,0,IF(C80&gt;=200%,C79*60%-C73*35%,IF(C80&gt;=100%,C79*50%-C73*15%,IF(C80&gt;=50%,C79*40%-C73*5%,IF(C80&lt;50%,C79*30%,0))))),0)</f>
        <v>7346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9" t="s">
        <v>2275</v>
      </c>
      <c r="B83" s="3130"/>
      <c r="C83" s="3130"/>
      <c r="D83" s="3130"/>
      <c r="E83" s="3130"/>
      <c r="F83" s="3130"/>
      <c r="G83" s="3130"/>
      <c r="H83" s="313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5" t="s">
        <v>2238</v>
      </c>
      <c r="B84" s="3106"/>
      <c r="C84" s="1800"/>
      <c r="D84" s="1800" t="s">
        <v>2239</v>
      </c>
      <c r="E84" s="212" t="s">
        <v>2240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2258</v>
      </c>
      <c r="C85" s="206">
        <f ca="1">ROUND(D45/(1+'数据-取费表'!C42),0)</f>
        <v>12360</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2259</v>
      </c>
      <c r="C86" s="206">
        <f ca="1">IF(H88="仅含出让金",C87+C90+C91+C92+C93+C94,C87+C91+C92+C93+C94)</f>
        <v>2268.5868583013889</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2276</v>
      </c>
      <c r="C87" s="224">
        <f>C88+C89</f>
        <v>1202.5868583013889</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2277</v>
      </c>
      <c r="C88" s="235">
        <f>25207644/29475.73*面积表!F7/10000</f>
        <v>1166.5868583013889</v>
      </c>
      <c r="D88" s="225"/>
      <c r="E88" s="236" t="s">
        <v>2278</v>
      </c>
      <c r="F88" s="1796"/>
      <c r="G88" s="237" t="s">
        <v>2279</v>
      </c>
      <c r="H88" s="2516" t="s">
        <v>3113</v>
      </c>
      <c r="I88" s="2511"/>
      <c r="J88" s="2976"/>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2267</v>
      </c>
      <c r="C89" s="224">
        <f>ROUND(C88*D89,0)</f>
        <v>36</v>
      </c>
      <c r="D89" s="225">
        <f>'数据-取费表'!B48+'数据-取费表'!B49</f>
        <v>3.0499999999999999E-2</v>
      </c>
      <c r="E89" s="236"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2281</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2282</v>
      </c>
      <c r="B91" s="197" t="s">
        <v>2283</v>
      </c>
      <c r="C91" s="224">
        <f ca="1">IF(H91="——",成本法!C33,I91)</f>
        <v>485</v>
      </c>
      <c r="D91" s="225"/>
      <c r="E91" s="3086" t="s">
        <v>2284</v>
      </c>
      <c r="F91" s="3087"/>
      <c r="G91" s="308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2285</v>
      </c>
      <c r="B92" s="197" t="s">
        <v>2286</v>
      </c>
      <c r="C92" s="224">
        <f ca="1">ROUND((C87+C90+C91)*D92,0)</f>
        <v>169</v>
      </c>
      <c r="D92" s="225">
        <v>0.1</v>
      </c>
      <c r="E92" s="3086" t="s">
        <v>2287</v>
      </c>
      <c r="F92" s="3087"/>
      <c r="G92" s="3087"/>
      <c r="H92" s="309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2288</v>
      </c>
      <c r="B93" s="197" t="s">
        <v>2270</v>
      </c>
      <c r="C93" s="224">
        <f ca="1">ROUND(D45*D93/(1+'数据-取费表'!C42),0)</f>
        <v>74</v>
      </c>
      <c r="D93" s="225">
        <f>'数据-取费表'!B43</f>
        <v>6.000000000000001E-3</v>
      </c>
      <c r="E93" s="3086" t="s">
        <v>2271</v>
      </c>
      <c r="F93" s="3087"/>
      <c r="G93" s="3087"/>
      <c r="H93" s="309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2289</v>
      </c>
      <c r="B94" s="197" t="s">
        <v>2290</v>
      </c>
      <c r="C94" s="235">
        <f ca="1">ROUND((C87+C90+C91)*D94,0)</f>
        <v>338</v>
      </c>
      <c r="D94" s="225">
        <v>0.2</v>
      </c>
      <c r="E94" s="3097" t="s">
        <v>2291</v>
      </c>
      <c r="F94" s="3098"/>
      <c r="G94" s="3098"/>
      <c r="H94" s="309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2272</v>
      </c>
      <c r="C95" s="206">
        <f ca="1">ROUND(C85-C86,0)</f>
        <v>10091</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2273</v>
      </c>
      <c r="C96" s="226">
        <f ca="1">IF(C95&lt;=0,0,C95/C86)</f>
        <v>4.448143549396943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2274</v>
      </c>
      <c r="C97" s="227">
        <f ca="1">ROUND(IF(C95&lt;=0,0,IF(C96&gt;=200%,C95*60%-C86*35%,IF(C96&gt;=100%,C95*50%-C86*15%,IF(C96&gt;=50%,C95*40%-C86*5%,IF(C96&lt;50%,C95*30%,0))))),0)</f>
        <v>5261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2292</v>
      </c>
      <c r="B99" s="2417"/>
      <c r="C99" s="2417"/>
      <c r="D99" s="2417"/>
      <c r="E99" s="2165"/>
      <c r="F99" s="2165"/>
      <c r="G99" s="2165"/>
      <c r="H99" s="2164"/>
      <c r="I99" s="137"/>
    </row>
    <row r="100" spans="1:35" ht="18.75" customHeight="1">
      <c r="A100" s="3071" t="s">
        <v>2293</v>
      </c>
      <c r="B100" s="3072"/>
      <c r="C100" s="3072"/>
      <c r="D100" s="3088"/>
      <c r="E100" s="3072" t="s">
        <v>2294</v>
      </c>
      <c r="F100" s="3072"/>
      <c r="G100" s="3072"/>
      <c r="H100" s="3088"/>
      <c r="I100" s="137"/>
    </row>
    <row r="101" spans="1:35" ht="18.75" customHeight="1">
      <c r="A101" s="3154" t="s">
        <v>2295</v>
      </c>
      <c r="B101" s="3155"/>
      <c r="C101" s="735" t="str">
        <f>C4</f>
        <v>成本法</v>
      </c>
      <c r="D101" s="736" t="str">
        <f>D4</f>
        <v>假设开发法</v>
      </c>
      <c r="E101" s="3168" t="s">
        <v>2296</v>
      </c>
      <c r="F101" s="3121"/>
      <c r="G101" s="2519" t="s">
        <v>2297</v>
      </c>
      <c r="H101" s="1044">
        <f ca="1">H118</f>
        <v>12978</v>
      </c>
      <c r="I101" s="137"/>
    </row>
    <row r="102" spans="1:35" ht="18.75" customHeight="1">
      <c r="A102" s="3123" t="s">
        <v>2298</v>
      </c>
      <c r="B102" s="2519" t="s">
        <v>2297</v>
      </c>
      <c r="C102" s="735">
        <f ca="1">C19</f>
        <v>7462</v>
      </c>
      <c r="D102" s="736">
        <f ca="1">D19</f>
        <v>21253</v>
      </c>
      <c r="E102" s="3168"/>
      <c r="F102" s="3121"/>
      <c r="G102" s="2519" t="s">
        <v>2299</v>
      </c>
      <c r="H102" s="370">
        <f ca="1">I118</f>
        <v>11016</v>
      </c>
      <c r="I102" s="137"/>
    </row>
    <row r="103" spans="1:35" ht="42.75" customHeight="1">
      <c r="A103" s="3123"/>
      <c r="B103" s="2519" t="s">
        <v>2299</v>
      </c>
      <c r="C103" s="737">
        <f ca="1">C20</f>
        <v>6334</v>
      </c>
      <c r="D103" s="738">
        <f ca="1">D20</f>
        <v>18040</v>
      </c>
      <c r="E103" s="3163" t="s">
        <v>2300</v>
      </c>
      <c r="F103" s="3164"/>
      <c r="G103" s="2520" t="s">
        <v>2301</v>
      </c>
      <c r="H103" s="1044">
        <f>IF(D36="正常操作",H104+H105+H106,H105+H106)</f>
        <v>0</v>
      </c>
      <c r="I103" s="137"/>
    </row>
    <row r="104" spans="1:35" ht="18.75" customHeight="1">
      <c r="A104" s="3123" t="s">
        <v>2302</v>
      </c>
      <c r="B104" s="2521" t="s">
        <v>2297</v>
      </c>
      <c r="C104" s="739">
        <f ca="1">H118</f>
        <v>12978</v>
      </c>
      <c r="D104" s="740"/>
      <c r="E104" s="2266" t="s">
        <v>2303</v>
      </c>
      <c r="F104" s="2257"/>
      <c r="G104" s="2520" t="s">
        <v>2301</v>
      </c>
      <c r="H104" s="1045">
        <f>IF(D36="同一抵押权人同一抵押物续贷",C36&amp;"（未扣减，详见特别提示）",C36)</f>
        <v>0</v>
      </c>
      <c r="I104" s="137"/>
    </row>
    <row r="105" spans="1:35" ht="18.75" customHeight="1" thickBot="1">
      <c r="A105" s="3124"/>
      <c r="B105" s="2522" t="s">
        <v>2299</v>
      </c>
      <c r="C105" s="741">
        <f ca="1">I118</f>
        <v>11016</v>
      </c>
      <c r="D105" s="742"/>
      <c r="E105" s="2266" t="s">
        <v>2304</v>
      </c>
      <c r="F105" s="2257"/>
      <c r="G105" s="2520" t="s">
        <v>2301</v>
      </c>
      <c r="H105" s="1045">
        <f>C37</f>
        <v>0</v>
      </c>
      <c r="I105" s="137"/>
    </row>
    <row r="106" spans="1:35" ht="18.75" customHeight="1">
      <c r="A106" s="2417" t="s">
        <v>2305</v>
      </c>
      <c r="B106" s="2417"/>
      <c r="C106" s="2417"/>
      <c r="D106" s="2417"/>
      <c r="E106" s="2523" t="s">
        <v>2306</v>
      </c>
      <c r="F106" s="2257"/>
      <c r="G106" s="2520" t="s">
        <v>2301</v>
      </c>
      <c r="H106" s="1045">
        <f>C38</f>
        <v>0</v>
      </c>
      <c r="I106" s="137"/>
    </row>
    <row r="107" spans="1:35" ht="18.75" customHeight="1">
      <c r="A107" s="137"/>
      <c r="B107" s="137"/>
      <c r="C107" s="137"/>
      <c r="D107" s="137"/>
      <c r="E107" s="3120" t="str">
        <f>IF(项目基本情况!E8="已注销","——","3.房地产抵押价值")</f>
        <v>3.房地产抵押价值</v>
      </c>
      <c r="F107" s="3121"/>
      <c r="G107" s="2519" t="s">
        <v>2297</v>
      </c>
      <c r="H107" s="1044">
        <f ca="1">IF(E107="——","——",H101-H103)</f>
        <v>12978</v>
      </c>
      <c r="I107" s="137"/>
    </row>
    <row r="108" spans="1:35" ht="18.75" customHeight="1">
      <c r="A108" s="137"/>
      <c r="B108" s="137"/>
      <c r="C108" s="137"/>
      <c r="D108" s="137"/>
      <c r="E108" s="3120"/>
      <c r="F108" s="3121"/>
      <c r="G108" s="2519" t="s">
        <v>2299</v>
      </c>
      <c r="H108" s="370">
        <f ca="1">ROUND(H107*10000/'数据-汇总表'!E3,0)</f>
        <v>11016</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v>
      </c>
      <c r="F109" s="3121"/>
      <c r="G109" s="2519" t="s">
        <v>2297</v>
      </c>
      <c r="H109" s="347" t="str">
        <f>IF(E109="——","——",H101-H105-H106)</f>
        <v>——</v>
      </c>
      <c r="I109" s="137"/>
    </row>
    <row r="110" spans="1:35" ht="18.75" customHeight="1">
      <c r="A110" s="137"/>
      <c r="B110" s="137"/>
      <c r="C110" s="137"/>
      <c r="D110" s="137"/>
      <c r="E110" s="3120"/>
      <c r="F110" s="3121"/>
      <c r="G110" s="2519" t="s">
        <v>2299</v>
      </c>
      <c r="H110" s="370" t="str">
        <f>IF(H109="——","——",ROUND(H109*10000/'数据-汇总表'!E3,0))</f>
        <v>——</v>
      </c>
      <c r="I110" s="137"/>
    </row>
    <row r="111" spans="1:35" ht="18.75" customHeight="1">
      <c r="A111" s="137"/>
      <c r="B111" s="137"/>
      <c r="C111" s="137"/>
      <c r="D111" s="137"/>
      <c r="E111" s="3156" t="str">
        <f>IF(项目基本情况!E9="抵押净值",IF(OR(项目基本情况!E8="已注销",项目基本情况!E8="房地产抵押价值"),"4.抵押净值","5.抵押净值"),"——")</f>
        <v>——</v>
      </c>
      <c r="F111" s="3157"/>
      <c r="G111" s="2519" t="s">
        <v>2297</v>
      </c>
      <c r="H111" s="1044" t="str">
        <f>IF(E111="——","——",N59)</f>
        <v>——</v>
      </c>
      <c r="I111" s="137"/>
    </row>
    <row r="112" spans="1:35" ht="18.75" customHeight="1" thickBot="1">
      <c r="A112" s="137"/>
      <c r="B112" s="137"/>
      <c r="C112" s="137"/>
      <c r="D112" s="137"/>
      <c r="E112" s="3158"/>
      <c r="F112" s="3159"/>
      <c r="G112" s="2524" t="s">
        <v>2299</v>
      </c>
      <c r="H112" s="789" t="str">
        <f>IF(E111="——","——",N61)</f>
        <v>——</v>
      </c>
      <c r="I112" s="137"/>
    </row>
    <row r="113" spans="1:11" ht="18.75" customHeight="1">
      <c r="A113" s="137"/>
      <c r="B113" s="137"/>
      <c r="C113" s="137"/>
      <c r="D113" s="137"/>
      <c r="E113" s="3125" t="s">
        <v>2305</v>
      </c>
      <c r="F113" s="3125"/>
      <c r="G113" s="3125"/>
      <c r="H113" s="3125"/>
      <c r="I113" s="137"/>
    </row>
    <row r="114" spans="1:11" ht="3.75" customHeight="1">
      <c r="A114" s="2417"/>
      <c r="B114" s="2417"/>
      <c r="C114" s="2417"/>
      <c r="D114" s="2417"/>
      <c r="E114" s="2495"/>
      <c r="F114" s="2495"/>
      <c r="G114" s="2495"/>
      <c r="H114" s="2495"/>
      <c r="I114" s="2417"/>
    </row>
    <row r="115" spans="1:11" ht="18.75" customHeight="1">
      <c r="A115" s="3138" t="s">
        <v>2307</v>
      </c>
      <c r="B115" s="3139"/>
      <c r="C115" s="3139"/>
      <c r="D115" s="3139"/>
      <c r="E115" s="3139"/>
      <c r="F115" s="3139"/>
      <c r="G115" s="3139"/>
      <c r="H115" s="3139"/>
      <c r="I115" s="3140"/>
    </row>
    <row r="116" spans="1:11" ht="27" customHeight="1">
      <c r="A116" s="3024" t="s">
        <v>2308</v>
      </c>
      <c r="B116" s="3126" t="s">
        <v>2309</v>
      </c>
      <c r="C116" s="3126" t="s">
        <v>2310</v>
      </c>
      <c r="D116" s="3143" t="s">
        <v>2311</v>
      </c>
      <c r="E116" s="3144"/>
      <c r="F116" s="3134" t="s">
        <v>2312</v>
      </c>
      <c r="G116" s="3134"/>
      <c r="H116" s="3024" t="s">
        <v>2313</v>
      </c>
      <c r="I116" s="3024"/>
    </row>
    <row r="117" spans="1:11" ht="18.75" customHeight="1">
      <c r="A117" s="3024"/>
      <c r="B117" s="3127"/>
      <c r="C117" s="3127"/>
      <c r="D117" s="1794" t="s">
        <v>2314</v>
      </c>
      <c r="E117" s="1794" t="s">
        <v>2315</v>
      </c>
      <c r="F117" s="1794" t="s">
        <v>2314</v>
      </c>
      <c r="G117" s="1794" t="s">
        <v>2316</v>
      </c>
      <c r="H117" s="1794" t="s">
        <v>2314</v>
      </c>
      <c r="I117" s="1794" t="s">
        <v>2316</v>
      </c>
    </row>
    <row r="118" spans="1:11" ht="24.75" customHeight="1">
      <c r="A118" s="2525" t="str">
        <f>项目基本情况!S2</f>
        <v>出让国有建设用地使用权及在建建筑物房地产</v>
      </c>
      <c r="B118" s="1794">
        <f>M18</f>
        <v>11781</v>
      </c>
      <c r="C118" s="1794">
        <f>M19</f>
        <v>13641.1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12978</v>
      </c>
      <c r="I118" s="1794">
        <f ca="1">ROUND(IF(D32="楼面单价",C32,H118*10000/B118),0)</f>
        <v>11016</v>
      </c>
    </row>
    <row r="119" spans="1:11" ht="18.75" customHeight="1">
      <c r="A119" s="3024" t="s">
        <v>2317</v>
      </c>
      <c r="B119" s="3024"/>
      <c r="C119" s="3024"/>
      <c r="D119" s="3131" t="e">
        <f ca="1">NUMBERSTRING(INT(D118*10000),2)&amp;"元整"</f>
        <v>#REF!</v>
      </c>
      <c r="E119" s="3133"/>
      <c r="F119" s="3131" t="e">
        <f ca="1">NUMBERSTRING(INT(F118*10000),2)&amp;"元整"</f>
        <v>#REF!</v>
      </c>
      <c r="G119" s="3133"/>
      <c r="H119" s="3131" t="str">
        <f ca="1">NUMBERSTRING(INT(H118*10000),2)&amp;"元整"</f>
        <v>壹亿贰仟玖佰柒拾捌万元整</v>
      </c>
      <c r="I119" s="3133"/>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2" t="str">
        <f>IF(D120=0,"故，本次评估不存在"&amp;A120,"故，本次评估"&amp;A120&amp;"为人民币"&amp;D120&amp;"万元整。")</f>
        <v>故，本次评估不存在估价师知悉的法定优先受偿款</v>
      </c>
    </row>
    <row r="121" spans="1:11" ht="18.75" customHeight="1">
      <c r="A121" s="3135" t="s">
        <v>2317</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60">
        <f ca="1">H107</f>
        <v>12978</v>
      </c>
      <c r="E122" s="3161"/>
      <c r="F122" s="3161"/>
      <c r="G122" s="3161"/>
      <c r="H122" s="3161"/>
      <c r="I122" s="3162"/>
    </row>
    <row r="123" spans="1:11" ht="18.75" customHeight="1">
      <c r="A123" s="3024" t="s">
        <v>2317</v>
      </c>
      <c r="B123" s="3024"/>
      <c r="C123" s="3024"/>
      <c r="D123" s="3131" t="str">
        <f ca="1">NUMBERSTRING(INT(D122*10000),2)&amp;"元整"</f>
        <v>壹亿贰仟玖佰柒拾捌万元整</v>
      </c>
      <c r="E123" s="3132"/>
      <c r="F123" s="3132"/>
      <c r="G123" s="3132"/>
      <c r="H123" s="3132"/>
      <c r="I123" s="3133"/>
    </row>
    <row r="124" spans="1:11" ht="18.75" customHeight="1">
      <c r="A124" s="3122" t="str">
        <f>IF(项目基本情况!B9="房地产市场价值","",MID(E109,3,LEN(E109)-2))</f>
        <v/>
      </c>
      <c r="B124" s="3122"/>
      <c r="C124" s="3122"/>
      <c r="D124" s="3160" t="str">
        <f>H109</f>
        <v>——</v>
      </c>
      <c r="E124" s="3161"/>
      <c r="F124" s="3161"/>
      <c r="G124" s="3161"/>
      <c r="H124" s="3161"/>
      <c r="I124" s="3162"/>
    </row>
    <row r="125" spans="1:11" ht="18.75" customHeight="1">
      <c r="A125" s="3024" t="s">
        <v>2317</v>
      </c>
      <c r="B125" s="3024"/>
      <c r="C125" s="3024"/>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60" t="str">
        <f>H111</f>
        <v>——</v>
      </c>
      <c r="E126" s="3161"/>
      <c r="F126" s="3161"/>
      <c r="G126" s="3161"/>
      <c r="H126" s="3161"/>
      <c r="I126" s="3162"/>
    </row>
    <row r="127" spans="1:11" ht="18.75" customHeight="1">
      <c r="A127" s="3024" t="s">
        <v>2317</v>
      </c>
      <c r="B127" s="3024"/>
      <c r="C127" s="3024"/>
      <c r="D127" s="3131" t="e">
        <f>NUMBERSTRING(INT(D126*10000),2)&amp;"元整"</f>
        <v>#VALUE!</v>
      </c>
      <c r="E127" s="3132"/>
      <c r="F127" s="3132"/>
      <c r="G127" s="3132"/>
      <c r="H127" s="3132"/>
      <c r="I127" s="3133"/>
    </row>
    <row r="128" spans="1:11" ht="21.75" customHeight="1">
      <c r="A128" s="3142" t="s">
        <v>2318</v>
      </c>
      <c r="B128" s="3142"/>
      <c r="C128" s="3142"/>
      <c r="D128" s="3142"/>
      <c r="E128" s="3142"/>
      <c r="F128" s="3142"/>
      <c r="G128" s="3142"/>
      <c r="H128" s="3142"/>
      <c r="I128" s="3142"/>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出让国有建设用地使用权及在建建筑物房地产抵押价值预评估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3" workbookViewId="0">
      <selection activeCell="G80" sqref="G8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8">
        <f>MATCH(B1,'数据-取费表'!A6:A16,0)+5</f>
        <v>8</v>
      </c>
    </row>
    <row r="2" spans="1:9" s="243" customFormat="1" ht="18" customHeight="1">
      <c r="A2" s="244" t="s">
        <v>2327</v>
      </c>
      <c r="B2" s="245">
        <f ca="1">IF(D2="——",C52,C52-E2)</f>
        <v>7462</v>
      </c>
      <c r="C2" s="242" t="s">
        <v>2328</v>
      </c>
      <c r="D2" s="2548" t="s">
        <v>70</v>
      </c>
      <c r="E2" s="1439" t="e">
        <f ca="1">SUMIF(INDIRECT("'"&amp;G2&amp;"'"&amp;"!A:A"),"承租人权益价值",INDIRECT("'"&amp;G2&amp;"'"&amp;"!c:c"))</f>
        <v>#REF!</v>
      </c>
      <c r="F2" s="2549" t="s">
        <v>2328</v>
      </c>
      <c r="G2" s="2550"/>
    </row>
    <row r="3" spans="1:9" s="243" customFormat="1" ht="18" customHeight="1" thickBot="1">
      <c r="A3" s="246" t="s">
        <v>2329</v>
      </c>
      <c r="B3" s="247">
        <f ca="1">ROUND(B2*10000/(IF(B1="",'数据-汇总表'!E3,INDIRECT("'数据-取费表'!k"&amp;$G$1))),0)</f>
        <v>6334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5726.3521089999995</v>
      </c>
      <c r="D5" s="254" t="s">
        <v>2334</v>
      </c>
      <c r="E5" s="255" t="s">
        <v>2335</v>
      </c>
      <c r="F5" s="255" t="s">
        <v>2336</v>
      </c>
      <c r="G5" s="256"/>
    </row>
    <row r="6" spans="1:9" s="257" customFormat="1" ht="13.5" customHeight="1">
      <c r="A6" s="948" t="s">
        <v>2337</v>
      </c>
      <c r="B6" s="258" t="s">
        <v>2338</v>
      </c>
      <c r="C6" s="259">
        <f>'[3]比较法-住宅、综合'!$C$50*'数据-汇总表'!F27/10000</f>
        <v>5305.3521089999995</v>
      </c>
      <c r="D6" s="260"/>
      <c r="E6" s="261"/>
      <c r="F6" s="261"/>
      <c r="G6" s="262"/>
    </row>
    <row r="7" spans="1:9" s="257" customFormat="1" ht="13.5" customHeight="1">
      <c r="A7" s="948" t="s">
        <v>2339</v>
      </c>
      <c r="B7" s="258" t="s">
        <v>2340</v>
      </c>
      <c r="C7" s="263">
        <f>ROUND(C6*F7,0)</f>
        <v>162</v>
      </c>
      <c r="D7" s="263"/>
      <c r="E7" s="261"/>
      <c r="F7" s="264">
        <f>IF(项目基本情况!B8="出让",0,'数据-取费表'!B48+'数据-取费表'!B49)</f>
        <v>3.0499999999999999E-2</v>
      </c>
      <c r="G7" s="262"/>
    </row>
    <row r="8" spans="1:9" s="266" customFormat="1">
      <c r="A8" s="948" t="s">
        <v>2341</v>
      </c>
      <c r="B8" s="258" t="s">
        <v>2342</v>
      </c>
      <c r="C8" s="263">
        <f>IF(G8="已包含在土地购买价格中","0",IF(B1="",'数据-取费表'!B29,IF(G9="全部缴纳",C9+C10,H9)))</f>
        <v>259</v>
      </c>
      <c r="D8" s="265"/>
      <c r="E8" s="263"/>
      <c r="F8" s="264"/>
      <c r="G8" s="2551" t="s">
        <v>3088</v>
      </c>
    </row>
    <row r="9" spans="1:9" s="257" customFormat="1" ht="13.5" customHeight="1">
      <c r="A9" s="949" t="s">
        <v>800</v>
      </c>
      <c r="B9" s="267" t="s">
        <v>2343</v>
      </c>
      <c r="C9" s="268">
        <f ca="1">ROUND(D9*E9/10000,0)</f>
        <v>233</v>
      </c>
      <c r="D9" s="1031">
        <f ca="1">IF(B1="",'数据-汇总表'!E5,IF(INDIRECT("'数据-取费表'!c"&amp;$G$1)="住宅",INDIRECT("'数据-取费表'!k"&amp;$G$1),0))</f>
        <v>10595.869999999999</v>
      </c>
      <c r="E9" s="268">
        <f>'数据-取费表'!B27</f>
        <v>220</v>
      </c>
      <c r="F9" s="264"/>
      <c r="G9" s="2552" t="s">
        <v>3132</v>
      </c>
      <c r="H9" s="1389"/>
      <c r="I9" s="2553" t="s">
        <v>2344</v>
      </c>
    </row>
    <row r="10" spans="1:9" s="257" customFormat="1" ht="13.5" customHeight="1">
      <c r="A10" s="949" t="s">
        <v>801</v>
      </c>
      <c r="B10" s="267" t="s">
        <v>2345</v>
      </c>
      <c r="C10" s="268">
        <f ca="1">ROUND(D10*E10/10000,0)</f>
        <v>26</v>
      </c>
      <c r="D10" s="1031">
        <f ca="1">IF(B1="",'数据-汇总表'!E6,IF(INDIRECT("'数据-取费表'!c"&amp;$G$1)="住宅",INDIRECT("'数据-取费表'!s"&amp;$G$1),INDIRECT("'数据-取费表'!k"&amp;$G$1)+INDIRECT("'数据-取费表'!s"&amp;$G$1)))</f>
        <v>1185.130000000001</v>
      </c>
      <c r="E10" s="268">
        <f>'数据-取费表'!B28</f>
        <v>220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11781</v>
      </c>
      <c r="E19" s="254">
        <f>'数据-取费表'!B31</f>
        <v>100</v>
      </c>
      <c r="F19" s="274"/>
      <c r="G19" s="2551" t="s">
        <v>3089</v>
      </c>
    </row>
    <row r="20" spans="1:7" s="257" customFormat="1" ht="13.5" customHeight="1">
      <c r="A20" s="298" t="s">
        <v>2358</v>
      </c>
      <c r="B20" s="253" t="s">
        <v>2359</v>
      </c>
      <c r="C20" s="275">
        <f>ROUND((C5+C19)*F20,0)</f>
        <v>115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54</v>
      </c>
      <c r="D22" s="278">
        <f ca="1">C26</f>
        <v>1E-4</v>
      </c>
      <c r="E22" s="279" t="s">
        <v>2363</v>
      </c>
      <c r="F22" s="280">
        <f ca="1">'数据-取费表'!B40</f>
        <v>4.7500000000000001E-2</v>
      </c>
      <c r="G22" s="277" t="str">
        <f>IF('数据-取费表'!B22&lt;=1,"单利计息","复利计息")</f>
        <v>复利计息</v>
      </c>
    </row>
    <row r="23" spans="1:7" s="257" customFormat="1" ht="13.5" customHeight="1">
      <c r="A23" s="950" t="s">
        <v>2367</v>
      </c>
      <c r="B23" s="258" t="s">
        <v>2368</v>
      </c>
      <c r="C23" s="1354">
        <f ca="1">ROUND(IF('数据-取费表'!B22&lt;=1,C5*F22*'数据-取费表'!B23,C5*(POWER((1+F22),'数据-取费表'!B23)-1)),0)</f>
        <v>53</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1</v>
      </c>
      <c r="D25" s="281"/>
      <c r="E25" s="284"/>
      <c r="F25" s="282"/>
      <c r="G25" s="285" t="s">
        <v>2375</v>
      </c>
    </row>
    <row r="26" spans="1:7" s="257" customFormat="1">
      <c r="A26" s="950" t="s">
        <v>795</v>
      </c>
      <c r="B26" s="258" t="s">
        <v>2376</v>
      </c>
      <c r="C26" s="281">
        <f ca="1">ROUND(IF('数据-取费表'!B22&lt;=1,F21*F22*'数据-取费表'!B23/2,F21*(POWER((1+F22),'数据-取费表'!B23/2)-1)),4)</f>
        <v>1E-4</v>
      </c>
      <c r="D26" s="281"/>
      <c r="E26" s="284"/>
      <c r="F26" s="282"/>
      <c r="G26" s="286"/>
    </row>
    <row r="27" spans="1:7" s="257" customFormat="1" ht="24.75">
      <c r="A27" s="298" t="s">
        <v>2377</v>
      </c>
      <c r="B27" s="287" t="s">
        <v>2378</v>
      </c>
      <c r="C27" s="288">
        <f ca="1">C28</f>
        <v>275</v>
      </c>
      <c r="D27" s="278">
        <f ca="1">C29</f>
        <v>8.9999999999999998E-4</v>
      </c>
      <c r="E27" s="279" t="s">
        <v>2379</v>
      </c>
      <c r="F27" s="289">
        <f ca="1">IF(B1="",'数据-取费表'!Q16,INDIRECT("'数据-取费表'!q"&amp;$G$1))</f>
        <v>0.47</v>
      </c>
      <c r="G27" s="290" t="s">
        <v>2380</v>
      </c>
    </row>
    <row r="28" spans="1:7" s="257" customFormat="1" ht="13.5" customHeight="1">
      <c r="A28" s="950" t="s">
        <v>791</v>
      </c>
      <c r="B28" s="291" t="s">
        <v>2381</v>
      </c>
      <c r="C28" s="292">
        <f ca="1">ROUND((C5+C19+C20)*F27*'数据-取费表'!B21/'数据-取费表'!B20,0)</f>
        <v>275</v>
      </c>
      <c r="D28" s="278"/>
      <c r="E28" s="279"/>
      <c r="F28" s="289"/>
      <c r="G28" s="290"/>
    </row>
    <row r="29" spans="1:7" s="257" customFormat="1" ht="13.5" customHeight="1">
      <c r="A29" s="950" t="s">
        <v>792</v>
      </c>
      <c r="B29" s="291" t="s">
        <v>2382</v>
      </c>
      <c r="C29" s="281">
        <f ca="1">ROUND(C21*F27*'数据-取费表'!B21/'数据-取费表'!B20,4)</f>
        <v>8.9999999999999998E-4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6666</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485</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414</v>
      </c>
      <c r="D34" s="260"/>
      <c r="E34" s="263"/>
      <c r="F34" s="300">
        <f ca="1">IF('数据-取费表'!B24=0,1,IF(B1="",'数据-取费表'!N16,INDIRECT("'数据-取费表'!n"&amp;$G$1)))</f>
        <v>0.113</v>
      </c>
      <c r="G34" s="262" t="s">
        <v>2391</v>
      </c>
    </row>
    <row r="35" spans="1:7" ht="13.5" customHeight="1">
      <c r="A35" s="950" t="s">
        <v>796</v>
      </c>
      <c r="B35" s="258" t="s">
        <v>2392</v>
      </c>
      <c r="C35" s="263">
        <f ca="1">ROUND(C34*F35,0)</f>
        <v>17</v>
      </c>
      <c r="D35" s="263"/>
      <c r="E35" s="263"/>
      <c r="F35" s="302">
        <f>'数据-取费表'!B33</f>
        <v>0.04</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21</v>
      </c>
      <c r="D36" s="263"/>
      <c r="E36" s="263"/>
      <c r="F36" s="302">
        <f>'数据-取费表'!B34</f>
        <v>0.05</v>
      </c>
      <c r="G36" s="303" t="s">
        <v>2395</v>
      </c>
    </row>
    <row r="37" spans="1:7" s="301" customFormat="1" ht="13.5" customHeight="1">
      <c r="A37" s="950" t="s">
        <v>798</v>
      </c>
      <c r="B37" s="258" t="s">
        <v>2396</v>
      </c>
      <c r="C37" s="292">
        <f ca="1">ROUND(E37*D37*F34/10000,0)</f>
        <v>27</v>
      </c>
      <c r="D37" s="260">
        <f ca="1">D19</f>
        <v>11781</v>
      </c>
      <c r="E37" s="292">
        <f>'数据-取费表'!B35</f>
        <v>200</v>
      </c>
      <c r="F37" s="302"/>
      <c r="G37" s="304" t="s">
        <v>2397</v>
      </c>
    </row>
    <row r="38" spans="1:7" ht="13.5" customHeight="1">
      <c r="A38" s="950" t="s">
        <v>799</v>
      </c>
      <c r="B38" s="258" t="s">
        <v>2398</v>
      </c>
      <c r="C38" s="263">
        <f ca="1">ROUND(C34*F38,0)</f>
        <v>6</v>
      </c>
      <c r="D38" s="263"/>
      <c r="E38" s="263"/>
      <c r="F38" s="302">
        <f>'数据-取费表'!B36</f>
        <v>1.4999999999999999E-2</v>
      </c>
      <c r="G38" s="262" t="s">
        <v>2393</v>
      </c>
    </row>
    <row r="39" spans="1:7" s="257" customFormat="1" ht="13.5" customHeight="1">
      <c r="A39" s="298" t="s">
        <v>2399</v>
      </c>
      <c r="B39" s="253" t="s">
        <v>2400</v>
      </c>
      <c r="C39" s="275">
        <f ca="1">ROUND(C33*F20,0)</f>
        <v>10</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2</v>
      </c>
      <c r="D41" s="278">
        <f ca="1">C44</f>
        <v>1E-4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ROUND(IF('数据-取费表'!B22&lt;=1,C33*F22*'数据-取费表'!B21/2,C33*(POWER((1+F22),'数据-取费表'!B21/2)-1)),0)</f>
        <v>2</v>
      </c>
      <c r="D42" s="281"/>
      <c r="E42" s="281"/>
      <c r="F42" s="282"/>
      <c r="G42" s="3174" t="s">
        <v>2409</v>
      </c>
    </row>
    <row r="43" spans="1:7" ht="13.5" customHeight="1">
      <c r="A43" s="950" t="s">
        <v>792</v>
      </c>
      <c r="B43" s="258" t="s">
        <v>2410</v>
      </c>
      <c r="C43" s="281">
        <f ca="1">ROUND(IF('数据-取费表'!B22&lt;=1,C39*F22*'数据-取费表'!B21/2,C39*(POWER((1+F22),'数据-取费表'!B21/2)-1)),0)</f>
        <v>0</v>
      </c>
      <c r="D43" s="281"/>
      <c r="E43" s="281"/>
      <c r="F43" s="282"/>
      <c r="G43" s="3175"/>
    </row>
    <row r="44" spans="1:7" ht="13.5" customHeight="1">
      <c r="A44" s="950" t="s">
        <v>793</v>
      </c>
      <c r="B44" s="258" t="s">
        <v>2411</v>
      </c>
      <c r="C44" s="281">
        <f ca="1">ROUND(IF('数据-取费表'!B22&lt;=1,C40*F22*'数据-取费表'!B21/2,C40*(POWER((1+F22),'数据-取费表'!B21/2)-1)),4)</f>
        <v>1E-4</v>
      </c>
      <c r="D44" s="281"/>
      <c r="E44" s="281"/>
      <c r="F44" s="282"/>
      <c r="G44" s="3176"/>
    </row>
    <row r="45" spans="1:7" s="257" customFormat="1" ht="13.5" customHeight="1">
      <c r="A45" s="298" t="s">
        <v>2412</v>
      </c>
      <c r="B45" s="287" t="s">
        <v>2378</v>
      </c>
      <c r="C45" s="288">
        <f ca="1">C46</f>
        <v>233</v>
      </c>
      <c r="D45" s="278">
        <f ca="1">C47</f>
        <v>9.4000000000000004E-3</v>
      </c>
      <c r="E45" s="279" t="s">
        <v>2404</v>
      </c>
      <c r="F45" s="289"/>
      <c r="G45" s="290" t="s">
        <v>2413</v>
      </c>
    </row>
    <row r="46" spans="1:7" s="257" customFormat="1" ht="13.5" customHeight="1">
      <c r="A46" s="950" t="s">
        <v>791</v>
      </c>
      <c r="B46" s="291" t="s">
        <v>2414</v>
      </c>
      <c r="C46" s="292">
        <f ca="1">ROUND((C33+C39)*F27,0)</f>
        <v>233</v>
      </c>
      <c r="D46" s="306"/>
      <c r="E46" s="279"/>
      <c r="F46" s="289"/>
      <c r="G46" s="290"/>
    </row>
    <row r="47" spans="1:7" s="257" customFormat="1" ht="13.5" customHeight="1">
      <c r="A47" s="950" t="s">
        <v>792</v>
      </c>
      <c r="B47" s="291" t="s">
        <v>2415</v>
      </c>
      <c r="C47" s="281">
        <f ca="1">ROUND(C40*F27,4)</f>
        <v>9.4000000000000004E-3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796</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796</v>
      </c>
      <c r="D51" s="275"/>
      <c r="E51" s="275"/>
      <c r="F51" s="307"/>
      <c r="G51" s="277" t="s">
        <v>2425</v>
      </c>
    </row>
    <row r="52" spans="1:7" s="251" customFormat="1" ht="16.5" thickBot="1">
      <c r="A52" s="308" t="s">
        <v>2426</v>
      </c>
      <c r="B52" s="309"/>
      <c r="C52" s="310">
        <f ca="1">C31+C51</f>
        <v>7462</v>
      </c>
      <c r="D52" s="309"/>
      <c r="E52" s="309"/>
      <c r="F52" s="309"/>
      <c r="G52" s="311"/>
    </row>
    <row r="55" spans="1:7" ht="15">
      <c r="B55" s="313" t="s">
        <v>2427</v>
      </c>
      <c r="C55" s="314"/>
    </row>
    <row r="56" spans="1:7">
      <c r="B56" s="316" t="s">
        <v>1508</v>
      </c>
      <c r="C56" s="318">
        <f ca="1">1-C57</f>
        <v>0.89300000000000002</v>
      </c>
    </row>
    <row r="57" spans="1:7">
      <c r="B57" s="316" t="s">
        <v>1509</v>
      </c>
      <c r="C57" s="317">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4" t="s">
        <v>2428</v>
      </c>
      <c r="D1" s="241"/>
      <c r="E1" s="241"/>
      <c r="F1" s="241"/>
      <c r="G1" s="1378">
        <f>MATCH(B1,'数据-取费表'!A6:A16,0)+5</f>
        <v>8</v>
      </c>
      <c r="H1" s="1281" t="str">
        <f>IF(ISERROR(FIND("住宅",B1)),"非住宅","住宅")</f>
        <v>非住宅</v>
      </c>
    </row>
    <row r="2" spans="1:8" s="243" customFormat="1" ht="18" customHeight="1">
      <c r="A2" s="244" t="s">
        <v>2327</v>
      </c>
      <c r="B2" s="245">
        <f ca="1">ROUND(IF(D2="——",C52/10000,C52/10000-E2),0)</f>
        <v>7860</v>
      </c>
      <c r="C2" s="242" t="s">
        <v>2328</v>
      </c>
      <c r="D2" s="2548" t="s">
        <v>70</v>
      </c>
      <c r="E2" s="1439" t="e">
        <f ca="1">SUMIF(INDIRECT("'"&amp;G2&amp;"'"&amp;"!A:A"),"承租人权益价值",INDIRECT("'"&amp;G2&amp;"'"&amp;"!c:c"))</f>
        <v>#REF!</v>
      </c>
      <c r="F2" s="2549" t="s">
        <v>2328</v>
      </c>
      <c r="G2" s="2550"/>
    </row>
    <row r="3" spans="1:8" s="243" customFormat="1" ht="18" customHeight="1" thickBot="1">
      <c r="A3" s="246" t="s">
        <v>2329</v>
      </c>
      <c r="B3" s="247">
        <f ca="1">ROUND(B2*10000/(IF(B1="",'数据-汇总表'!E3,INDIRECT("'数据-取费表'!k"&amp;$G$1))),0)</f>
        <v>6672</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2591820</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2591820</v>
      </c>
      <c r="D8" s="265"/>
      <c r="E8" s="263"/>
      <c r="F8" s="264"/>
      <c r="G8" s="2551"/>
    </row>
    <row r="9" spans="1:8" s="257" customFormat="1" ht="13.5" customHeight="1">
      <c r="A9" s="949" t="s">
        <v>800</v>
      </c>
      <c r="B9" s="267" t="s">
        <v>2343</v>
      </c>
      <c r="C9" s="268">
        <f ca="1">ROUND(D9*E9,0)</f>
        <v>2331091</v>
      </c>
      <c r="D9" s="1031">
        <f ca="1">IF(B1="",'数据-汇总表'!E5,IF(INDIRECT("'数据-取费表'!c"&amp;$G$1)="住宅",INDIRECT("'数据-取费表'!k"&amp;$G$1),0))</f>
        <v>10595.869999999999</v>
      </c>
      <c r="E9" s="268">
        <f>'数据-取费表'!B27</f>
        <v>220</v>
      </c>
      <c r="F9" s="264"/>
      <c r="G9" s="269"/>
    </row>
    <row r="10" spans="1:8" s="257" customFormat="1" ht="13.5" customHeight="1">
      <c r="A10" s="949" t="s">
        <v>801</v>
      </c>
      <c r="B10" s="267" t="s">
        <v>2345</v>
      </c>
      <c r="C10" s="268">
        <f ca="1">ROUND(D10*E10,0)</f>
        <v>260729</v>
      </c>
      <c r="D10" s="1031">
        <f ca="1">IF(B1="",'数据-汇总表'!E6,IF(INDIRECT("'数据-取费表'!c"&amp;$G$1)="住宅",INDIRECT("'数据-取费表'!s"&amp;$G$1),INDIRECT("'数据-取费表'!k"&amp;$G$1)+INDIRECT("'数据-取费表'!s"&amp;$G$1)))</f>
        <v>1185.130000000001</v>
      </c>
      <c r="E10" s="268">
        <f>'数据-取费表'!B28</f>
        <v>220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1178100</v>
      </c>
      <c r="D19" s="1035">
        <f ca="1">D9+D10</f>
        <v>11781</v>
      </c>
      <c r="E19" s="254">
        <f>'数据-取费表'!B31</f>
        <v>100</v>
      </c>
      <c r="F19" s="274"/>
      <c r="G19" s="2551"/>
    </row>
    <row r="20" spans="1:7" s="257" customFormat="1" ht="13.5" customHeight="1">
      <c r="A20" s="298" t="s">
        <v>2439</v>
      </c>
      <c r="B20" s="253" t="s">
        <v>2440</v>
      </c>
      <c r="C20" s="275">
        <f ca="1">ROUND((C5+C19)*F20,0)</f>
        <v>75398</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370230</v>
      </c>
      <c r="D22" s="278">
        <f ca="1">C26</f>
        <v>1E-3</v>
      </c>
      <c r="E22" s="279" t="s">
        <v>2444</v>
      </c>
      <c r="F22" s="280">
        <f ca="1">'数据-取费表'!B40</f>
        <v>4.7500000000000001E-2</v>
      </c>
      <c r="G22" s="277" t="str">
        <f>IF('数据-取费表'!B22&lt;=1,"单利计息","复利计息")</f>
        <v>复利计息</v>
      </c>
    </row>
    <row r="23" spans="1:7" s="257" customFormat="1" ht="13.5" customHeight="1">
      <c r="A23" s="950" t="s">
        <v>2337</v>
      </c>
      <c r="B23" s="258" t="s">
        <v>2448</v>
      </c>
      <c r="C23" s="1380">
        <f ca="1">ROUND(IF('数据-取费表'!B22&lt;=1,C5*F22*'数据-取费表'!B22,C5*(POWER((1+F22),'数据-取费表'!B22)-1)),0)</f>
        <v>252071</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114578</v>
      </c>
      <c r="D24" s="281"/>
      <c r="E24" s="281"/>
      <c r="F24" s="282"/>
      <c r="G24" s="283" t="s">
        <v>2451</v>
      </c>
    </row>
    <row r="25" spans="1:7" s="257" customFormat="1" ht="24">
      <c r="A25" s="950" t="s">
        <v>2341</v>
      </c>
      <c r="B25" s="258" t="s">
        <v>2452</v>
      </c>
      <c r="C25" s="1380">
        <f ca="1">ROUND(IF('数据-取费表'!B22&lt;=1,C20*F22*'数据-取费表'!B22/2,C20*(POWER((1+F22),'数据-取费表'!B22/2)-1)),0)</f>
        <v>3581</v>
      </c>
      <c r="D25" s="281"/>
      <c r="E25" s="284"/>
      <c r="F25" s="282"/>
      <c r="G25" s="285" t="s">
        <v>2453</v>
      </c>
    </row>
    <row r="26" spans="1:7" s="257" customFormat="1">
      <c r="A26" s="950"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1807299</v>
      </c>
      <c r="D27" s="278">
        <f ca="1">C29</f>
        <v>9.4000000000000004E-3</v>
      </c>
      <c r="E27" s="279" t="s">
        <v>2379</v>
      </c>
      <c r="F27" s="289">
        <f ca="1">IF(B1="",'数据-取费表'!Q16,INDIRECT("'数据-取费表'!q"&amp;$G$1))</f>
        <v>0.47</v>
      </c>
      <c r="G27" s="290" t="s">
        <v>2380</v>
      </c>
    </row>
    <row r="28" spans="1:7" s="257" customFormat="1" ht="13.5" customHeight="1">
      <c r="A28" s="950" t="s">
        <v>791</v>
      </c>
      <c r="B28" s="291" t="s">
        <v>2381</v>
      </c>
      <c r="C28" s="292">
        <f ca="1">ROUND((C5+C19+C20)*F27,0)</f>
        <v>1807299</v>
      </c>
      <c r="D28" s="278"/>
      <c r="E28" s="279"/>
      <c r="F28" s="289"/>
      <c r="G28" s="290"/>
    </row>
    <row r="29" spans="1:7" s="257" customFormat="1" ht="13.5" customHeight="1">
      <c r="A29" s="950" t="s">
        <v>792</v>
      </c>
      <c r="B29" s="291" t="s">
        <v>2382</v>
      </c>
      <c r="C29" s="281">
        <f ca="1">ROUND(C21*F27,4)</f>
        <v>9.4000000000000004E-3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6573008</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42639977</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36460137</v>
      </c>
      <c r="D34" s="260"/>
      <c r="E34" s="263"/>
      <c r="F34" s="300"/>
      <c r="G34" s="262"/>
    </row>
    <row r="35" spans="1:7" ht="13.5" customHeight="1">
      <c r="A35" s="950" t="s">
        <v>796</v>
      </c>
      <c r="B35" s="258" t="s">
        <v>2392</v>
      </c>
      <c r="C35" s="263">
        <f ca="1">ROUND(C34*F35,0)</f>
        <v>1458405</v>
      </c>
      <c r="D35" s="263"/>
      <c r="E35" s="263"/>
      <c r="F35" s="302">
        <f>'数据-取费表'!B33</f>
        <v>0.04</v>
      </c>
      <c r="G35" s="262" t="s">
        <v>2393</v>
      </c>
    </row>
    <row r="36" spans="1:7" ht="24">
      <c r="A36" s="950" t="s">
        <v>797</v>
      </c>
      <c r="B36" s="258" t="s">
        <v>2394</v>
      </c>
      <c r="C36" s="263">
        <f ca="1">ROUND(IF(B1="",SUM('数据-取费表'!AP6:AP13)*F36,IF(INDIRECT("'数据-取费表'!c"&amp;$G$1)="住宅",INDIRECT("'数据-取费表'!k"&amp;$G$1)*INDIRECT("'数据-取费表'!l"&amp;$G$1)*F36,0)),0)</f>
        <v>1818333</v>
      </c>
      <c r="D36" s="263"/>
      <c r="E36" s="263"/>
      <c r="F36" s="302">
        <f>'数据-取费表'!B34</f>
        <v>0.05</v>
      </c>
      <c r="G36" s="303" t="s">
        <v>2395</v>
      </c>
    </row>
    <row r="37" spans="1:7" s="301" customFormat="1" ht="13.5" customHeight="1">
      <c r="A37" s="950" t="s">
        <v>798</v>
      </c>
      <c r="B37" s="258" t="s">
        <v>2396</v>
      </c>
      <c r="C37" s="292">
        <f ca="1">ROUND(E37*D37,0)</f>
        <v>2356200</v>
      </c>
      <c r="D37" s="260">
        <f ca="1">D19</f>
        <v>11781</v>
      </c>
      <c r="E37" s="292">
        <f>'数据-取费表'!B35</f>
        <v>200</v>
      </c>
      <c r="F37" s="302"/>
      <c r="G37" s="304"/>
    </row>
    <row r="38" spans="1:7" ht="13.5" customHeight="1">
      <c r="A38" s="950" t="s">
        <v>799</v>
      </c>
      <c r="B38" s="258" t="s">
        <v>2398</v>
      </c>
      <c r="C38" s="263">
        <f ca="1">ROUND(C34*F38,0)</f>
        <v>546902</v>
      </c>
      <c r="D38" s="263"/>
      <c r="E38" s="263"/>
      <c r="F38" s="302">
        <f>'数据-取费表'!B36</f>
        <v>1.4999999999999999E-2</v>
      </c>
      <c r="G38" s="262" t="s">
        <v>2393</v>
      </c>
    </row>
    <row r="39" spans="1:7" s="257" customFormat="1" ht="13.5" customHeight="1">
      <c r="A39" s="298" t="s">
        <v>2399</v>
      </c>
      <c r="B39" s="253" t="s">
        <v>2400</v>
      </c>
      <c r="C39" s="275">
        <f ca="1">ROUND(C33*F20,0)</f>
        <v>852800</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2065907</v>
      </c>
      <c r="D41" s="278">
        <f ca="1">C44</f>
        <v>1E-3</v>
      </c>
      <c r="E41" s="279" t="s">
        <v>2404</v>
      </c>
      <c r="F41" s="280"/>
      <c r="G41" s="277" t="str">
        <f>IF('数据-取费表'!B22&lt;=1,"单利计息","复利计息")</f>
        <v>复利计息</v>
      </c>
    </row>
    <row r="42" spans="1:7" ht="13.5" customHeight="1">
      <c r="A42" s="950" t="s">
        <v>791</v>
      </c>
      <c r="B42" s="258" t="s">
        <v>2408</v>
      </c>
      <c r="C42" s="281">
        <f ca="1">ROUND(IF('数据-取费表'!B22&lt;=1,C33*F22*'数据-取费表'!B20/2,C33*(POWER((1+F22),'数据-取费表'!B20/2)-1)),0)</f>
        <v>2025399</v>
      </c>
      <c r="D42" s="281"/>
      <c r="E42" s="281"/>
      <c r="F42" s="282"/>
      <c r="G42" s="3174" t="s">
        <v>2456</v>
      </c>
    </row>
    <row r="43" spans="1:7" ht="13.5" customHeight="1">
      <c r="A43" s="950" t="s">
        <v>792</v>
      </c>
      <c r="B43" s="258" t="s">
        <v>2410</v>
      </c>
      <c r="C43" s="281">
        <f ca="1">ROUND(IF('数据-取费表'!B22&lt;=1,C39*F22*'数据-取费表'!B20/2,C39*(POWER((1+F22),'数据-取费表'!B20/2)-1)),0)</f>
        <v>40508</v>
      </c>
      <c r="D43" s="281"/>
      <c r="E43" s="281"/>
      <c r="F43" s="282"/>
      <c r="G43" s="3175"/>
    </row>
    <row r="44" spans="1:7" ht="13.5" customHeight="1">
      <c r="A44" s="950" t="s">
        <v>793</v>
      </c>
      <c r="B44" s="258" t="s">
        <v>2411</v>
      </c>
      <c r="C44" s="281">
        <f ca="1">ROUND(IF('数据-取费表'!B22&lt;=1,C40*F22*'数据-取费表'!B20/2,C40*(POWER((1+F22),'数据-取费表'!B20/2)-1)),4)</f>
        <v>1E-3</v>
      </c>
      <c r="D44" s="281"/>
      <c r="E44" s="281"/>
      <c r="F44" s="282"/>
      <c r="G44" s="3176"/>
    </row>
    <row r="45" spans="1:7" s="257" customFormat="1" ht="13.5" customHeight="1">
      <c r="A45" s="298" t="s">
        <v>2412</v>
      </c>
      <c r="B45" s="287" t="s">
        <v>2378</v>
      </c>
      <c r="C45" s="288">
        <f ca="1">C46</f>
        <v>20441605</v>
      </c>
      <c r="D45" s="278">
        <f ca="1">C47</f>
        <v>9.4000000000000004E-3</v>
      </c>
      <c r="E45" s="279" t="s">
        <v>2404</v>
      </c>
      <c r="F45" s="289"/>
      <c r="G45" s="290" t="s">
        <v>2413</v>
      </c>
    </row>
    <row r="46" spans="1:7" s="257" customFormat="1" ht="13.5" customHeight="1">
      <c r="A46" s="950" t="s">
        <v>791</v>
      </c>
      <c r="B46" s="291" t="s">
        <v>2414</v>
      </c>
      <c r="C46" s="292">
        <f ca="1">ROUND((C33+C39)*F27,0)</f>
        <v>20441605</v>
      </c>
      <c r="D46" s="306"/>
      <c r="E46" s="279"/>
      <c r="F46" s="289"/>
      <c r="G46" s="290"/>
    </row>
    <row r="47" spans="1:7" s="257" customFormat="1" ht="13.5" customHeight="1">
      <c r="A47" s="950" t="s">
        <v>792</v>
      </c>
      <c r="B47" s="291" t="s">
        <v>2415</v>
      </c>
      <c r="C47" s="281">
        <f ca="1">ROUND(C40*F27,4)</f>
        <v>9.4000000000000004E-3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72029127</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72029127</v>
      </c>
      <c r="D51" s="275"/>
      <c r="E51" s="275"/>
      <c r="F51" s="307"/>
      <c r="G51" s="277" t="s">
        <v>2425</v>
      </c>
    </row>
    <row r="52" spans="1:7" s="251" customFormat="1" ht="16.5" thickBot="1">
      <c r="A52" s="308" t="s">
        <v>2426</v>
      </c>
      <c r="B52" s="309"/>
      <c r="C52" s="310">
        <f ca="1">C31+C51</f>
        <v>78602135</v>
      </c>
      <c r="D52" s="309"/>
      <c r="E52" s="309"/>
      <c r="F52" s="309"/>
      <c r="G52" s="311"/>
    </row>
    <row r="55" spans="1:7" ht="15">
      <c r="B55" s="313" t="s">
        <v>2427</v>
      </c>
      <c r="C55" s="314"/>
    </row>
    <row r="56" spans="1:7">
      <c r="B56" s="316" t="s">
        <v>1508</v>
      </c>
      <c r="C56" s="318">
        <f ca="1">1-C57</f>
        <v>8.3999999999999964E-2</v>
      </c>
    </row>
    <row r="57" spans="1:7">
      <c r="B57" s="316" t="s">
        <v>1509</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80"/>
      <c r="C1" s="1581"/>
      <c r="D1" s="1579"/>
      <c r="E1" s="319"/>
      <c r="F1" s="319"/>
      <c r="G1" s="1580"/>
      <c r="H1" s="319"/>
      <c r="I1" s="319"/>
      <c r="J1" s="319"/>
      <c r="K1" s="319">
        <f>MATCH(C1,'数据-取费表'!A6:A16,0)+5</f>
        <v>8</v>
      </c>
    </row>
    <row r="2" spans="1:33" ht="18" customHeight="1">
      <c r="A2" s="244" t="s">
        <v>2327</v>
      </c>
      <c r="B2" s="247">
        <f ca="1">C32</f>
        <v>21253</v>
      </c>
      <c r="C2" s="319" t="s">
        <v>2460</v>
      </c>
      <c r="D2" s="319"/>
      <c r="E2" s="319"/>
      <c r="F2" s="319"/>
      <c r="G2" s="319"/>
      <c r="H2" s="319"/>
      <c r="I2" s="319"/>
      <c r="J2" s="319"/>
      <c r="K2" s="319"/>
    </row>
    <row r="3" spans="1:33" ht="18" customHeight="1" thickBot="1">
      <c r="A3" s="246" t="s">
        <v>2329</v>
      </c>
      <c r="B3" s="247">
        <f ca="1">ROUND(B2*10000/IF(C1="",'数据-汇总表'!E3,INDIRECT("'数据-取费表'!K"&amp;$K$1)),0)</f>
        <v>18040</v>
      </c>
      <c r="C3" s="319" t="s">
        <v>2461</v>
      </c>
      <c r="D3" s="319"/>
      <c r="E3" s="319"/>
      <c r="F3" s="319"/>
      <c r="G3" s="319"/>
      <c r="H3" s="319"/>
      <c r="I3" s="319"/>
      <c r="J3" s="319"/>
      <c r="K3" s="319"/>
    </row>
    <row r="4" spans="1:33" s="955" customFormat="1" ht="16.5" customHeight="1">
      <c r="A4" s="952" t="s">
        <v>2462</v>
      </c>
      <c r="B4" s="953"/>
      <c r="C4" s="995">
        <f>SUM(C8:K8)</f>
        <v>42441</v>
      </c>
      <c r="D4" s="953"/>
      <c r="E4" s="953"/>
      <c r="F4" s="953"/>
      <c r="G4" s="953"/>
      <c r="H4" s="953"/>
      <c r="I4" s="953"/>
      <c r="J4" s="953"/>
      <c r="K4" s="954"/>
    </row>
    <row r="5" spans="1:33" s="959" customFormat="1" ht="15">
      <c r="A5" s="956" t="s">
        <v>2463</v>
      </c>
      <c r="B5" s="957" t="s">
        <v>2464</v>
      </c>
      <c r="C5" s="2555" t="s">
        <v>3084</v>
      </c>
      <c r="D5" s="2555" t="s">
        <v>3086</v>
      </c>
      <c r="E5" s="2555"/>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f>'[5]比较法-洋房'!$C$49</f>
        <v>32411</v>
      </c>
      <c r="D6" s="961">
        <f>'[4]剩余法-待开发'!$D$8</f>
        <v>43978</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3594.41</v>
      </c>
      <c r="D7" s="320">
        <f>SUMIF('数据-汇总表'!$C19:$C33,假设开发法!D5,'数据-汇总表'!$E19:$E33)</f>
        <v>7001.46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2468</v>
      </c>
      <c r="B8" s="176" t="s">
        <v>2469</v>
      </c>
      <c r="C8" s="996">
        <f>ROUND(C6*C7/10000,0)</f>
        <v>11650</v>
      </c>
      <c r="D8" s="996">
        <f>ROUND(D6*D7/10000,0)</f>
        <v>30791</v>
      </c>
      <c r="E8" s="996"/>
      <c r="F8" s="997"/>
      <c r="G8" s="997"/>
      <c r="H8" s="997"/>
      <c r="I8" s="997"/>
      <c r="J8" s="997"/>
      <c r="K8" s="998"/>
      <c r="L8" s="963">
        <f>C8/C7</f>
        <v>3.2411438873139127</v>
      </c>
      <c r="M8" s="963">
        <f>D8/D7</f>
        <v>4.3977970309049823</v>
      </c>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c r="L9" s="955">
        <f>D6/C6-1</f>
        <v>0.35688500817623647</v>
      </c>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3232</v>
      </c>
      <c r="D11" s="972"/>
      <c r="E11" s="374"/>
      <c r="F11" s="973">
        <f ca="1">1-IF('数据-取费表'!B24=0,1,IF(C1="",'数据-取费表'!N16,INDIRECT("'数据-取费表'!n"&amp;$K$1)))</f>
        <v>0.88700000000000001</v>
      </c>
      <c r="G11" s="8"/>
      <c r="H11" s="967"/>
      <c r="I11" s="967"/>
      <c r="J11" s="967"/>
      <c r="K11" s="968"/>
    </row>
    <row r="12" spans="1:33" s="974" customFormat="1" ht="13.5" customHeight="1">
      <c r="A12" s="970" t="s">
        <v>1331</v>
      </c>
      <c r="B12" s="971" t="s">
        <v>2478</v>
      </c>
      <c r="C12" s="23">
        <f ca="1">ROUND(C11*F12,0)</f>
        <v>129</v>
      </c>
      <c r="D12" s="972"/>
      <c r="E12" s="374"/>
      <c r="F12" s="975">
        <f>'数据-取费表'!B33</f>
        <v>0.04</v>
      </c>
      <c r="G12" s="8" t="s">
        <v>2479</v>
      </c>
      <c r="H12" s="967"/>
      <c r="I12" s="967"/>
      <c r="J12" s="967"/>
      <c r="K12" s="968"/>
    </row>
    <row r="13" spans="1:33" s="974" customFormat="1" ht="13.5" customHeight="1">
      <c r="A13" s="970" t="s">
        <v>1332</v>
      </c>
      <c r="B13" s="971" t="s">
        <v>2480</v>
      </c>
      <c r="C13" s="23">
        <f ca="1">ROUND(IF(C1="",SUMIF('数据-取费表'!C:C,"住宅",'数据-取费表'!P:P)*F13,IF(INDIRECT("'数据-取费表'!c"&amp;$K$1)="住宅",INDIRECT("'数据-取费表'!P"&amp;$K$1)*F13,0)),0)</f>
        <v>161</v>
      </c>
      <c r="D13" s="1032"/>
      <c r="E13" s="374"/>
      <c r="F13" s="975">
        <f>'数据-取费表'!B34</f>
        <v>0.05</v>
      </c>
      <c r="G13" s="8" t="s">
        <v>2481</v>
      </c>
      <c r="H13" s="967"/>
      <c r="I13" s="967"/>
      <c r="J13" s="967"/>
      <c r="K13" s="968"/>
    </row>
    <row r="14" spans="1:33" s="976" customFormat="1" ht="13.5" customHeight="1">
      <c r="A14" s="970" t="s">
        <v>1333</v>
      </c>
      <c r="B14" s="971" t="s">
        <v>2482</v>
      </c>
      <c r="C14" s="23">
        <f ca="1">ROUND(D14*E14*F11/10000,0)</f>
        <v>209</v>
      </c>
      <c r="D14" s="1032">
        <f ca="1">IF(C1="",'数据-汇总表'!E3,INDIRECT("'数据-取费表'!K"&amp;$K$1)+INDIRECT("'数据-取费表'!S"&amp;$K$1))</f>
        <v>11781</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48</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3779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118</v>
      </c>
      <c r="D17" s="1032">
        <f ca="1">D14</f>
        <v>11781</v>
      </c>
      <c r="E17" s="23">
        <f>'数据-取费表'!B32</f>
        <v>100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3">
        <f ca="1">C19+C20-IF(C1="",'数据-取费表'!B29,IF(G18="已全部缴纳",C19+C20,H18))</f>
        <v>0</v>
      </c>
      <c r="D18" s="1032"/>
      <c r="E18" s="23"/>
      <c r="F18" s="975"/>
      <c r="G18" s="2557" t="s">
        <v>3133</v>
      </c>
      <c r="H18" s="1576"/>
      <c r="I18" s="2558" t="s">
        <v>2490</v>
      </c>
      <c r="J18" s="978"/>
      <c r="K18" s="979"/>
    </row>
    <row r="19" spans="1:33" s="974" customFormat="1" ht="13.5" customHeight="1">
      <c r="A19" s="970" t="s">
        <v>805</v>
      </c>
      <c r="B19" s="971" t="s">
        <v>2491</v>
      </c>
      <c r="C19" s="23">
        <f ca="1">ROUND(D19*E19/10000,0)</f>
        <v>233</v>
      </c>
      <c r="D19" s="1032">
        <f ca="1">IF(C1="",'数据-汇总表'!E5,IF(INDIRECT("'数据-取费表'!c"&amp;$K$1)="住宅",INDIRECT("'数据-取费表'!k"&amp;$K$1),0))</f>
        <v>10595.869999999999</v>
      </c>
      <c r="E19" s="23">
        <f>'数据-取费表'!B27</f>
        <v>220</v>
      </c>
      <c r="F19" s="975"/>
      <c r="G19" s="14"/>
      <c r="H19" s="1578"/>
      <c r="I19" s="980"/>
      <c r="J19" s="980"/>
      <c r="K19" s="981"/>
    </row>
    <row r="20" spans="1:33" s="974" customFormat="1" ht="13.5" customHeight="1">
      <c r="A20" s="970" t="s">
        <v>806</v>
      </c>
      <c r="B20" s="971" t="s">
        <v>2492</v>
      </c>
      <c r="C20" s="23">
        <f ca="1">ROUND(D20*E20/10000,0)</f>
        <v>26</v>
      </c>
      <c r="D20" s="1032">
        <f ca="1">IF(C1="",'数据-汇总表'!E6,IF(INDIRECT("'数据-取费表'!c"&amp;$K$1)="住宅",INDIRECT("'数据-取费表'!s"&amp;$K$1),INDIRECT("'数据-取费表'!k"&amp;$K$1)+INDIRECT("'数据-取费表'!s"&amp;$K$1)))</f>
        <v>1185.130000000001</v>
      </c>
      <c r="E20" s="23">
        <f>'数据-取费表'!B28</f>
        <v>220</v>
      </c>
      <c r="F20" s="975"/>
      <c r="G20" s="14"/>
      <c r="H20" s="980"/>
      <c r="I20" s="980"/>
      <c r="J20" s="980"/>
      <c r="K20" s="981"/>
    </row>
    <row r="21" spans="1:33" s="974" customFormat="1" ht="13.5" customHeight="1">
      <c r="A21" s="960" t="s">
        <v>802</v>
      </c>
      <c r="B21" s="984" t="s">
        <v>2493</v>
      </c>
      <c r="C21" s="985">
        <f ca="1">C16+C17+C18</f>
        <v>3897</v>
      </c>
      <c r="D21" s="986"/>
      <c r="E21" s="324"/>
      <c r="F21" s="324"/>
      <c r="G21" s="139" t="s">
        <v>2494</v>
      </c>
      <c r="H21" s="978"/>
      <c r="I21" s="978"/>
      <c r="J21" s="978"/>
      <c r="K21" s="979"/>
    </row>
    <row r="22" spans="1:33" s="974" customFormat="1" ht="13.5" customHeight="1">
      <c r="A22" s="960" t="s">
        <v>2466</v>
      </c>
      <c r="B22" s="984" t="s">
        <v>2495</v>
      </c>
      <c r="C22" s="985">
        <f ca="1">ROUND(C21*F22,0)</f>
        <v>78</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753</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202</v>
      </c>
      <c r="D25" s="323">
        <f ca="1">C26</f>
        <v>8.9599999999999999E-2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8.9599999999999999E-2</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202</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2506</v>
      </c>
      <c r="B28" s="2560" t="s">
        <v>2507</v>
      </c>
      <c r="C28" s="330">
        <f ca="1">C30</f>
        <v>2222</v>
      </c>
      <c r="D28" s="323">
        <f ca="1">C29</f>
        <v>0.43530000000000002</v>
      </c>
      <c r="E28" s="325" t="s">
        <v>15</v>
      </c>
      <c r="F28" s="331">
        <f ca="1">IF(C1="",'数据-取费表'!Q16,INDIRECT("'数据-取费表'!q"&amp;$K$1))</f>
        <v>0.47</v>
      </c>
      <c r="G28" s="988"/>
      <c r="H28" s="989"/>
      <c r="I28" s="989"/>
      <c r="J28" s="989"/>
      <c r="K28" s="990"/>
    </row>
    <row r="29" spans="1:33" s="334" customFormat="1" ht="13.5" customHeight="1">
      <c r="A29" s="970" t="s">
        <v>803</v>
      </c>
      <c r="B29" s="993" t="s">
        <v>2508</v>
      </c>
      <c r="C29" s="327">
        <f ca="1">ROUND((1+C24)*F28*'数据-取费表'!B24/'数据-取费表'!B20,4)</f>
        <v>0.43530000000000002</v>
      </c>
      <c r="D29" s="327"/>
      <c r="E29" s="328"/>
      <c r="F29" s="333"/>
      <c r="G29" s="139" t="s">
        <v>2509</v>
      </c>
      <c r="H29" s="978"/>
      <c r="I29" s="978"/>
      <c r="J29" s="978"/>
      <c r="K29" s="979"/>
    </row>
    <row r="30" spans="1:33" s="334" customFormat="1" ht="13.5" customHeight="1">
      <c r="A30" s="970" t="s">
        <v>804</v>
      </c>
      <c r="B30" s="993" t="s">
        <v>2510</v>
      </c>
      <c r="C30" s="335">
        <f ca="1">ROUND((C21+C22+C23)*F28,0)</f>
        <v>2222</v>
      </c>
      <c r="D30" s="327"/>
      <c r="E30" s="328"/>
      <c r="F30" s="333"/>
      <c r="G30" s="139"/>
      <c r="H30" s="978"/>
      <c r="I30" s="978"/>
      <c r="J30" s="978"/>
      <c r="K30" s="979"/>
    </row>
    <row r="31" spans="1:33" s="974" customFormat="1" ht="13.5" customHeight="1" thickBot="1">
      <c r="A31" s="2561" t="s">
        <v>2511</v>
      </c>
      <c r="B31" s="1004" t="s">
        <v>2512</v>
      </c>
      <c r="C31" s="1005">
        <f>ROUND(C4*F31/(1+'数据-取费表'!C42),0)</f>
        <v>2264</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21253</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-1.8</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179" t="s">
        <v>1398</v>
      </c>
      <c r="C6" s="1295">
        <f ca="1">ROUND(F6*F8*F7*(1-F9)/10000,0)</f>
        <v>0</v>
      </c>
      <c r="D6" s="163" t="s">
        <v>3026</v>
      </c>
      <c r="E6" s="346" t="s">
        <v>1400</v>
      </c>
      <c r="F6" s="347">
        <f ca="1">INDIRECT("'数据-取费表'!u"&amp;$G$1)</f>
        <v>0</v>
      </c>
      <c r="G6" s="1850"/>
      <c r="H6" s="1290" t="s">
        <v>1032</v>
      </c>
      <c r="I6" s="3179" t="s">
        <v>1398</v>
      </c>
      <c r="J6" s="345">
        <f ca="1">ROUND(M6*M8*M7*(1-M9)/10000,0)</f>
        <v>0</v>
      </c>
      <c r="K6" s="163" t="s">
        <v>3025</v>
      </c>
      <c r="L6" s="346" t="s">
        <v>1400</v>
      </c>
      <c r="M6" s="347">
        <f ca="1">INDIRECT("'数据-取费表'!z"&amp;$G$1)</f>
        <v>0</v>
      </c>
    </row>
    <row r="7" spans="1:37" ht="18" customHeight="1">
      <c r="A7" s="1294"/>
      <c r="B7" s="3180"/>
      <c r="C7" s="1296"/>
      <c r="D7" s="351"/>
      <c r="E7" s="1297" t="s">
        <v>1401</v>
      </c>
      <c r="F7" s="347">
        <f ca="1">IF(INDIRECT("'数据-取费表'!ah"&amp;$G$1)="",INDIRECT("'数据-取费表'!k"&amp;$G$1),INDIRECT("'数据-取费表'!ah"&amp;$G$1))</f>
        <v>0</v>
      </c>
      <c r="G7" s="1850"/>
      <c r="H7" s="348"/>
      <c r="I7" s="3180"/>
      <c r="J7" s="350"/>
      <c r="K7" s="351"/>
      <c r="L7" s="346" t="s">
        <v>1401</v>
      </c>
      <c r="M7" s="347">
        <f ca="1">F7</f>
        <v>0</v>
      </c>
    </row>
    <row r="8" spans="1:37" ht="18" customHeight="1">
      <c r="A8" s="348"/>
      <c r="B8" s="3180"/>
      <c r="C8" s="350"/>
      <c r="D8" s="351"/>
      <c r="E8" s="346" t="s">
        <v>1402</v>
      </c>
      <c r="F8" s="347">
        <f ca="1">INDIRECT("'数据-取费表'!ai"&amp;$G$1)</f>
        <v>0</v>
      </c>
      <c r="G8" s="1850"/>
      <c r="H8" s="348"/>
      <c r="I8" s="3180"/>
      <c r="J8" s="350"/>
      <c r="K8" s="351"/>
      <c r="L8" s="346" t="s">
        <v>1402</v>
      </c>
      <c r="M8" s="347">
        <f ca="1">INDIRECT("'数据-取费表'!ai"&amp;$G$1)</f>
        <v>0</v>
      </c>
    </row>
    <row r="9" spans="1:37" ht="18" customHeight="1">
      <c r="A9" s="348"/>
      <c r="B9" s="3181"/>
      <c r="C9" s="350"/>
      <c r="D9" s="351"/>
      <c r="E9" s="346" t="s">
        <v>1403</v>
      </c>
      <c r="F9" s="356">
        <f ca="1">INDIRECT("'数据-取费表'!w"&amp;$G$1)</f>
        <v>0</v>
      </c>
      <c r="G9" s="1850"/>
      <c r="H9" s="348"/>
      <c r="I9" s="31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3035</v>
      </c>
      <c r="E10" s="357" t="s">
        <v>1405</v>
      </c>
      <c r="F10" s="1365"/>
      <c r="G10" s="1850"/>
      <c r="H10" s="1290" t="s">
        <v>1036</v>
      </c>
      <c r="I10" s="1822" t="s">
        <v>1404</v>
      </c>
      <c r="J10" s="345">
        <f ca="1">ROUND(IF(M10="押一",J6/12*M11,IF(M10="押二",J6/12*2*M11,IF(M10="押三",J6/12*3*M11,J11*M11))),0)</f>
        <v>0</v>
      </c>
      <c r="K10" s="1823" t="s">
        <v>3034</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ROUND(F17*(F43+INDIRECT("'数据-取费表'!S"&amp;$G$1))/10000,0)</f>
        <v>0</v>
      </c>
      <c r="D17" s="346" t="s">
        <v>1422</v>
      </c>
      <c r="E17" s="346" t="s">
        <v>1423</v>
      </c>
      <c r="F17" s="25">
        <f>'数据-取费表'!B35</f>
        <v>200</v>
      </c>
      <c r="G17" s="1853"/>
      <c r="H17" s="1200" t="s">
        <v>1032</v>
      </c>
      <c r="I17" s="346" t="s">
        <v>1424</v>
      </c>
      <c r="J17" s="23">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ROUND(M20*M21/10000,2)</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-1.8</v>
      </c>
      <c r="R52" s="1885" t="s">
        <v>1541</v>
      </c>
    </row>
    <row r="53" spans="1:18" s="1841" customFormat="1" ht="24.75" thickBot="1">
      <c r="A53" s="1404" t="s">
        <v>1134</v>
      </c>
      <c r="B53" s="1830" t="s">
        <v>1404</v>
      </c>
      <c r="C53" s="360">
        <f ca="1">ROUND(IF(F53="押一",C49/12*F11,IF(F53="押二",C49/12*2*F11,IF(F53="押三",C49/12*3*F11,C54*F11))),0)</f>
        <v>0</v>
      </c>
      <c r="D53" s="1823" t="s">
        <v>3034</v>
      </c>
      <c r="E53" s="357" t="s">
        <v>1405</v>
      </c>
      <c r="F53" s="1365"/>
      <c r="I53" s="1904" t="s">
        <v>1542</v>
      </c>
      <c r="J53" s="2951">
        <f ca="1">IF(M47="住宅",IF(D1="——",MAX(J51,L48),MAX(J51,L48-'数据-取费表'!B24)),IF(D1="——",MIN(J51,L48),MIN(J51,L48-'数据-取费表'!B24)))</f>
        <v>-1.8</v>
      </c>
      <c r="K53" s="3177" t="s">
        <v>1543</v>
      </c>
      <c r="L53" s="3178"/>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1.8</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-1.8</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79" t="s">
        <v>1398</v>
      </c>
      <c r="C6" s="1295">
        <f ca="1">ROUND(F6*F8*F7*(1-F9),0)</f>
        <v>0</v>
      </c>
      <c r="D6" s="163" t="s">
        <v>3023</v>
      </c>
      <c r="E6" s="346" t="s">
        <v>1400</v>
      </c>
      <c r="F6" s="347">
        <f ca="1">INDIRECT("'数据-取费表'!u"&amp;$G$1)</f>
        <v>0</v>
      </c>
      <c r="G6" s="1850"/>
      <c r="H6" s="1290" t="s">
        <v>1032</v>
      </c>
      <c r="I6" s="3179" t="s">
        <v>1398</v>
      </c>
      <c r="J6" s="345">
        <f ca="1">ROUND(M6*M8*M7*(1-M9),0)</f>
        <v>0</v>
      </c>
      <c r="K6" s="1833" t="s">
        <v>3024</v>
      </c>
      <c r="L6" s="346" t="s">
        <v>1400</v>
      </c>
      <c r="M6" s="347">
        <f ca="1">INDIRECT("'数据-取费表'!z"&amp;$G$1)</f>
        <v>0</v>
      </c>
    </row>
    <row r="7" spans="1:37" ht="18" customHeight="1">
      <c r="A7" s="1294"/>
      <c r="B7" s="3180"/>
      <c r="C7" s="1296"/>
      <c r="D7" s="351"/>
      <c r="E7" s="1297" t="s">
        <v>1401</v>
      </c>
      <c r="F7" s="347">
        <f ca="1">IF(INDIRECT("'数据-取费表'!ah"&amp;$G$1)="",INDIRECT("'数据-取费表'!k"&amp;$G$1),INDIRECT("'数据-取费表'!ah"&amp;$G$1))</f>
        <v>0</v>
      </c>
      <c r="G7" s="1850"/>
      <c r="H7" s="348"/>
      <c r="I7" s="3180"/>
      <c r="J7" s="350"/>
      <c r="K7" s="351"/>
      <c r="L7" s="346" t="s">
        <v>1401</v>
      </c>
      <c r="M7" s="347">
        <f ca="1">F7</f>
        <v>0</v>
      </c>
    </row>
    <row r="8" spans="1:37" ht="18" customHeight="1">
      <c r="A8" s="348"/>
      <c r="B8" s="3180"/>
      <c r="C8" s="350"/>
      <c r="D8" s="351"/>
      <c r="E8" s="346" t="s">
        <v>1402</v>
      </c>
      <c r="F8" s="347">
        <f ca="1">INDIRECT("'数据-取费表'!ai"&amp;$G$1)</f>
        <v>0</v>
      </c>
      <c r="G8" s="1850"/>
      <c r="H8" s="348"/>
      <c r="I8" s="3180"/>
      <c r="J8" s="350"/>
      <c r="K8" s="351"/>
      <c r="L8" s="346" t="s">
        <v>1402</v>
      </c>
      <c r="M8" s="347">
        <f ca="1">INDIRECT("'数据-取费表'!ai"&amp;$G$1)</f>
        <v>0</v>
      </c>
    </row>
    <row r="9" spans="1:37" ht="18" customHeight="1">
      <c r="A9" s="348"/>
      <c r="B9" s="3181"/>
      <c r="C9" s="350"/>
      <c r="D9" s="351"/>
      <c r="E9" s="346" t="s">
        <v>1403</v>
      </c>
      <c r="F9" s="356">
        <f ca="1">INDIRECT("'数据-取费表'!w"&amp;$G$1)</f>
        <v>0</v>
      </c>
      <c r="G9" s="1850"/>
      <c r="H9" s="348"/>
      <c r="I9" s="31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3034</v>
      </c>
      <c r="E10" s="357" t="s">
        <v>1405</v>
      </c>
      <c r="F10" s="1365"/>
      <c r="G10" s="1850"/>
      <c r="H10" s="1290" t="s">
        <v>1036</v>
      </c>
      <c r="I10" s="1822" t="s">
        <v>1404</v>
      </c>
      <c r="J10" s="345">
        <f ca="1">ROUND(IF(M10="押一",J6/12*M11,IF(M10="押二",J6/12*2*M11,IF(M10="押三",J6/12*3*M11,J11*M11))),0)</f>
        <v>0</v>
      </c>
      <c r="K10" s="1834" t="s">
        <v>3036</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-1.8</v>
      </c>
      <c r="R52" s="1885" t="s">
        <v>1541</v>
      </c>
    </row>
    <row r="53" spans="1:18" s="1841" customFormat="1" ht="30.75" customHeight="1" thickBot="1">
      <c r="A53" s="1360" t="s">
        <v>1134</v>
      </c>
      <c r="B53" s="368" t="s">
        <v>1404</v>
      </c>
      <c r="C53" s="360">
        <f ca="1">ROUND(IF(F53="押一",C49/12*F11,IF(F53="押二",C49/12*2*F11,IF(F53="押三",C49/12*3*F11,C54*F11))),0)</f>
        <v>0</v>
      </c>
      <c r="D53" s="1823" t="s">
        <v>3037</v>
      </c>
      <c r="E53" s="357" t="s">
        <v>1405</v>
      </c>
      <c r="F53" s="1365"/>
      <c r="I53" s="1904" t="s">
        <v>1542</v>
      </c>
      <c r="J53" s="2951">
        <f ca="1">IF(M47="住宅",IF(D1="——",MAX(J51,L48),MAX(J51,L48-'数据-取费表'!B24)),IF(D1="——",MIN(J51,L48),MIN(J51,L48-'数据-取费表'!B24)))</f>
        <v>-1.8</v>
      </c>
      <c r="K53" s="3177" t="s">
        <v>1543</v>
      </c>
      <c r="L53" s="3178"/>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2523</v>
      </c>
      <c r="B1" s="2563"/>
      <c r="C1" s="2563"/>
      <c r="D1" s="2563"/>
      <c r="E1" s="2564"/>
    </row>
    <row r="2" spans="1:6" ht="15.75">
      <c r="A2" s="2565" t="s">
        <v>2327</v>
      </c>
      <c r="B2" s="2566">
        <f ca="1">SUMIF(B6:B13,"&lt;&gt;#ref!",B6:B13)</f>
        <v>0</v>
      </c>
      <c r="C2" s="2567" t="s">
        <v>2516</v>
      </c>
      <c r="D2" s="2568" t="s">
        <v>2517</v>
      </c>
      <c r="E2" s="2569">
        <f>SUM(E6:E13)</f>
        <v>0</v>
      </c>
    </row>
    <row r="3" spans="1:6" ht="15.75">
      <c r="A3" s="2565" t="s">
        <v>1390</v>
      </c>
      <c r="B3" s="2566" t="e">
        <f ca="1">ROUND(B2*10000/E2,0)</f>
        <v>#DIV/0!</v>
      </c>
      <c r="C3" s="2567" t="s">
        <v>2524</v>
      </c>
      <c r="D3" s="2570"/>
      <c r="E3" s="2571"/>
    </row>
    <row r="4" spans="1:6" ht="15.75">
      <c r="A4" s="2572"/>
      <c r="B4" s="2570"/>
      <c r="C4" s="2570"/>
      <c r="D4" s="2570"/>
      <c r="E4" s="2571"/>
    </row>
    <row r="5" spans="1:6" ht="15">
      <c r="A5" s="2573" t="s">
        <v>2518</v>
      </c>
      <c r="B5" s="3182" t="s">
        <v>2519</v>
      </c>
      <c r="C5" s="3182"/>
      <c r="D5" s="2574"/>
      <c r="E5" s="2575" t="s">
        <v>2520</v>
      </c>
      <c r="F5" s="2576" t="s">
        <v>2521</v>
      </c>
    </row>
    <row r="6" spans="1:6">
      <c r="A6" s="2577">
        <f>'数据-取费表'!AN6</f>
        <v>0</v>
      </c>
      <c r="B6" s="2576" t="e">
        <f ca="1">IF(F6="是",'数据-取费表'!AO6,0)</f>
        <v>#REF!</v>
      </c>
      <c r="C6" s="2567" t="s">
        <v>2516</v>
      </c>
      <c r="D6" s="2570"/>
      <c r="E6" s="2578">
        <f>IF(OR(A6=0,F6="否"),0,'数据-取费表'!K6+'数据-取费表'!S6)</f>
        <v>0</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189" t="s">
        <v>1074</v>
      </c>
      <c r="B2" s="3190" t="s">
        <v>1075</v>
      </c>
      <c r="C2" s="3190"/>
      <c r="D2" s="1300" t="s">
        <v>1076</v>
      </c>
      <c r="E2" s="1300" t="s">
        <v>1077</v>
      </c>
      <c r="F2" s="1300" t="s">
        <v>1078</v>
      </c>
      <c r="G2" s="1300" t="s">
        <v>1079</v>
      </c>
      <c r="H2" s="1300" t="s">
        <v>1080</v>
      </c>
      <c r="I2" s="1301" t="s">
        <v>1081</v>
      </c>
    </row>
    <row r="3" spans="1:9">
      <c r="A3" s="3189"/>
      <c r="B3" s="3190" t="s">
        <v>1082</v>
      </c>
      <c r="C3" s="3190"/>
      <c r="D3" s="1302"/>
      <c r="E3" s="1300"/>
      <c r="F3" s="1303"/>
      <c r="G3" s="1303"/>
      <c r="H3" s="1304"/>
      <c r="I3" s="1305">
        <f>ROUND(D3*E3*F3*G3*H3/10000,0)</f>
        <v>0</v>
      </c>
    </row>
    <row r="4" spans="1:9">
      <c r="A4" s="3189"/>
      <c r="B4" s="3190" t="s">
        <v>1083</v>
      </c>
      <c r="C4" s="3190"/>
      <c r="D4" s="1302"/>
      <c r="E4" s="1300"/>
      <c r="F4" s="1303"/>
      <c r="G4" s="1303"/>
      <c r="H4" s="1304"/>
      <c r="I4" s="1305">
        <f t="shared" ref="I4:I9" si="0">ROUND(D4*E4*F4*G4*H4/10000,0)</f>
        <v>0</v>
      </c>
    </row>
    <row r="5" spans="1:9">
      <c r="A5" s="3189"/>
      <c r="B5" s="3190" t="s">
        <v>1084</v>
      </c>
      <c r="C5" s="3190"/>
      <c r="D5" s="1302"/>
      <c r="E5" s="1300"/>
      <c r="F5" s="1303"/>
      <c r="G5" s="1303"/>
      <c r="H5" s="1304"/>
      <c r="I5" s="1305">
        <f t="shared" si="0"/>
        <v>0</v>
      </c>
    </row>
    <row r="6" spans="1:9">
      <c r="A6" s="3189"/>
      <c r="B6" s="3190" t="s">
        <v>1085</v>
      </c>
      <c r="C6" s="3190"/>
      <c r="D6" s="1302"/>
      <c r="E6" s="1300"/>
      <c r="F6" s="1303"/>
      <c r="G6" s="1303"/>
      <c r="H6" s="1304"/>
      <c r="I6" s="1305">
        <f t="shared" si="0"/>
        <v>0</v>
      </c>
    </row>
    <row r="7" spans="1:9">
      <c r="A7" s="3189"/>
      <c r="B7" s="3190" t="s">
        <v>1086</v>
      </c>
      <c r="C7" s="3190"/>
      <c r="D7" s="1302"/>
      <c r="E7" s="1300"/>
      <c r="F7" s="1303"/>
      <c r="G7" s="1303"/>
      <c r="H7" s="1304"/>
      <c r="I7" s="1305">
        <f t="shared" si="0"/>
        <v>0</v>
      </c>
    </row>
    <row r="8" spans="1:9">
      <c r="A8" s="3189"/>
      <c r="B8" s="3190" t="s">
        <v>1087</v>
      </c>
      <c r="C8" s="3190"/>
      <c r="D8" s="1302"/>
      <c r="E8" s="1300"/>
      <c r="F8" s="1303"/>
      <c r="G8" s="1303"/>
      <c r="H8" s="1304"/>
      <c r="I8" s="1305">
        <f t="shared" si="0"/>
        <v>0</v>
      </c>
    </row>
    <row r="9" spans="1:9">
      <c r="A9" s="3189"/>
      <c r="B9" s="3190" t="s">
        <v>1088</v>
      </c>
      <c r="C9" s="3190"/>
      <c r="D9" s="1302"/>
      <c r="E9" s="1300"/>
      <c r="F9" s="1303"/>
      <c r="G9" s="1303"/>
      <c r="H9" s="1304"/>
      <c r="I9" s="1305">
        <f t="shared" si="0"/>
        <v>0</v>
      </c>
    </row>
    <row r="10" spans="1:9">
      <c r="A10" s="3189"/>
      <c r="B10" s="3191" t="s">
        <v>1089</v>
      </c>
      <c r="C10" s="3191"/>
      <c r="D10" s="1306"/>
      <c r="E10" s="1306" t="e">
        <f>ROUND(D1*10000/D10/H9,0)</f>
        <v>#DIV/0!</v>
      </c>
      <c r="F10" s="1307"/>
      <c r="G10" s="1307"/>
      <c r="H10" s="1308"/>
      <c r="I10" s="1309">
        <f>SUM(I3:I9)</f>
        <v>0</v>
      </c>
    </row>
    <row r="11" spans="1:9" ht="14.25">
      <c r="A11" s="3189" t="s">
        <v>1090</v>
      </c>
      <c r="B11" s="3190" t="s">
        <v>1091</v>
      </c>
      <c r="C11" s="3190"/>
      <c r="D11" s="1302" t="s">
        <v>1092</v>
      </c>
      <c r="E11" s="1302" t="s">
        <v>1093</v>
      </c>
      <c r="F11" s="1303" t="s">
        <v>1094</v>
      </c>
      <c r="G11" s="1303" t="s">
        <v>1080</v>
      </c>
      <c r="H11" s="1310" t="s">
        <v>1095</v>
      </c>
      <c r="I11" s="1301" t="s">
        <v>1081</v>
      </c>
    </row>
    <row r="12" spans="1:9">
      <c r="A12" s="3189"/>
      <c r="B12" s="3190" t="s">
        <v>1096</v>
      </c>
      <c r="C12" s="3190"/>
      <c r="D12" s="1302"/>
      <c r="E12" s="1302"/>
      <c r="F12" s="1303"/>
      <c r="G12" s="1304"/>
      <c r="H12" s="1311"/>
      <c r="I12" s="1301">
        <f>ROUND(D12*E12*F12*G12/10000,0)</f>
        <v>0</v>
      </c>
    </row>
    <row r="13" spans="1:9">
      <c r="A13" s="3189"/>
      <c r="B13" s="3190" t="s">
        <v>1097</v>
      </c>
      <c r="C13" s="3190"/>
      <c r="D13" s="1302"/>
      <c r="E13" s="1302"/>
      <c r="F13" s="1303"/>
      <c r="G13" s="1304"/>
      <c r="H13" s="1311"/>
      <c r="I13" s="1301">
        <f>ROUND(D13*E13*F13*G13/10000,0)</f>
        <v>0</v>
      </c>
    </row>
    <row r="14" spans="1:9">
      <c r="A14" s="3189"/>
      <c r="B14" s="3190" t="s">
        <v>1098</v>
      </c>
      <c r="C14" s="3190"/>
      <c r="D14" s="1302"/>
      <c r="E14" s="1302"/>
      <c r="F14" s="1303"/>
      <c r="G14" s="1304"/>
      <c r="H14" s="1311"/>
      <c r="I14" s="1301">
        <f>ROUND(D14*E14*F14*G14/10000,0)</f>
        <v>0</v>
      </c>
    </row>
    <row r="15" spans="1:9">
      <c r="A15" s="3189"/>
      <c r="B15" s="3191" t="s">
        <v>1089</v>
      </c>
      <c r="C15" s="3191"/>
      <c r="D15" s="1306"/>
      <c r="E15" s="1306">
        <f>SUM(E12:E14)</f>
        <v>0</v>
      </c>
      <c r="F15" s="1307"/>
      <c r="G15" s="1304"/>
      <c r="H15" s="1311"/>
      <c r="I15" s="1312">
        <f>SUM(I12:I14)</f>
        <v>0</v>
      </c>
    </row>
    <row r="16" spans="1:9" ht="24">
      <c r="A16" s="3189" t="s">
        <v>1099</v>
      </c>
      <c r="B16" s="3190" t="s">
        <v>1100</v>
      </c>
      <c r="C16" s="3190"/>
      <c r="D16" s="1302" t="s">
        <v>1076</v>
      </c>
      <c r="E16" s="1313" t="s">
        <v>1101</v>
      </c>
      <c r="F16" s="1303" t="s">
        <v>1102</v>
      </c>
      <c r="G16" s="1304" t="s">
        <v>1080</v>
      </c>
      <c r="H16" s="1310" t="s">
        <v>1095</v>
      </c>
      <c r="I16" s="1301" t="s">
        <v>1081</v>
      </c>
    </row>
    <row r="17" spans="1:9" ht="14.25">
      <c r="A17" s="3189"/>
      <c r="B17" s="3190" t="s">
        <v>1103</v>
      </c>
      <c r="C17" s="3190"/>
      <c r="D17" s="1302"/>
      <c r="E17" s="1302"/>
      <c r="F17" s="1303"/>
      <c r="G17" s="1304"/>
      <c r="H17" s="1314"/>
      <c r="I17" s="1315">
        <f>ROUND(D17*E17*F17*G17/10000,0)</f>
        <v>0</v>
      </c>
    </row>
    <row r="18" spans="1:9" ht="14.25">
      <c r="A18" s="3189"/>
      <c r="B18" s="3190" t="s">
        <v>1104</v>
      </c>
      <c r="C18" s="3190"/>
      <c r="D18" s="1302"/>
      <c r="E18" s="1302"/>
      <c r="F18" s="1303"/>
      <c r="G18" s="1304"/>
      <c r="H18" s="1314"/>
      <c r="I18" s="1315">
        <f>ROUND(D18*E18*F18*G18/10000,0)</f>
        <v>0</v>
      </c>
    </row>
    <row r="19" spans="1:9" ht="14.25">
      <c r="A19" s="3189"/>
      <c r="B19" s="3190" t="s">
        <v>1105</v>
      </c>
      <c r="C19" s="3190"/>
      <c r="D19" s="1302"/>
      <c r="E19" s="1302"/>
      <c r="F19" s="1303"/>
      <c r="G19" s="1304"/>
      <c r="H19" s="1314"/>
      <c r="I19" s="1315">
        <f>ROUND(D19*E19*F19*G19/10000,0)</f>
        <v>0</v>
      </c>
    </row>
    <row r="20" spans="1:9">
      <c r="A20" s="3189"/>
      <c r="B20" s="3191" t="s">
        <v>1089</v>
      </c>
      <c r="C20" s="3191"/>
      <c r="D20" s="1306">
        <f>SUM(D17:D19)</f>
        <v>0</v>
      </c>
      <c r="E20" s="1306"/>
      <c r="F20" s="1307"/>
      <c r="G20" s="1304"/>
      <c r="H20" s="1311"/>
      <c r="I20" s="1312">
        <f>SUM(I17:I19)</f>
        <v>0</v>
      </c>
    </row>
    <row r="21" spans="1:9">
      <c r="A21" s="3189" t="s">
        <v>1106</v>
      </c>
      <c r="B21" s="3192"/>
      <c r="C21" s="3192"/>
      <c r="D21" s="3192"/>
      <c r="E21" s="3192"/>
      <c r="F21" s="3192"/>
      <c r="G21" s="3192"/>
      <c r="H21" s="1764">
        <v>0.1</v>
      </c>
      <c r="I21" s="1309">
        <f>ROUND(I10*H21,0)</f>
        <v>0</v>
      </c>
    </row>
    <row r="22" spans="1:9" ht="14.25">
      <c r="A22" s="3193" t="s">
        <v>1107</v>
      </c>
      <c r="B22" s="3194"/>
      <c r="C22" s="3195"/>
      <c r="D22" s="1316" t="s">
        <v>1108</v>
      </c>
      <c r="E22" s="1316" t="s">
        <v>1109</v>
      </c>
      <c r="F22" s="1317" t="s">
        <v>1110</v>
      </c>
      <c r="G22" s="1317" t="s">
        <v>1111</v>
      </c>
      <c r="H22" s="1310" t="s">
        <v>1112</v>
      </c>
      <c r="I22" s="1301" t="s">
        <v>1113</v>
      </c>
    </row>
    <row r="23" spans="1:9" ht="14.25" thickBot="1">
      <c r="A23" s="3196"/>
      <c r="B23" s="3197"/>
      <c r="C23" s="3198"/>
      <c r="D23" s="1318"/>
      <c r="E23" s="1318"/>
      <c r="F23" s="1318"/>
      <c r="G23" s="1319"/>
      <c r="H23" s="1320"/>
      <c r="I23" s="1321">
        <f>ROUND(E23*D23*F23*(1-G23)/10000,0)</f>
        <v>0</v>
      </c>
    </row>
    <row r="26" spans="1:9">
      <c r="A26" s="1322" t="s">
        <v>1114</v>
      </c>
      <c r="B26" s="1322"/>
      <c r="C26" s="1322"/>
      <c r="D26" s="1322"/>
      <c r="E26" s="3186">
        <f>C27-C30-C31-C32</f>
        <v>0</v>
      </c>
      <c r="F26" s="3186"/>
      <c r="G26" s="3186"/>
      <c r="H26" s="1736" t="s">
        <v>1336</v>
      </c>
    </row>
    <row r="27" spans="1:9">
      <c r="A27" s="1323">
        <v>1</v>
      </c>
      <c r="B27" s="1324" t="s">
        <v>1115</v>
      </c>
      <c r="C27" s="1324">
        <f>C28+C29</f>
        <v>0</v>
      </c>
      <c r="D27" s="1324"/>
      <c r="E27" s="3187"/>
      <c r="F27" s="3187"/>
      <c r="G27" s="3187"/>
    </row>
    <row r="28" spans="1:9">
      <c r="A28" s="1325" t="s">
        <v>1116</v>
      </c>
      <c r="B28" s="1324" t="s">
        <v>1117</v>
      </c>
      <c r="C28" s="1324"/>
      <c r="D28" s="1324"/>
      <c r="E28" s="3187"/>
      <c r="F28" s="3187"/>
      <c r="G28" s="318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8"/>
      <c r="F32" s="3188"/>
      <c r="G32" s="3188"/>
    </row>
    <row r="33" spans="1:7" hidden="1">
      <c r="A33" s="3183" t="s">
        <v>1126</v>
      </c>
      <c r="B33" s="3184"/>
      <c r="C33" s="3184"/>
      <c r="D33" s="3185"/>
      <c r="E33" s="3186"/>
      <c r="F33" s="3186"/>
      <c r="G33" s="3186"/>
    </row>
    <row r="34" spans="1:7" hidden="1">
      <c r="A34" s="1327">
        <v>1</v>
      </c>
      <c r="B34" s="1324" t="s">
        <v>1127</v>
      </c>
      <c r="C34" s="1324"/>
      <c r="D34" s="1324"/>
      <c r="E34" s="3187"/>
      <c r="F34" s="3187"/>
      <c r="G34" s="3187"/>
    </row>
    <row r="35" spans="1:7" hidden="1">
      <c r="A35" s="1327">
        <v>2</v>
      </c>
      <c r="B35" s="1324" t="s">
        <v>1128</v>
      </c>
      <c r="C35" s="1324"/>
      <c r="D35" s="1324"/>
      <c r="E35" s="3187"/>
      <c r="F35" s="3187"/>
      <c r="G35" s="3187"/>
    </row>
    <row r="36" spans="1:7" hidden="1">
      <c r="A36" s="1327">
        <v>3</v>
      </c>
      <c r="B36" s="1324" t="s">
        <v>1129</v>
      </c>
      <c r="C36" s="1324"/>
      <c r="D36" s="1324"/>
      <c r="E36" s="3187"/>
      <c r="F36" s="3187"/>
      <c r="G36" s="3187"/>
    </row>
    <row r="37" spans="1:7" hidden="1">
      <c r="A37" s="1327">
        <v>4</v>
      </c>
      <c r="B37" s="1324" t="s">
        <v>1130</v>
      </c>
      <c r="C37" s="1324"/>
      <c r="D37" s="1324"/>
      <c r="E37" s="3187"/>
      <c r="F37" s="3187"/>
      <c r="G37" s="3187"/>
    </row>
    <row r="38" spans="1:7" hidden="1">
      <c r="A38" s="3183" t="s">
        <v>1131</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42" sqref="F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2526</v>
      </c>
      <c r="C1" s="1633" t="s">
        <v>2527</v>
      </c>
      <c r="D1" s="1620" t="s">
        <v>3084</v>
      </c>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11478</v>
      </c>
      <c r="C2" s="2587" t="s">
        <v>70</v>
      </c>
      <c r="D2" s="1364" t="e">
        <f ca="1">SUMIF(INDIRECT("'"&amp;F2&amp;"'"&amp;"!A:A"),"承租人权益价值",INDIRECT("'"&amp;F2&amp;"'"&amp;"!c:c"))</f>
        <v>#REF!</v>
      </c>
      <c r="E2" s="2588" t="s">
        <v>2328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f>IF(C2="——",C49,ROUND(B2*10000/D3,0))</f>
        <v>31934</v>
      </c>
      <c r="C3" s="399" t="s">
        <v>2530</v>
      </c>
      <c r="D3" s="398">
        <f>IF(D1="",'数据-汇总表'!E3,SUMIF('数据-汇总表'!$C19:$C33,D1,'数据-汇总表'!$E19:$E33))</f>
        <v>3594.41</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2531</v>
      </c>
      <c r="B4" s="401"/>
      <c r="C4" s="3232" t="s">
        <v>2532</v>
      </c>
      <c r="D4" s="3233"/>
      <c r="E4" s="3234" t="s">
        <v>2533</v>
      </c>
      <c r="F4" s="3235"/>
      <c r="G4" s="3232" t="s">
        <v>2534</v>
      </c>
      <c r="H4" s="3233"/>
      <c r="I4" s="3232" t="s">
        <v>2535</v>
      </c>
      <c r="J4" s="3233"/>
      <c r="K4" s="2597" t="s">
        <v>2536</v>
      </c>
      <c r="L4" s="1129"/>
      <c r="M4" s="1130"/>
      <c r="N4" s="1130"/>
      <c r="O4" s="1130"/>
      <c r="P4" s="3236" t="s">
        <v>2537</v>
      </c>
      <c r="Q4" s="3237"/>
      <c r="R4" s="3222" t="s">
        <v>2533</v>
      </c>
      <c r="S4" s="3223"/>
      <c r="T4" s="3222" t="s">
        <v>2534</v>
      </c>
      <c r="U4" s="3223"/>
      <c r="V4" s="3221" t="s">
        <v>2535</v>
      </c>
      <c r="W4" s="3221"/>
      <c r="X4" s="2958"/>
      <c r="Y4" s="3222" t="s">
        <v>2537</v>
      </c>
      <c r="Z4" s="3223"/>
      <c r="AA4" s="3228" t="s">
        <v>2533</v>
      </c>
      <c r="AB4" s="3228" t="s">
        <v>2534</v>
      </c>
      <c r="AC4" s="3228" t="s">
        <v>2535</v>
      </c>
    </row>
    <row r="5" spans="1:29" ht="15">
      <c r="A5" s="403"/>
      <c r="B5" s="404"/>
      <c r="C5" s="3242" t="s">
        <v>2538</v>
      </c>
      <c r="D5" s="3243"/>
      <c r="E5" s="3244" t="s">
        <v>3090</v>
      </c>
      <c r="F5" s="3245"/>
      <c r="G5" s="3242" t="s">
        <v>3091</v>
      </c>
      <c r="H5" s="3243"/>
      <c r="I5" s="3242" t="s">
        <v>3092</v>
      </c>
      <c r="J5" s="3243"/>
      <c r="K5" s="2598"/>
      <c r="L5" s="1129"/>
      <c r="M5" s="1130"/>
      <c r="N5" s="1130"/>
      <c r="O5" s="1130"/>
      <c r="P5" s="3238"/>
      <c r="Q5" s="3239"/>
      <c r="R5" s="3224"/>
      <c r="S5" s="3225"/>
      <c r="T5" s="3224"/>
      <c r="U5" s="3225"/>
      <c r="V5" s="3221"/>
      <c r="W5" s="3221"/>
      <c r="X5" s="2958"/>
      <c r="Y5" s="3224"/>
      <c r="Z5" s="3225"/>
      <c r="AA5" s="3229"/>
      <c r="AB5" s="3229"/>
      <c r="AC5" s="3229"/>
    </row>
    <row r="6" spans="1:29" ht="15.75" thickBot="1">
      <c r="A6" s="405"/>
      <c r="B6" s="406"/>
      <c r="C6" s="3246" t="s">
        <v>2542</v>
      </c>
      <c r="D6" s="3247"/>
      <c r="E6" s="3248" t="s">
        <v>2542</v>
      </c>
      <c r="F6" s="3249"/>
      <c r="G6" s="3246" t="s">
        <v>2542</v>
      </c>
      <c r="H6" s="3247"/>
      <c r="I6" s="3246" t="s">
        <v>2542</v>
      </c>
      <c r="J6" s="3247"/>
      <c r="K6" s="2598" t="s">
        <v>2543</v>
      </c>
      <c r="L6" s="1129"/>
      <c r="M6" s="1130"/>
      <c r="N6" s="1130"/>
      <c r="O6" s="1130"/>
      <c r="P6" s="3240"/>
      <c r="Q6" s="3241"/>
      <c r="R6" s="3224"/>
      <c r="S6" s="3225"/>
      <c r="T6" s="3226"/>
      <c r="U6" s="3227"/>
      <c r="V6" s="3221"/>
      <c r="W6" s="3221"/>
      <c r="X6" s="2958"/>
      <c r="Y6" s="3226"/>
      <c r="Z6" s="3227"/>
      <c r="AA6" s="3230"/>
      <c r="AB6" s="3230"/>
      <c r="AC6" s="3230"/>
    </row>
    <row r="7" spans="1:29" s="116" customFormat="1" ht="15.75" thickBot="1">
      <c r="A7" s="407" t="s">
        <v>2544</v>
      </c>
      <c r="B7" s="408"/>
      <c r="C7" s="409">
        <f>'数据-取费表'!B2</f>
        <v>43764</v>
      </c>
      <c r="D7" s="410">
        <v>100</v>
      </c>
      <c r="E7" s="411">
        <f>C7</f>
        <v>43764</v>
      </c>
      <c r="F7" s="412">
        <f>SUMIF(58:58,YEAR(E7)&amp;"-"&amp;MONTH(E7),59:59)</f>
        <v>100</v>
      </c>
      <c r="G7" s="411">
        <f>C7</f>
        <v>43764</v>
      </c>
      <c r="H7" s="410">
        <f>SUMIF(58:58,YEAR(G7)&amp;"-"&amp;MONTH(G7),59:59)</f>
        <v>100</v>
      </c>
      <c r="I7" s="411">
        <f>C7</f>
        <v>43764</v>
      </c>
      <c r="J7" s="410">
        <f>SUMIF(58:58,YEAR(I7)&amp;"-"&amp;MONTH(I7),59:59)</f>
        <v>100</v>
      </c>
      <c r="K7" s="2599"/>
      <c r="L7" s="1131"/>
      <c r="M7" s="1132"/>
      <c r="N7" s="1132"/>
      <c r="O7" s="1132"/>
      <c r="P7" s="3218" t="s">
        <v>2545</v>
      </c>
      <c r="Q7" s="3231"/>
      <c r="R7" s="769" t="s">
        <v>23</v>
      </c>
      <c r="S7" s="770">
        <f t="shared" ref="S7:S15" si="0">F7</f>
        <v>100</v>
      </c>
      <c r="T7" s="769" t="s">
        <v>23</v>
      </c>
      <c r="U7" s="770">
        <f t="shared" ref="U7:U15" si="1">H7</f>
        <v>100</v>
      </c>
      <c r="V7" s="769" t="s">
        <v>23</v>
      </c>
      <c r="W7" s="770">
        <f t="shared" ref="W7:W15" si="2">J7</f>
        <v>100</v>
      </c>
      <c r="X7" s="771"/>
      <c r="Y7" s="3218" t="s">
        <v>2545</v>
      </c>
      <c r="Z7" s="3219"/>
      <c r="AA7" s="772">
        <f>D7/F7</f>
        <v>1</v>
      </c>
      <c r="AB7" s="772">
        <f>D7/H7</f>
        <v>1</v>
      </c>
      <c r="AC7" s="772">
        <f>D7/J7</f>
        <v>1</v>
      </c>
    </row>
    <row r="8" spans="1:29" s="116" customFormat="1" ht="15.75" thickBot="1">
      <c r="A8" s="407" t="s">
        <v>2546</v>
      </c>
      <c r="B8" s="408"/>
      <c r="C8" s="413" t="s">
        <v>2547</v>
      </c>
      <c r="D8" s="410">
        <v>100</v>
      </c>
      <c r="E8" s="2600" t="s">
        <v>3093</v>
      </c>
      <c r="F8" s="412">
        <f>SUMIF(61:61,E8,62:62)-SUMIF(61:61,C8,62:62)+100</f>
        <v>100</v>
      </c>
      <c r="G8" s="413" t="s">
        <v>3093</v>
      </c>
      <c r="H8" s="410">
        <f>SUMIF(61:61,G8,62:62)-SUMIF(61:61,C8,62:62)+100</f>
        <v>100</v>
      </c>
      <c r="I8" s="2600" t="s">
        <v>3093</v>
      </c>
      <c r="J8" s="410">
        <f>SUMIF(61:61,I8,62:62)-SUMIF(61:61,C8,62:62)+100</f>
        <v>100</v>
      </c>
      <c r="K8" s="2599"/>
      <c r="L8" s="1131"/>
      <c r="M8" s="1132"/>
      <c r="N8" s="1132"/>
      <c r="O8" s="1132"/>
      <c r="P8" s="3218" t="s">
        <v>2548</v>
      </c>
      <c r="Q8" s="3219"/>
      <c r="R8" s="769" t="s">
        <v>23</v>
      </c>
      <c r="S8" s="770">
        <f t="shared" si="0"/>
        <v>100</v>
      </c>
      <c r="T8" s="769" t="s">
        <v>23</v>
      </c>
      <c r="U8" s="770">
        <f t="shared" si="1"/>
        <v>100</v>
      </c>
      <c r="V8" s="769" t="s">
        <v>23</v>
      </c>
      <c r="W8" s="770">
        <f t="shared" si="2"/>
        <v>100</v>
      </c>
      <c r="X8" s="771"/>
      <c r="Y8" s="3218" t="s">
        <v>2548</v>
      </c>
      <c r="Z8" s="3219"/>
      <c r="AA8" s="772">
        <f t="shared" ref="AA8:AA19" si="3">D8/F8</f>
        <v>1</v>
      </c>
      <c r="AB8" s="772">
        <f t="shared" ref="AB8:AB19" si="4">D8/H8</f>
        <v>1</v>
      </c>
      <c r="AC8" s="772">
        <f t="shared" ref="AC8:AC19" si="5">D8/J8</f>
        <v>1</v>
      </c>
    </row>
    <row r="9" spans="1:29" s="116" customFormat="1">
      <c r="A9" s="414" t="s">
        <v>2549</v>
      </c>
      <c r="B9" s="70" t="s">
        <v>2550</v>
      </c>
      <c r="C9" s="2967" t="s">
        <v>3094</v>
      </c>
      <c r="D9" s="134">
        <v>100</v>
      </c>
      <c r="E9" s="416" t="s">
        <v>3083</v>
      </c>
      <c r="F9" s="417">
        <f>SUMIF(63:63,E9,64:64)-SUMIF(63:63,C9,64:64)+100</f>
        <v>100</v>
      </c>
      <c r="G9" s="418" t="s">
        <v>3083</v>
      </c>
      <c r="H9" s="134">
        <f>SUMIF(63:63,G9,64:64)-SUMIF(63:63,C9,64:64)+100</f>
        <v>100</v>
      </c>
      <c r="I9" s="418" t="s">
        <v>3083</v>
      </c>
      <c r="J9" s="134">
        <f>SUMIF(63:63,I9,64:64)-SUMIF(63:63,C9,64:64)+100</f>
        <v>100</v>
      </c>
      <c r="K9" s="2599"/>
      <c r="L9" s="1131"/>
      <c r="M9" s="1132"/>
      <c r="N9" s="1132"/>
      <c r="O9" s="1132"/>
      <c r="P9" s="3220" t="s">
        <v>2551</v>
      </c>
      <c r="Q9" s="2953" t="str">
        <f t="shared" ref="Q9:Q15" si="6">B9</f>
        <v>用途</v>
      </c>
      <c r="R9" s="769" t="s">
        <v>17</v>
      </c>
      <c r="S9" s="770">
        <f t="shared" si="0"/>
        <v>100</v>
      </c>
      <c r="T9" s="769" t="s">
        <v>17</v>
      </c>
      <c r="U9" s="770">
        <f t="shared" si="1"/>
        <v>100</v>
      </c>
      <c r="V9" s="769" t="s">
        <v>17</v>
      </c>
      <c r="W9" s="770">
        <f t="shared" si="2"/>
        <v>100</v>
      </c>
      <c r="X9" s="771"/>
      <c r="Y9" s="3024" t="s">
        <v>2552</v>
      </c>
      <c r="Z9" s="2954" t="str">
        <f t="shared" ref="Z9:Z15" si="7">Q9</f>
        <v>用途</v>
      </c>
      <c r="AA9" s="772">
        <f t="shared" si="3"/>
        <v>1</v>
      </c>
      <c r="AB9" s="772">
        <f t="shared" si="4"/>
        <v>1</v>
      </c>
      <c r="AC9" s="772">
        <f t="shared" si="5"/>
        <v>1</v>
      </c>
    </row>
    <row r="10" spans="1:29" s="426" customFormat="1" ht="27">
      <c r="A10" s="420"/>
      <c r="B10" s="2955" t="s">
        <v>2553</v>
      </c>
      <c r="C10" s="422" t="s">
        <v>3095</v>
      </c>
      <c r="D10" s="135">
        <v>100</v>
      </c>
      <c r="E10" s="423" t="s">
        <v>3095</v>
      </c>
      <c r="F10" s="424">
        <f>SUMIF(65:65,E10,66:66)-SUMIF(65:65,C10,66:66)+100</f>
        <v>100</v>
      </c>
      <c r="G10" s="422" t="s">
        <v>3095</v>
      </c>
      <c r="H10" s="135">
        <f>SUMIF(65:65,G10,66:66)-SUMIF(65:65,C10,66:66)+100</f>
        <v>100</v>
      </c>
      <c r="I10" s="422" t="s">
        <v>3095</v>
      </c>
      <c r="J10" s="135">
        <f>SUMIF(65:65,I10,66:66)-SUMIF(65:65,C10,66:66)+100</f>
        <v>100</v>
      </c>
      <c r="K10" s="425">
        <v>2</v>
      </c>
      <c r="L10" s="1134"/>
      <c r="M10" s="1135"/>
      <c r="N10" s="1135"/>
      <c r="O10" s="1135"/>
      <c r="P10" s="3220"/>
      <c r="Q10" s="2953" t="str">
        <f t="shared" si="6"/>
        <v>土地使用年限（年）</v>
      </c>
      <c r="R10" s="769" t="s">
        <v>17</v>
      </c>
      <c r="S10" s="770">
        <f t="shared" si="0"/>
        <v>100</v>
      </c>
      <c r="T10" s="769" t="s">
        <v>17</v>
      </c>
      <c r="U10" s="770">
        <f t="shared" si="1"/>
        <v>100</v>
      </c>
      <c r="V10" s="769" t="s">
        <v>17</v>
      </c>
      <c r="W10" s="770">
        <f t="shared" si="2"/>
        <v>100</v>
      </c>
      <c r="X10" s="771"/>
      <c r="Y10" s="3024"/>
      <c r="Z10" s="2954" t="str">
        <f t="shared" si="7"/>
        <v>土地使用年限（年）</v>
      </c>
      <c r="AA10" s="772">
        <f t="shared" si="3"/>
        <v>1</v>
      </c>
      <c r="AB10" s="772">
        <f t="shared" si="4"/>
        <v>1</v>
      </c>
      <c r="AC10" s="772">
        <f t="shared" si="5"/>
        <v>1</v>
      </c>
    </row>
    <row r="11" spans="1:29" ht="15">
      <c r="A11" s="427"/>
      <c r="B11" s="2955" t="s">
        <v>2554</v>
      </c>
      <c r="C11" s="428">
        <v>1.2</v>
      </c>
      <c r="D11" s="135">
        <v>100</v>
      </c>
      <c r="E11" s="429">
        <v>1.2</v>
      </c>
      <c r="F11" s="424">
        <f>LOOKUP(E11,68:68,69:69)-LOOKUP(C11,68:68,69:69)+100</f>
        <v>100</v>
      </c>
      <c r="G11" s="428">
        <v>1.2</v>
      </c>
      <c r="H11" s="135">
        <f>LOOKUP(G11,68:68,69:69)-LOOKUP(C11,68:68,69:69)+100</f>
        <v>100</v>
      </c>
      <c r="I11" s="428">
        <v>1</v>
      </c>
      <c r="J11" s="135">
        <f>LOOKUP(I11,68:68,69:69)-LOOKUP(C11,68:68,69:69)+100</f>
        <v>100</v>
      </c>
      <c r="K11" s="425">
        <v>2</v>
      </c>
      <c r="L11" s="1137"/>
      <c r="M11" s="1130"/>
      <c r="N11" s="1130"/>
      <c r="O11" s="1130"/>
      <c r="P11" s="3220"/>
      <c r="Q11" s="2953" t="str">
        <f t="shared" si="6"/>
        <v>容积率</v>
      </c>
      <c r="R11" s="769" t="s">
        <v>21</v>
      </c>
      <c r="S11" s="770">
        <f t="shared" si="0"/>
        <v>100</v>
      </c>
      <c r="T11" s="769" t="s">
        <v>21</v>
      </c>
      <c r="U11" s="770">
        <f t="shared" si="1"/>
        <v>100</v>
      </c>
      <c r="V11" s="769" t="s">
        <v>21</v>
      </c>
      <c r="W11" s="770">
        <f t="shared" si="2"/>
        <v>100</v>
      </c>
      <c r="X11" s="771"/>
      <c r="Y11" s="3024"/>
      <c r="Z11" s="2954" t="str">
        <f t="shared" si="7"/>
        <v>容积率</v>
      </c>
      <c r="AA11" s="772">
        <f t="shared" si="3"/>
        <v>1</v>
      </c>
      <c r="AB11" s="772">
        <f t="shared" si="4"/>
        <v>1</v>
      </c>
      <c r="AC11" s="772">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20"/>
      <c r="Q12" s="2953">
        <f t="shared" si="6"/>
        <v>111</v>
      </c>
      <c r="R12" s="769" t="s">
        <v>21</v>
      </c>
      <c r="S12" s="770">
        <f t="shared" si="0"/>
        <v>100</v>
      </c>
      <c r="T12" s="769" t="s">
        <v>21</v>
      </c>
      <c r="U12" s="770">
        <f t="shared" si="1"/>
        <v>100</v>
      </c>
      <c r="V12" s="769" t="s">
        <v>21</v>
      </c>
      <c r="W12" s="770">
        <f t="shared" si="2"/>
        <v>100</v>
      </c>
      <c r="X12" s="771"/>
      <c r="Y12" s="3024"/>
      <c r="Z12" s="29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20"/>
      <c r="Q13" s="2953">
        <f t="shared" si="6"/>
        <v>111</v>
      </c>
      <c r="R13" s="769" t="s">
        <v>21</v>
      </c>
      <c r="S13" s="770">
        <f t="shared" si="0"/>
        <v>100</v>
      </c>
      <c r="T13" s="769" t="s">
        <v>21</v>
      </c>
      <c r="U13" s="770">
        <f t="shared" si="1"/>
        <v>100</v>
      </c>
      <c r="V13" s="769" t="s">
        <v>21</v>
      </c>
      <c r="W13" s="770">
        <f t="shared" si="2"/>
        <v>100</v>
      </c>
      <c r="X13" s="771"/>
      <c r="Y13" s="3024"/>
      <c r="Z13" s="29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20"/>
      <c r="Q14" s="2953">
        <f t="shared" si="6"/>
        <v>111</v>
      </c>
      <c r="R14" s="769" t="s">
        <v>21</v>
      </c>
      <c r="S14" s="770">
        <f t="shared" si="0"/>
        <v>100</v>
      </c>
      <c r="T14" s="769" t="s">
        <v>21</v>
      </c>
      <c r="U14" s="770">
        <f t="shared" si="1"/>
        <v>100</v>
      </c>
      <c r="V14" s="769" t="s">
        <v>21</v>
      </c>
      <c r="W14" s="770">
        <f t="shared" si="2"/>
        <v>100</v>
      </c>
      <c r="X14" s="771"/>
      <c r="Y14" s="3024"/>
      <c r="Z14" s="2954">
        <f t="shared" si="7"/>
        <v>111</v>
      </c>
      <c r="AA14" s="772">
        <f t="shared" si="3"/>
        <v>1</v>
      </c>
      <c r="AB14" s="772">
        <f t="shared" si="4"/>
        <v>1</v>
      </c>
      <c r="AC14" s="772">
        <f t="shared" si="5"/>
        <v>1</v>
      </c>
    </row>
    <row r="15" spans="1:29" ht="99.75">
      <c r="A15" s="439" t="s">
        <v>2555</v>
      </c>
      <c r="B15" s="68" t="s">
        <v>2085</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9"/>
      <c r="M15" s="1130"/>
      <c r="N15" s="1130"/>
      <c r="O15" s="1130"/>
      <c r="P15" s="3209" t="s">
        <v>2556</v>
      </c>
      <c r="Q15" s="2956" t="str">
        <f t="shared" si="6"/>
        <v>居住社区成熟度</v>
      </c>
      <c r="R15" s="773" t="s">
        <v>21</v>
      </c>
      <c r="S15" s="774">
        <f t="shared" si="0"/>
        <v>100</v>
      </c>
      <c r="T15" s="773" t="s">
        <v>21</v>
      </c>
      <c r="U15" s="774">
        <f t="shared" si="1"/>
        <v>100</v>
      </c>
      <c r="V15" s="773" t="s">
        <v>21</v>
      </c>
      <c r="W15" s="774">
        <f t="shared" si="2"/>
        <v>100</v>
      </c>
      <c r="X15" s="2958"/>
      <c r="Y15" s="3211" t="s">
        <v>2556</v>
      </c>
      <c r="Z15" s="2959" t="str">
        <f t="shared" si="7"/>
        <v>居住社区成熟度</v>
      </c>
      <c r="AA15" s="2957">
        <f t="shared" si="3"/>
        <v>1</v>
      </c>
      <c r="AB15" s="2957">
        <f t="shared" si="4"/>
        <v>1</v>
      </c>
      <c r="AC15" s="2957">
        <f t="shared" si="5"/>
        <v>1</v>
      </c>
    </row>
    <row r="16" spans="1:29" ht="15">
      <c r="A16" s="427"/>
      <c r="B16" s="445"/>
      <c r="C16" s="446" t="s">
        <v>3096</v>
      </c>
      <c r="D16" s="447"/>
      <c r="E16" s="2605" t="s">
        <v>3096</v>
      </c>
      <c r="F16" s="447"/>
      <c r="G16" s="2606" t="s">
        <v>3096</v>
      </c>
      <c r="H16" s="449"/>
      <c r="I16" s="2606" t="s">
        <v>3096</v>
      </c>
      <c r="J16" s="447"/>
      <c r="K16" s="2607"/>
      <c r="L16" s="1139"/>
      <c r="M16" s="1130"/>
      <c r="N16" s="1130"/>
      <c r="O16" s="1130"/>
      <c r="P16" s="3210"/>
      <c r="Q16" s="2956"/>
      <c r="R16" s="773"/>
      <c r="S16" s="774"/>
      <c r="T16" s="773"/>
      <c r="U16" s="774"/>
      <c r="V16" s="773"/>
      <c r="W16" s="774"/>
      <c r="X16" s="2958"/>
      <c r="Y16" s="3212"/>
      <c r="Z16" s="2959"/>
      <c r="AA16" s="2957">
        <v>1</v>
      </c>
      <c r="AB16" s="2957">
        <v>1</v>
      </c>
      <c r="AC16" s="2957">
        <v>1</v>
      </c>
    </row>
    <row r="17" spans="1:29" ht="85.5">
      <c r="A17" s="427"/>
      <c r="B17" s="450" t="s">
        <v>2097</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9"/>
      <c r="M17" s="1130"/>
      <c r="N17" s="1130"/>
      <c r="O17" s="1130"/>
      <c r="P17" s="3210"/>
      <c r="Q17" s="2956" t="str">
        <f>B17</f>
        <v>交通便捷度</v>
      </c>
      <c r="R17" s="773" t="s">
        <v>21</v>
      </c>
      <c r="S17" s="774">
        <f>F17</f>
        <v>100</v>
      </c>
      <c r="T17" s="773" t="s">
        <v>21</v>
      </c>
      <c r="U17" s="774">
        <f>H17</f>
        <v>100</v>
      </c>
      <c r="V17" s="773" t="s">
        <v>21</v>
      </c>
      <c r="W17" s="774">
        <f>J17</f>
        <v>100</v>
      </c>
      <c r="X17" s="2958"/>
      <c r="Y17" s="3212"/>
      <c r="Z17" s="2959" t="str">
        <f>Q17</f>
        <v>交通便捷度</v>
      </c>
      <c r="AA17" s="2957">
        <f t="shared" si="3"/>
        <v>1</v>
      </c>
      <c r="AB17" s="2957">
        <f t="shared" si="4"/>
        <v>1</v>
      </c>
      <c r="AC17" s="2957">
        <f t="shared" si="5"/>
        <v>1</v>
      </c>
    </row>
    <row r="18" spans="1:29" ht="15">
      <c r="A18" s="427"/>
      <c r="B18" s="455"/>
      <c r="C18" s="2609" t="s">
        <v>3097</v>
      </c>
      <c r="D18" s="449"/>
      <c r="E18" s="2610" t="s">
        <v>3097</v>
      </c>
      <c r="F18" s="449"/>
      <c r="G18" s="2611" t="s">
        <v>3097</v>
      </c>
      <c r="H18" s="447"/>
      <c r="I18" s="2611" t="s">
        <v>3097</v>
      </c>
      <c r="J18" s="447"/>
      <c r="K18" s="2607"/>
      <c r="L18" s="1139"/>
      <c r="M18" s="1130"/>
      <c r="N18" s="1130"/>
      <c r="O18" s="1130"/>
      <c r="P18" s="3210"/>
      <c r="Q18" s="2956"/>
      <c r="R18" s="773"/>
      <c r="S18" s="774"/>
      <c r="T18" s="773"/>
      <c r="U18" s="774"/>
      <c r="V18" s="773"/>
      <c r="W18" s="774"/>
      <c r="X18" s="2958"/>
      <c r="Y18" s="3212"/>
      <c r="Z18" s="2959"/>
      <c r="AA18" s="2957">
        <v>1</v>
      </c>
      <c r="AB18" s="2957">
        <v>1</v>
      </c>
      <c r="AC18" s="2957">
        <v>1</v>
      </c>
    </row>
    <row r="19" spans="1:29" ht="42.75">
      <c r="A19" s="427"/>
      <c r="B19" s="450" t="s">
        <v>2095</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10"/>
      <c r="Q19" s="2956" t="str">
        <f>B19</f>
        <v>公共配套设施</v>
      </c>
      <c r="R19" s="773" t="s">
        <v>21</v>
      </c>
      <c r="S19" s="774">
        <f>F19</f>
        <v>100</v>
      </c>
      <c r="T19" s="773" t="s">
        <v>21</v>
      </c>
      <c r="U19" s="774">
        <f>H19</f>
        <v>100</v>
      </c>
      <c r="V19" s="773" t="s">
        <v>21</v>
      </c>
      <c r="W19" s="774">
        <f>J19</f>
        <v>100</v>
      </c>
      <c r="X19" s="2958"/>
      <c r="Y19" s="3212"/>
      <c r="Z19" s="2959" t="str">
        <f>Q19</f>
        <v>公共配套设施</v>
      </c>
      <c r="AA19" s="2957">
        <f t="shared" si="3"/>
        <v>1</v>
      </c>
      <c r="AB19" s="2957">
        <f t="shared" si="4"/>
        <v>1</v>
      </c>
      <c r="AC19" s="2957">
        <f t="shared" si="5"/>
        <v>1</v>
      </c>
    </row>
    <row r="20" spans="1:29" ht="15">
      <c r="A20" s="427"/>
      <c r="B20" s="455"/>
      <c r="C20" s="446" t="s">
        <v>3097</v>
      </c>
      <c r="D20" s="447"/>
      <c r="E20" s="2605" t="s">
        <v>3097</v>
      </c>
      <c r="F20" s="447"/>
      <c r="G20" s="2606" t="s">
        <v>3097</v>
      </c>
      <c r="H20" s="447"/>
      <c r="I20" s="2606" t="s">
        <v>3097</v>
      </c>
      <c r="J20" s="447"/>
      <c r="K20" s="2607"/>
      <c r="L20" s="1139"/>
      <c r="M20" s="1130"/>
      <c r="N20" s="1130"/>
      <c r="O20" s="1130"/>
      <c r="P20" s="3210"/>
      <c r="Q20" s="2956"/>
      <c r="R20" s="773"/>
      <c r="S20" s="774"/>
      <c r="T20" s="773"/>
      <c r="U20" s="774"/>
      <c r="V20" s="773"/>
      <c r="W20" s="774"/>
      <c r="X20" s="2958"/>
      <c r="Y20" s="3212"/>
      <c r="Z20" s="2959"/>
      <c r="AA20" s="2957">
        <v>1</v>
      </c>
      <c r="AB20" s="2957">
        <v>1</v>
      </c>
      <c r="AC20" s="2957">
        <v>1</v>
      </c>
    </row>
    <row r="21" spans="1:29" ht="28.5">
      <c r="A21" s="427"/>
      <c r="B21" s="1383" t="s">
        <v>2098</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10"/>
      <c r="Q21" s="2956" t="str">
        <f>B21</f>
        <v>基础设施水平</v>
      </c>
      <c r="R21" s="773" t="s">
        <v>17</v>
      </c>
      <c r="S21" s="774">
        <f>F21</f>
        <v>100</v>
      </c>
      <c r="T21" s="773" t="s">
        <v>17</v>
      </c>
      <c r="U21" s="774">
        <f>H21</f>
        <v>100</v>
      </c>
      <c r="V21" s="773" t="s">
        <v>17</v>
      </c>
      <c r="W21" s="774">
        <f>J21</f>
        <v>100</v>
      </c>
      <c r="X21" s="2958"/>
      <c r="Y21" s="3212"/>
      <c r="Z21" s="2959" t="str">
        <f>Q21</f>
        <v>基础设施水平</v>
      </c>
      <c r="AA21" s="2957">
        <f t="shared" ref="AA21" si="8">D21/F21</f>
        <v>1</v>
      </c>
      <c r="AB21" s="2957">
        <f t="shared" ref="AB21" si="9">D21/H21</f>
        <v>1</v>
      </c>
      <c r="AC21" s="2957">
        <f t="shared" ref="AC21" si="10">D21/J21</f>
        <v>1</v>
      </c>
    </row>
    <row r="22" spans="1:29" ht="15">
      <c r="A22" s="427"/>
      <c r="B22" s="1383"/>
      <c r="C22" s="2609" t="s">
        <v>3098</v>
      </c>
      <c r="D22" s="447"/>
      <c r="E22" s="446" t="s">
        <v>3098</v>
      </c>
      <c r="F22" s="447"/>
      <c r="G22" s="2612" t="s">
        <v>3098</v>
      </c>
      <c r="H22" s="447"/>
      <c r="I22" s="446" t="s">
        <v>3098</v>
      </c>
      <c r="J22" s="447"/>
      <c r="K22" s="2613"/>
      <c r="L22" s="1139"/>
      <c r="M22" s="1130"/>
      <c r="N22" s="1130"/>
      <c r="O22" s="1130"/>
      <c r="P22" s="3210"/>
      <c r="Q22" s="2956"/>
      <c r="R22" s="773"/>
      <c r="S22" s="774"/>
      <c r="T22" s="773"/>
      <c r="U22" s="774"/>
      <c r="V22" s="773"/>
      <c r="W22" s="774"/>
      <c r="X22" s="2958"/>
      <c r="Y22" s="3212"/>
      <c r="Z22" s="2959"/>
      <c r="AA22" s="2957">
        <v>1</v>
      </c>
      <c r="AB22" s="2957">
        <v>1</v>
      </c>
      <c r="AC22" s="2957">
        <v>1</v>
      </c>
    </row>
    <row r="23" spans="1:29" ht="57">
      <c r="A23" s="427"/>
      <c r="B23" s="450" t="s">
        <v>2102</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105</v>
      </c>
      <c r="K23" s="444">
        <v>5</v>
      </c>
      <c r="L23" s="1139"/>
      <c r="M23" s="1130"/>
      <c r="N23" s="1130"/>
      <c r="O23" s="1130"/>
      <c r="P23" s="3210"/>
      <c r="Q23" s="2956" t="str">
        <f>B23</f>
        <v>自然及人文环境</v>
      </c>
      <c r="R23" s="773" t="s">
        <v>21</v>
      </c>
      <c r="S23" s="774">
        <f>F23</f>
        <v>100</v>
      </c>
      <c r="T23" s="773" t="s">
        <v>21</v>
      </c>
      <c r="U23" s="774">
        <f>H23</f>
        <v>100</v>
      </c>
      <c r="V23" s="773" t="s">
        <v>21</v>
      </c>
      <c r="W23" s="774">
        <f>J23</f>
        <v>105</v>
      </c>
      <c r="X23" s="2958"/>
      <c r="Y23" s="3212"/>
      <c r="Z23" s="2959" t="str">
        <f>Q23</f>
        <v>自然及人文环境</v>
      </c>
      <c r="AA23" s="2957">
        <f>D23/F23</f>
        <v>1</v>
      </c>
      <c r="AB23" s="2957">
        <f>D23/H23</f>
        <v>1</v>
      </c>
      <c r="AC23" s="2957">
        <f>D23/J23</f>
        <v>0.95238095238095233</v>
      </c>
    </row>
    <row r="24" spans="1:29" ht="15">
      <c r="A24" s="427"/>
      <c r="B24" s="455"/>
      <c r="C24" s="446" t="s">
        <v>3096</v>
      </c>
      <c r="D24" s="447"/>
      <c r="E24" s="2605" t="s">
        <v>3096</v>
      </c>
      <c r="F24" s="447"/>
      <c r="G24" s="2606" t="s">
        <v>3096</v>
      </c>
      <c r="H24" s="447"/>
      <c r="I24" s="2606" t="s">
        <v>3099</v>
      </c>
      <c r="J24" s="447"/>
      <c r="K24" s="2607"/>
      <c r="L24" s="1139"/>
      <c r="M24" s="1130"/>
      <c r="N24" s="1130"/>
      <c r="O24" s="1130"/>
      <c r="P24" s="3210"/>
      <c r="Q24" s="2956"/>
      <c r="R24" s="773"/>
      <c r="S24" s="774"/>
      <c r="T24" s="773"/>
      <c r="U24" s="774"/>
      <c r="V24" s="773"/>
      <c r="W24" s="774"/>
      <c r="X24" s="2958"/>
      <c r="Y24" s="3212"/>
      <c r="Z24" s="2959"/>
      <c r="AA24" s="2957">
        <v>1</v>
      </c>
      <c r="AB24" s="2957">
        <v>1</v>
      </c>
      <c r="AC24" s="2957">
        <v>1</v>
      </c>
    </row>
    <row r="25" spans="1:29" ht="15">
      <c r="A25" s="427"/>
      <c r="B25" s="2955" t="s">
        <v>2557</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10"/>
      <c r="Q25" s="2956" t="str">
        <f t="shared" ref="Q25:Q46" si="11">B25</f>
        <v>楼层-1</v>
      </c>
      <c r="R25" s="773" t="s">
        <v>21</v>
      </c>
      <c r="S25" s="774">
        <f t="shared" ref="S25:S46" si="12">F25</f>
        <v>100</v>
      </c>
      <c r="T25" s="773" t="s">
        <v>21</v>
      </c>
      <c r="U25" s="774">
        <f t="shared" ref="U25:U46" si="13">H25</f>
        <v>100</v>
      </c>
      <c r="V25" s="773" t="s">
        <v>21</v>
      </c>
      <c r="W25" s="774">
        <f t="shared" ref="W25:W46" si="14">J25</f>
        <v>100</v>
      </c>
      <c r="X25" s="2958"/>
      <c r="Y25" s="3212"/>
      <c r="Z25" s="2959" t="str">
        <f>Q25</f>
        <v>楼层-1</v>
      </c>
      <c r="AA25" s="2957">
        <f t="shared" ref="AA25:AA46" si="15">D25/F25</f>
        <v>1</v>
      </c>
      <c r="AB25" s="2957">
        <f t="shared" ref="AB25:AB46" si="16">D25/H25</f>
        <v>1</v>
      </c>
      <c r="AC25" s="2957">
        <f t="shared" ref="AC25:AC46" si="17">D25/J25</f>
        <v>1</v>
      </c>
    </row>
    <row r="26" spans="1:29" ht="15">
      <c r="A26" s="427"/>
      <c r="B26" s="2955" t="s">
        <v>2558</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10"/>
      <c r="Q26" s="2956" t="str">
        <f t="shared" si="11"/>
        <v>朝向</v>
      </c>
      <c r="R26" s="773" t="s">
        <v>21</v>
      </c>
      <c r="S26" s="774">
        <f t="shared" si="12"/>
        <v>100</v>
      </c>
      <c r="T26" s="773" t="s">
        <v>21</v>
      </c>
      <c r="U26" s="774">
        <f t="shared" si="13"/>
        <v>100</v>
      </c>
      <c r="V26" s="773" t="s">
        <v>21</v>
      </c>
      <c r="W26" s="774">
        <f t="shared" si="14"/>
        <v>100</v>
      </c>
      <c r="X26" s="2958"/>
      <c r="Y26" s="3212"/>
      <c r="Z26" s="2959" t="str">
        <f>Q26</f>
        <v>朝向</v>
      </c>
      <c r="AA26" s="2957">
        <f t="shared" si="15"/>
        <v>1</v>
      </c>
      <c r="AB26" s="2957">
        <f t="shared" si="16"/>
        <v>1</v>
      </c>
      <c r="AC26" s="2957">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10"/>
      <c r="Q27" s="2953">
        <f t="shared" si="11"/>
        <v>111</v>
      </c>
      <c r="R27" s="769" t="s">
        <v>21</v>
      </c>
      <c r="S27" s="770">
        <f t="shared" si="12"/>
        <v>100</v>
      </c>
      <c r="T27" s="769" t="s">
        <v>21</v>
      </c>
      <c r="U27" s="770">
        <f t="shared" si="13"/>
        <v>100</v>
      </c>
      <c r="V27" s="769" t="s">
        <v>21</v>
      </c>
      <c r="W27" s="770">
        <f t="shared" si="14"/>
        <v>100</v>
      </c>
      <c r="X27" s="771"/>
      <c r="Y27" s="3212"/>
      <c r="Z27" s="2954">
        <f>Q27</f>
        <v>111</v>
      </c>
      <c r="AA27" s="2957">
        <f t="shared" si="15"/>
        <v>1</v>
      </c>
      <c r="AB27" s="2957">
        <f t="shared" si="16"/>
        <v>1</v>
      </c>
      <c r="AC27" s="2957">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10"/>
      <c r="Q28" s="2956">
        <f t="shared" si="11"/>
        <v>111</v>
      </c>
      <c r="R28" s="773" t="s">
        <v>21</v>
      </c>
      <c r="S28" s="774">
        <f t="shared" si="12"/>
        <v>100</v>
      </c>
      <c r="T28" s="773" t="s">
        <v>21</v>
      </c>
      <c r="U28" s="774">
        <f t="shared" si="13"/>
        <v>100</v>
      </c>
      <c r="V28" s="773" t="s">
        <v>21</v>
      </c>
      <c r="W28" s="774">
        <f t="shared" si="14"/>
        <v>100</v>
      </c>
      <c r="X28" s="2958"/>
      <c r="Y28" s="3212"/>
      <c r="Z28" s="2959">
        <f t="shared" ref="Z28:Z46" si="18">Q28</f>
        <v>111</v>
      </c>
      <c r="AA28" s="2957">
        <f t="shared" si="15"/>
        <v>1</v>
      </c>
      <c r="AB28" s="2957">
        <f t="shared" si="16"/>
        <v>1</v>
      </c>
      <c r="AC28" s="2957">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10"/>
      <c r="Q29" s="2956">
        <f t="shared" si="11"/>
        <v>111</v>
      </c>
      <c r="R29" s="773" t="s">
        <v>21</v>
      </c>
      <c r="S29" s="774">
        <f t="shared" si="12"/>
        <v>100</v>
      </c>
      <c r="T29" s="773" t="s">
        <v>21</v>
      </c>
      <c r="U29" s="774">
        <f t="shared" si="13"/>
        <v>100</v>
      </c>
      <c r="V29" s="773" t="s">
        <v>21</v>
      </c>
      <c r="W29" s="774">
        <f t="shared" si="14"/>
        <v>100</v>
      </c>
      <c r="X29" s="2958"/>
      <c r="Y29" s="3212"/>
      <c r="Z29" s="2959">
        <f t="shared" si="18"/>
        <v>111</v>
      </c>
      <c r="AA29" s="2957">
        <f t="shared" si="15"/>
        <v>1</v>
      </c>
      <c r="AB29" s="2957">
        <f t="shared" si="16"/>
        <v>1</v>
      </c>
      <c r="AC29" s="2957">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10"/>
      <c r="Q30" s="2956">
        <f t="shared" si="11"/>
        <v>111</v>
      </c>
      <c r="R30" s="773" t="s">
        <v>21</v>
      </c>
      <c r="S30" s="774">
        <f t="shared" si="12"/>
        <v>100</v>
      </c>
      <c r="T30" s="773" t="s">
        <v>21</v>
      </c>
      <c r="U30" s="774">
        <f t="shared" si="13"/>
        <v>100</v>
      </c>
      <c r="V30" s="773" t="s">
        <v>21</v>
      </c>
      <c r="W30" s="774">
        <f t="shared" si="14"/>
        <v>100</v>
      </c>
      <c r="X30" s="2958"/>
      <c r="Y30" s="3212"/>
      <c r="Z30" s="2959">
        <f t="shared" si="18"/>
        <v>111</v>
      </c>
      <c r="AA30" s="2957">
        <f t="shared" si="15"/>
        <v>1</v>
      </c>
      <c r="AB30" s="2957">
        <f t="shared" si="16"/>
        <v>1</v>
      </c>
      <c r="AC30" s="2957">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10"/>
      <c r="Q31" s="2956">
        <f t="shared" si="11"/>
        <v>111</v>
      </c>
      <c r="R31" s="773" t="s">
        <v>21</v>
      </c>
      <c r="S31" s="774">
        <f t="shared" si="12"/>
        <v>100</v>
      </c>
      <c r="T31" s="773" t="s">
        <v>21</v>
      </c>
      <c r="U31" s="774">
        <f t="shared" si="13"/>
        <v>100</v>
      </c>
      <c r="V31" s="773" t="s">
        <v>21</v>
      </c>
      <c r="W31" s="774">
        <f t="shared" si="14"/>
        <v>100</v>
      </c>
      <c r="X31" s="2958"/>
      <c r="Y31" s="3212"/>
      <c r="Z31" s="2959">
        <f t="shared" si="18"/>
        <v>111</v>
      </c>
      <c r="AA31" s="2957">
        <f t="shared" si="15"/>
        <v>1</v>
      </c>
      <c r="AB31" s="2957">
        <f t="shared" si="16"/>
        <v>1</v>
      </c>
      <c r="AC31" s="2957">
        <f t="shared" si="17"/>
        <v>1</v>
      </c>
    </row>
    <row r="32" spans="1:29" ht="15">
      <c r="A32" s="439" t="s">
        <v>2559</v>
      </c>
      <c r="B32" s="70" t="s">
        <v>2560</v>
      </c>
      <c r="C32" s="2618" t="s">
        <v>3084</v>
      </c>
      <c r="D32" s="466">
        <v>100</v>
      </c>
      <c r="E32" s="2619" t="s">
        <v>3084</v>
      </c>
      <c r="F32" s="460">
        <f>SUMIF(100:100,E32,101:101)-SUMIF(100:100,C32,101:101)+100</f>
        <v>100</v>
      </c>
      <c r="G32" s="2618" t="s">
        <v>3084</v>
      </c>
      <c r="H32" s="466">
        <f>SUMIF(100:100,G32,101:101)-SUMIF(100:100,C32,101:101)+100</f>
        <v>100</v>
      </c>
      <c r="I32" s="2619" t="s">
        <v>3084</v>
      </c>
      <c r="J32" s="434">
        <f>SUMIF(100:100,I32,101:101)-SUMIF(100:100,C32,101:101)+100</f>
        <v>100</v>
      </c>
      <c r="K32" s="425">
        <v>2</v>
      </c>
      <c r="L32" s="1139"/>
      <c r="M32" s="1130"/>
      <c r="N32" s="1130"/>
      <c r="O32" s="1130"/>
      <c r="P32" s="3213" t="s">
        <v>2561</v>
      </c>
      <c r="Q32" s="2956" t="str">
        <f t="shared" si="11"/>
        <v>建筑类型</v>
      </c>
      <c r="R32" s="773" t="s">
        <v>21</v>
      </c>
      <c r="S32" s="774">
        <f t="shared" si="12"/>
        <v>100</v>
      </c>
      <c r="T32" s="773" t="s">
        <v>21</v>
      </c>
      <c r="U32" s="774">
        <f t="shared" si="13"/>
        <v>100</v>
      </c>
      <c r="V32" s="773" t="s">
        <v>21</v>
      </c>
      <c r="W32" s="774">
        <f t="shared" si="14"/>
        <v>100</v>
      </c>
      <c r="X32" s="2958"/>
      <c r="Y32" s="3216" t="s">
        <v>2561</v>
      </c>
      <c r="Z32" s="2959" t="str">
        <f t="shared" si="18"/>
        <v>建筑类型</v>
      </c>
      <c r="AA32" s="2957">
        <f t="shared" si="15"/>
        <v>1</v>
      </c>
      <c r="AB32" s="2957">
        <f t="shared" si="16"/>
        <v>1</v>
      </c>
      <c r="AC32" s="2957">
        <f t="shared" si="17"/>
        <v>1</v>
      </c>
    </row>
    <row r="33" spans="1:29" s="470" customFormat="1" ht="15">
      <c r="A33" s="467"/>
      <c r="B33" s="2955" t="s">
        <v>2562</v>
      </c>
      <c r="C33" s="468">
        <v>35370</v>
      </c>
      <c r="D33" s="135">
        <v>100</v>
      </c>
      <c r="E33" s="429">
        <v>99833</v>
      </c>
      <c r="F33" s="424">
        <f>LOOKUP(E33,103:103,104:104)-LOOKUP(C33,103:103,104:104)+100</f>
        <v>102</v>
      </c>
      <c r="G33" s="428">
        <v>50000</v>
      </c>
      <c r="H33" s="135">
        <f>LOOKUP(G33,103:103,104:104)-LOOKUP(C33,103:103,104:104)+100</f>
        <v>101</v>
      </c>
      <c r="I33" s="429">
        <v>80261</v>
      </c>
      <c r="J33" s="135">
        <f>LOOKUP(I33,103:103,104:104)-LOOKUP(C33,103:103,104:104)+100</f>
        <v>102</v>
      </c>
      <c r="K33" s="2602"/>
      <c r="L33" s="1137"/>
      <c r="M33" s="1140"/>
      <c r="N33" s="1140"/>
      <c r="O33" s="1140"/>
      <c r="P33" s="3214"/>
      <c r="Q33" s="775" t="str">
        <f t="shared" si="11"/>
        <v>项目建筑规模</v>
      </c>
      <c r="R33" s="776" t="s">
        <v>21</v>
      </c>
      <c r="S33" s="777">
        <f t="shared" si="12"/>
        <v>102</v>
      </c>
      <c r="T33" s="776" t="s">
        <v>21</v>
      </c>
      <c r="U33" s="777">
        <f t="shared" si="13"/>
        <v>101</v>
      </c>
      <c r="V33" s="776" t="s">
        <v>21</v>
      </c>
      <c r="W33" s="777">
        <f t="shared" si="14"/>
        <v>102</v>
      </c>
      <c r="X33" s="778"/>
      <c r="Y33" s="3216"/>
      <c r="Z33" s="779" t="str">
        <f t="shared" si="18"/>
        <v>项目建筑规模</v>
      </c>
      <c r="AA33" s="2957">
        <f t="shared" si="15"/>
        <v>0.98039215686274506</v>
      </c>
      <c r="AB33" s="2957">
        <f t="shared" si="16"/>
        <v>0.99009900990099009</v>
      </c>
      <c r="AC33" s="2957">
        <f t="shared" si="17"/>
        <v>0.98039215686274506</v>
      </c>
    </row>
    <row r="34" spans="1:29" ht="15">
      <c r="A34" s="471"/>
      <c r="B34" s="2955" t="s">
        <v>2563</v>
      </c>
      <c r="C34" s="2620" t="s">
        <v>3101</v>
      </c>
      <c r="D34" s="434">
        <v>100</v>
      </c>
      <c r="E34" s="2621" t="s">
        <v>3101</v>
      </c>
      <c r="F34" s="460">
        <f>SUMIF(105:105,E34,106:106)-SUMIF(105:105,C34,106:106)+100</f>
        <v>100</v>
      </c>
      <c r="G34" s="2620" t="s">
        <v>3101</v>
      </c>
      <c r="H34" s="434">
        <f>SUMIF(105:105,G34,106:106)-SUMIF(105:105,C34,106:106)+100</f>
        <v>100</v>
      </c>
      <c r="I34" s="2621" t="s">
        <v>3101</v>
      </c>
      <c r="J34" s="434">
        <f>SUMIF(105:105,I34,106:106)-SUMIF(105:105,C34,106:106)+100</f>
        <v>100</v>
      </c>
      <c r="K34" s="425">
        <v>1</v>
      </c>
      <c r="L34" s="1139"/>
      <c r="M34" s="1130"/>
      <c r="N34" s="1130"/>
      <c r="O34" s="1130"/>
      <c r="P34" s="3214"/>
      <c r="Q34" s="2956" t="str">
        <f t="shared" si="11"/>
        <v>建筑结构</v>
      </c>
      <c r="R34" s="773" t="s">
        <v>21</v>
      </c>
      <c r="S34" s="774">
        <f t="shared" si="12"/>
        <v>100</v>
      </c>
      <c r="T34" s="773" t="s">
        <v>21</v>
      </c>
      <c r="U34" s="774">
        <f t="shared" si="13"/>
        <v>100</v>
      </c>
      <c r="V34" s="773" t="s">
        <v>21</v>
      </c>
      <c r="W34" s="774">
        <f t="shared" si="14"/>
        <v>100</v>
      </c>
      <c r="X34" s="2958"/>
      <c r="Y34" s="3216"/>
      <c r="Z34" s="2959" t="str">
        <f t="shared" si="18"/>
        <v>建筑结构</v>
      </c>
      <c r="AA34" s="2957">
        <f t="shared" si="15"/>
        <v>1</v>
      </c>
      <c r="AB34" s="2957">
        <f t="shared" si="16"/>
        <v>1</v>
      </c>
      <c r="AC34" s="2957">
        <f t="shared" si="17"/>
        <v>1</v>
      </c>
    </row>
    <row r="35" spans="1:29" ht="15">
      <c r="A35" s="471"/>
      <c r="B35" s="2955" t="s">
        <v>2564</v>
      </c>
      <c r="C35" s="2614" t="s">
        <v>3099</v>
      </c>
      <c r="D35" s="434">
        <v>100</v>
      </c>
      <c r="E35" s="2615" t="s">
        <v>3099</v>
      </c>
      <c r="F35" s="460">
        <f>SUMIF(107:107,E35,108:108)-SUMIF(107:107,C35,108:108)+100</f>
        <v>100</v>
      </c>
      <c r="G35" s="2614" t="s">
        <v>3099</v>
      </c>
      <c r="H35" s="434">
        <f>SUMIF(107:107,G35,108:108)-SUMIF(107:107,C35,108:108)+100</f>
        <v>100</v>
      </c>
      <c r="I35" s="2615" t="s">
        <v>3099</v>
      </c>
      <c r="J35" s="434">
        <f>SUMIF(107:107,I35,108:108)-SUMIF(107:107,C35,108:108)+100</f>
        <v>100</v>
      </c>
      <c r="K35" s="425">
        <v>2</v>
      </c>
      <c r="L35" s="1139"/>
      <c r="M35" s="1130"/>
      <c r="N35" s="1130"/>
      <c r="O35" s="1130"/>
      <c r="P35" s="3214"/>
      <c r="Q35" s="2956" t="str">
        <f t="shared" si="11"/>
        <v>建筑品质</v>
      </c>
      <c r="R35" s="773" t="s">
        <v>21</v>
      </c>
      <c r="S35" s="774">
        <f t="shared" si="12"/>
        <v>100</v>
      </c>
      <c r="T35" s="773" t="s">
        <v>21</v>
      </c>
      <c r="U35" s="774">
        <f t="shared" si="13"/>
        <v>100</v>
      </c>
      <c r="V35" s="773" t="s">
        <v>21</v>
      </c>
      <c r="W35" s="774">
        <f t="shared" si="14"/>
        <v>100</v>
      </c>
      <c r="X35" s="2958"/>
      <c r="Y35" s="3216"/>
      <c r="Z35" s="2959" t="str">
        <f t="shared" si="18"/>
        <v>建筑品质</v>
      </c>
      <c r="AA35" s="2957">
        <f t="shared" si="15"/>
        <v>1</v>
      </c>
      <c r="AB35" s="2957">
        <f t="shared" si="16"/>
        <v>1</v>
      </c>
      <c r="AC35" s="2957">
        <f t="shared" si="17"/>
        <v>1</v>
      </c>
    </row>
    <row r="36" spans="1:29" ht="15">
      <c r="A36" s="471"/>
      <c r="B36" s="2955" t="s">
        <v>2565</v>
      </c>
      <c r="C36" s="2614" t="s">
        <v>3104</v>
      </c>
      <c r="D36" s="434">
        <v>100</v>
      </c>
      <c r="E36" s="2615" t="s">
        <v>3104</v>
      </c>
      <c r="F36" s="460">
        <f>SUMIF(109:109,E36,110:110)-SUMIF(109:109,C36,110:110)+100</f>
        <v>100</v>
      </c>
      <c r="G36" s="2614" t="s">
        <v>3104</v>
      </c>
      <c r="H36" s="434">
        <f>SUMIF(109:109,G36,110:110)-SUMIF(109:109,C36,110:110)+100</f>
        <v>100</v>
      </c>
      <c r="I36" s="2615" t="s">
        <v>3104</v>
      </c>
      <c r="J36" s="434">
        <f>SUMIF(109:109,I36,110:110)-SUMIF(109:109,C36,110:110)+100</f>
        <v>100</v>
      </c>
      <c r="K36" s="425">
        <v>1</v>
      </c>
      <c r="L36" s="1139"/>
      <c r="M36" s="1130"/>
      <c r="N36" s="1130"/>
      <c r="O36" s="1130"/>
      <c r="P36" s="3214"/>
      <c r="Q36" s="2956" t="str">
        <f t="shared" si="11"/>
        <v>公共部分装修</v>
      </c>
      <c r="R36" s="773" t="s">
        <v>21</v>
      </c>
      <c r="S36" s="774">
        <f t="shared" si="12"/>
        <v>100</v>
      </c>
      <c r="T36" s="773" t="s">
        <v>21</v>
      </c>
      <c r="U36" s="774">
        <f t="shared" si="13"/>
        <v>100</v>
      </c>
      <c r="V36" s="773" t="s">
        <v>21</v>
      </c>
      <c r="W36" s="774">
        <f t="shared" si="14"/>
        <v>100</v>
      </c>
      <c r="X36" s="2958"/>
      <c r="Y36" s="3216"/>
      <c r="Z36" s="2959" t="str">
        <f t="shared" si="18"/>
        <v>公共部分装修</v>
      </c>
      <c r="AA36" s="2957">
        <f t="shared" si="15"/>
        <v>1</v>
      </c>
      <c r="AB36" s="2957">
        <f t="shared" si="16"/>
        <v>1</v>
      </c>
      <c r="AC36" s="2957">
        <f t="shared" si="17"/>
        <v>1</v>
      </c>
    </row>
    <row r="37" spans="1:29" s="116" customFormat="1" ht="15">
      <c r="A37" s="472"/>
      <c r="B37" s="2955"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14"/>
      <c r="Q37" s="2953" t="str">
        <f t="shared" si="11"/>
        <v>成新度</v>
      </c>
      <c r="R37" s="769" t="s">
        <v>21</v>
      </c>
      <c r="S37" s="770">
        <f t="shared" si="12"/>
        <v>100</v>
      </c>
      <c r="T37" s="769" t="s">
        <v>21</v>
      </c>
      <c r="U37" s="770">
        <f t="shared" si="13"/>
        <v>100</v>
      </c>
      <c r="V37" s="769" t="s">
        <v>21</v>
      </c>
      <c r="W37" s="770">
        <f t="shared" si="14"/>
        <v>100</v>
      </c>
      <c r="X37" s="771"/>
      <c r="Y37" s="3216"/>
      <c r="Z37" s="2954" t="str">
        <f t="shared" si="18"/>
        <v>成新度</v>
      </c>
      <c r="AA37" s="772">
        <f t="shared" si="15"/>
        <v>1</v>
      </c>
      <c r="AB37" s="772">
        <f t="shared" si="16"/>
        <v>1</v>
      </c>
      <c r="AC37" s="772">
        <f t="shared" si="17"/>
        <v>1</v>
      </c>
    </row>
    <row r="38" spans="1:29" ht="15">
      <c r="A38" s="471"/>
      <c r="B38" s="2955" t="s">
        <v>2567</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v>1</v>
      </c>
      <c r="L38" s="1139"/>
      <c r="M38" s="1130"/>
      <c r="N38" s="1130"/>
      <c r="O38" s="1130"/>
      <c r="P38" s="3214" t="s">
        <v>2561</v>
      </c>
      <c r="Q38" s="2956" t="str">
        <f t="shared" si="11"/>
        <v>物业管理</v>
      </c>
      <c r="R38" s="773" t="s">
        <v>21</v>
      </c>
      <c r="S38" s="774">
        <f t="shared" si="12"/>
        <v>100</v>
      </c>
      <c r="T38" s="773" t="s">
        <v>21</v>
      </c>
      <c r="U38" s="774">
        <f t="shared" si="13"/>
        <v>100</v>
      </c>
      <c r="V38" s="773" t="s">
        <v>21</v>
      </c>
      <c r="W38" s="774">
        <f t="shared" si="14"/>
        <v>100</v>
      </c>
      <c r="X38" s="2958"/>
      <c r="Y38" s="3216" t="s">
        <v>2561</v>
      </c>
      <c r="Z38" s="2959" t="str">
        <f t="shared" si="18"/>
        <v>物业管理</v>
      </c>
      <c r="AA38" s="2957">
        <f t="shared" si="15"/>
        <v>1</v>
      </c>
      <c r="AB38" s="2957">
        <f t="shared" si="16"/>
        <v>1</v>
      </c>
      <c r="AC38" s="2957">
        <f t="shared" si="17"/>
        <v>1</v>
      </c>
    </row>
    <row r="39" spans="1:29" ht="15">
      <c r="A39" s="471"/>
      <c r="B39" s="2955" t="s">
        <v>2568</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v>1</v>
      </c>
      <c r="L39" s="1139"/>
      <c r="M39" s="1130"/>
      <c r="N39" s="1130"/>
      <c r="O39" s="1130"/>
      <c r="P39" s="3214"/>
      <c r="Q39" s="2956" t="str">
        <f t="shared" si="11"/>
        <v>市政基础设施</v>
      </c>
      <c r="R39" s="773" t="s">
        <v>21</v>
      </c>
      <c r="S39" s="774">
        <f t="shared" si="12"/>
        <v>100</v>
      </c>
      <c r="T39" s="773" t="s">
        <v>21</v>
      </c>
      <c r="U39" s="774">
        <f t="shared" si="13"/>
        <v>100</v>
      </c>
      <c r="V39" s="773" t="s">
        <v>21</v>
      </c>
      <c r="W39" s="774">
        <f t="shared" si="14"/>
        <v>100</v>
      </c>
      <c r="X39" s="2958"/>
      <c r="Y39" s="3216"/>
      <c r="Z39" s="2959" t="str">
        <f t="shared" si="18"/>
        <v>市政基础设施</v>
      </c>
      <c r="AA39" s="2957">
        <f t="shared" si="15"/>
        <v>1</v>
      </c>
      <c r="AB39" s="2957">
        <f t="shared" si="16"/>
        <v>1</v>
      </c>
      <c r="AC39" s="2957">
        <f t="shared" si="17"/>
        <v>1</v>
      </c>
    </row>
    <row r="40" spans="1:29" ht="15">
      <c r="A40" s="471"/>
      <c r="B40" s="2955" t="s">
        <v>2569</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14"/>
      <c r="Q40" s="2956" t="str">
        <f t="shared" si="11"/>
        <v>房型</v>
      </c>
      <c r="R40" s="773" t="s">
        <v>21</v>
      </c>
      <c r="S40" s="774">
        <f t="shared" si="12"/>
        <v>100</v>
      </c>
      <c r="T40" s="773" t="s">
        <v>21</v>
      </c>
      <c r="U40" s="774">
        <f t="shared" si="13"/>
        <v>100</v>
      </c>
      <c r="V40" s="773" t="s">
        <v>21</v>
      </c>
      <c r="W40" s="774">
        <f t="shared" si="14"/>
        <v>100</v>
      </c>
      <c r="X40" s="2958"/>
      <c r="Y40" s="3216"/>
      <c r="Z40" s="2959" t="str">
        <f t="shared" si="18"/>
        <v>房型</v>
      </c>
      <c r="AA40" s="2957">
        <f t="shared" si="15"/>
        <v>1</v>
      </c>
      <c r="AB40" s="2957">
        <f t="shared" si="16"/>
        <v>1</v>
      </c>
      <c r="AC40" s="2957">
        <f t="shared" si="17"/>
        <v>1</v>
      </c>
    </row>
    <row r="41" spans="1:29" s="470" customFormat="1" ht="28.5">
      <c r="A41" s="467"/>
      <c r="B41" s="2955"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2957">
        <f t="shared" si="15"/>
        <v>1</v>
      </c>
      <c r="AB41" s="2957">
        <f t="shared" si="16"/>
        <v>1</v>
      </c>
      <c r="AC41" s="2957">
        <f t="shared" si="17"/>
        <v>1</v>
      </c>
    </row>
    <row r="42" spans="1:29" ht="15">
      <c r="A42" s="471"/>
      <c r="B42" s="2955" t="s">
        <v>2571</v>
      </c>
      <c r="C42" s="2614" t="s">
        <v>3104</v>
      </c>
      <c r="D42" s="434">
        <v>100</v>
      </c>
      <c r="E42" s="2615" t="s">
        <v>3104</v>
      </c>
      <c r="F42" s="460">
        <f>SUMIF(122:122,E42,123:123)-SUMIF(122:122,C42,123:123)+100</f>
        <v>100</v>
      </c>
      <c r="G42" s="2614" t="s">
        <v>3104</v>
      </c>
      <c r="H42" s="434">
        <f>SUMIF(122:122,G42,123:123)-SUMIF(122:122,C42,123:123)+100</f>
        <v>100</v>
      </c>
      <c r="I42" s="2615" t="s">
        <v>3108</v>
      </c>
      <c r="J42" s="434">
        <f>SUMIF(122:122,I42,123:123)-SUMIF(122:122,C42,123:123)+100</f>
        <v>94</v>
      </c>
      <c r="K42" s="425">
        <v>2</v>
      </c>
      <c r="L42" s="1139"/>
      <c r="M42" s="1130"/>
      <c r="N42" s="1130"/>
      <c r="O42" s="1130"/>
      <c r="P42" s="3214"/>
      <c r="Q42" s="2956" t="str">
        <f t="shared" si="11"/>
        <v>内部装修</v>
      </c>
      <c r="R42" s="773" t="s">
        <v>21</v>
      </c>
      <c r="S42" s="774">
        <f t="shared" si="12"/>
        <v>100</v>
      </c>
      <c r="T42" s="773" t="s">
        <v>21</v>
      </c>
      <c r="U42" s="774">
        <f t="shared" si="13"/>
        <v>100</v>
      </c>
      <c r="V42" s="773" t="s">
        <v>21</v>
      </c>
      <c r="W42" s="774">
        <f t="shared" si="14"/>
        <v>94</v>
      </c>
      <c r="X42" s="2958"/>
      <c r="Y42" s="3216"/>
      <c r="Z42" s="2959" t="str">
        <f t="shared" si="18"/>
        <v>内部装修</v>
      </c>
      <c r="AA42" s="2957">
        <f t="shared" si="15"/>
        <v>1</v>
      </c>
      <c r="AB42" s="2957">
        <f t="shared" si="16"/>
        <v>1</v>
      </c>
      <c r="AC42" s="2957">
        <f t="shared" si="17"/>
        <v>1.0638297872340425</v>
      </c>
    </row>
    <row r="43" spans="1:29" ht="15">
      <c r="A43" s="471"/>
      <c r="B43" s="2955" t="s">
        <v>2572</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14"/>
      <c r="Q43" s="2956" t="str">
        <f t="shared" si="11"/>
        <v>内部装修维护情况</v>
      </c>
      <c r="R43" s="773" t="s">
        <v>21</v>
      </c>
      <c r="S43" s="774">
        <f t="shared" si="12"/>
        <v>100</v>
      </c>
      <c r="T43" s="773" t="s">
        <v>21</v>
      </c>
      <c r="U43" s="774">
        <f t="shared" si="13"/>
        <v>100</v>
      </c>
      <c r="V43" s="773" t="s">
        <v>21</v>
      </c>
      <c r="W43" s="774">
        <f t="shared" si="14"/>
        <v>100</v>
      </c>
      <c r="X43" s="2958"/>
      <c r="Y43" s="3216"/>
      <c r="Z43" s="2959" t="str">
        <f t="shared" si="18"/>
        <v>内部装修维护情况</v>
      </c>
      <c r="AA43" s="2957">
        <f t="shared" si="15"/>
        <v>1</v>
      </c>
      <c r="AB43" s="2957">
        <f t="shared" si="16"/>
        <v>1</v>
      </c>
      <c r="AC43" s="2957">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14"/>
      <c r="Q44" s="2953">
        <f t="shared" si="11"/>
        <v>111</v>
      </c>
      <c r="R44" s="769" t="s">
        <v>21</v>
      </c>
      <c r="S44" s="770">
        <f t="shared" si="12"/>
        <v>100</v>
      </c>
      <c r="T44" s="769" t="s">
        <v>21</v>
      </c>
      <c r="U44" s="770">
        <f t="shared" si="13"/>
        <v>100</v>
      </c>
      <c r="V44" s="769" t="s">
        <v>21</v>
      </c>
      <c r="W44" s="770">
        <f t="shared" si="14"/>
        <v>100</v>
      </c>
      <c r="X44" s="771"/>
      <c r="Y44" s="3216"/>
      <c r="Z44" s="29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14"/>
      <c r="Q45" s="2956">
        <f t="shared" si="11"/>
        <v>111</v>
      </c>
      <c r="R45" s="773" t="s">
        <v>21</v>
      </c>
      <c r="S45" s="774">
        <f t="shared" si="12"/>
        <v>100</v>
      </c>
      <c r="T45" s="773" t="s">
        <v>21</v>
      </c>
      <c r="U45" s="774">
        <f t="shared" si="13"/>
        <v>100</v>
      </c>
      <c r="V45" s="773" t="s">
        <v>21</v>
      </c>
      <c r="W45" s="774">
        <f t="shared" si="14"/>
        <v>100</v>
      </c>
      <c r="X45" s="2958"/>
      <c r="Y45" s="3216"/>
      <c r="Z45" s="2959">
        <f t="shared" si="18"/>
        <v>111</v>
      </c>
      <c r="AA45" s="2957">
        <f t="shared" si="15"/>
        <v>1</v>
      </c>
      <c r="AB45" s="2957">
        <f t="shared" si="16"/>
        <v>1</v>
      </c>
      <c r="AC45" s="2957">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15"/>
      <c r="Q46" s="2956">
        <f t="shared" si="11"/>
        <v>111</v>
      </c>
      <c r="R46" s="773" t="s">
        <v>20</v>
      </c>
      <c r="S46" s="774">
        <f t="shared" si="12"/>
        <v>100</v>
      </c>
      <c r="T46" s="773" t="s">
        <v>20</v>
      </c>
      <c r="U46" s="774">
        <f t="shared" si="13"/>
        <v>100</v>
      </c>
      <c r="V46" s="773" t="s">
        <v>20</v>
      </c>
      <c r="W46" s="774">
        <f t="shared" si="14"/>
        <v>100</v>
      </c>
      <c r="X46" s="2958"/>
      <c r="Y46" s="3217"/>
      <c r="Z46" s="2959">
        <f t="shared" si="18"/>
        <v>111</v>
      </c>
      <c r="AA46" s="2957">
        <f t="shared" si="15"/>
        <v>1</v>
      </c>
      <c r="AB46" s="2957">
        <f t="shared" si="16"/>
        <v>1</v>
      </c>
      <c r="AC46" s="2957">
        <f t="shared" si="17"/>
        <v>1</v>
      </c>
    </row>
    <row r="47" spans="1:29" ht="15">
      <c r="A47" s="478" t="s">
        <v>2573</v>
      </c>
      <c r="B47" s="479"/>
      <c r="C47" s="1406" t="s">
        <v>19</v>
      </c>
      <c r="D47" s="1407"/>
      <c r="E47" s="1408">
        <v>35000</v>
      </c>
      <c r="F47" s="1409"/>
      <c r="G47" s="1410">
        <v>30000</v>
      </c>
      <c r="H47" s="1411"/>
      <c r="I47" s="1408">
        <v>32000</v>
      </c>
      <c r="J47" s="1411"/>
      <c r="K47" s="2622"/>
      <c r="L47" s="1142"/>
      <c r="M47" s="1143"/>
      <c r="N47" s="1130"/>
      <c r="O47" s="1143"/>
      <c r="P47" s="3204" t="str">
        <f>A47</f>
        <v>成交单价（元/平方米）</v>
      </c>
      <c r="Q47" s="3204"/>
      <c r="R47" s="3205">
        <f>E47</f>
        <v>35000</v>
      </c>
      <c r="S47" s="3205"/>
      <c r="T47" s="3205">
        <f>G47</f>
        <v>30000</v>
      </c>
      <c r="U47" s="3205"/>
      <c r="V47" s="3205">
        <f>I47</f>
        <v>32000</v>
      </c>
      <c r="W47" s="3205"/>
      <c r="X47" s="758"/>
      <c r="Y47" s="780"/>
      <c r="Z47" s="758"/>
      <c r="AA47" s="758"/>
      <c r="AB47" s="758"/>
      <c r="AC47" s="758"/>
    </row>
    <row r="48" spans="1:29" ht="15.75" thickBot="1">
      <c r="A48" s="485" t="s">
        <v>2574</v>
      </c>
      <c r="B48" s="486"/>
      <c r="C48" s="1412">
        <f>R49</f>
        <v>31934</v>
      </c>
      <c r="D48" s="1413"/>
      <c r="E48" s="1414">
        <f>R48</f>
        <v>34314</v>
      </c>
      <c r="F48" s="1414"/>
      <c r="G48" s="1412">
        <f>T48</f>
        <v>29703</v>
      </c>
      <c r="H48" s="1413"/>
      <c r="I48" s="1414">
        <f>V48</f>
        <v>31786</v>
      </c>
      <c r="J48" s="1413"/>
      <c r="K48" s="2623"/>
      <c r="L48" s="1142"/>
      <c r="M48" s="1143"/>
      <c r="N48" s="1143"/>
      <c r="O48" s="1143"/>
      <c r="P48" s="3204" t="str">
        <f>A48</f>
        <v>比较价值（元/平方米）</v>
      </c>
      <c r="Q48" s="3204"/>
      <c r="R48" s="3205">
        <f>IF(F1="售价",ROUND(PRODUCT(R47,AA7:AA46),0),ROUND(PRODUCT(R47,AA7:AA46),1))</f>
        <v>34314</v>
      </c>
      <c r="S48" s="3205"/>
      <c r="T48" s="3205">
        <f>IF(F1="售价",ROUND(PRODUCT(T47,AB7:AB46),0),ROUND(PRODUCT(T47,AB7:AB46),1))</f>
        <v>29703</v>
      </c>
      <c r="U48" s="3205"/>
      <c r="V48" s="3205">
        <f>IF(F1="售价",ROUND(PRODUCT(V47,AC7:AC46),0),ROUND(PRODUCT(V47,AC7:AC46),1))</f>
        <v>31786</v>
      </c>
      <c r="W48" s="3205"/>
      <c r="X48" s="758"/>
      <c r="Y48" s="758"/>
      <c r="Z48" s="758"/>
      <c r="AA48" s="758"/>
      <c r="AB48" s="758"/>
      <c r="AC48" s="758"/>
    </row>
    <row r="49" spans="1:29" ht="15.75" thickBot="1">
      <c r="A49" s="491" t="s">
        <v>2575</v>
      </c>
      <c r="B49" s="492"/>
      <c r="C49" s="1415">
        <f>R49</f>
        <v>31934</v>
      </c>
      <c r="D49" s="1416"/>
      <c r="E49" s="1416"/>
      <c r="F49" s="1416"/>
      <c r="G49" s="1416"/>
      <c r="H49" s="1416"/>
      <c r="I49" s="1416"/>
      <c r="J49" s="1416"/>
      <c r="K49" s="2624"/>
      <c r="L49" s="1142"/>
      <c r="M49" s="1143"/>
      <c r="N49" s="1143"/>
      <c r="O49" s="1143"/>
      <c r="P49" s="3206" t="str">
        <f>A49</f>
        <v>估价对象XX用房的比较价值（楼面单价，元/平方米）</v>
      </c>
      <c r="Q49" s="3207"/>
      <c r="R49" s="3208">
        <f>IF(F1="售价",ROUND(AVERAGE(R48:V48),0),ROUND(AVERAGE(R48:V48),1))</f>
        <v>31934</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2576</v>
      </c>
      <c r="D52" s="497"/>
      <c r="E52" s="498">
        <f>IF(E47&lt;E48,E48/E47-1,E47/E48-1)</f>
        <v>1.9991840065279431E-2</v>
      </c>
      <c r="F52" s="499" t="str">
        <f>IF(OR(E52&gt;=0.3,E52&lt;=-0.3),"超过30%","")</f>
        <v/>
      </c>
      <c r="G52" s="498">
        <f>IF(G47&lt;G48,G48/G47-1,G47/G48-1)</f>
        <v>9.9989900010100108E-3</v>
      </c>
      <c r="H52" s="499" t="str">
        <f>IF(OR(G52&gt;=0.3,G52&lt;=-0.3),"超过30%","")</f>
        <v/>
      </c>
      <c r="I52" s="498">
        <f>IF(I47&lt;I48,I48/I47-1,I47/I48-1)</f>
        <v>6.7325237525954762E-3</v>
      </c>
      <c r="J52" s="499" t="str">
        <f>IF(OR(I52&gt;=0.3,I52&lt;=-0.3),"超过30%","")</f>
        <v/>
      </c>
      <c r="K52" s="1104"/>
      <c r="L52" s="1105"/>
      <c r="M52" s="1143"/>
      <c r="N52" s="1143"/>
      <c r="O52" s="1143"/>
    </row>
    <row r="53" spans="1:29" ht="13.5" customHeight="1">
      <c r="A53" s="1143"/>
      <c r="B53" s="1143"/>
      <c r="C53" s="496" t="s">
        <v>2577</v>
      </c>
      <c r="D53" s="500"/>
      <c r="E53" s="498">
        <f>IF(E48&lt;G48,G48/E48-1,E48/G48-1)</f>
        <v>0.15523684476315514</v>
      </c>
      <c r="F53" s="499" t="str">
        <f>IF(OR(E53&gt;=0.2,E53&lt;=-0.2),"超过20%","")</f>
        <v/>
      </c>
      <c r="G53" s="498">
        <f>IF(G48&lt;I48,I48/G48-1,G48/I48-1)</f>
        <v>7.0127596539070192E-2</v>
      </c>
      <c r="H53" s="499" t="str">
        <f>IF(OR(G53&gt;=0.2,G53&lt;=-0.2),"超过20%","")</f>
        <v/>
      </c>
      <c r="I53" s="498">
        <f>IF(I48&lt;E48,E48/I48-1,I48/E48-1)</f>
        <v>7.9531869376455067E-2</v>
      </c>
      <c r="J53" s="499" t="str">
        <f>IF(OR(I53&gt;=0.2,I53&lt;=-0.2),"超过20%","")</f>
        <v/>
      </c>
      <c r="K53" s="1104"/>
      <c r="L53" s="1105"/>
      <c r="M53" s="1143"/>
      <c r="N53" s="1143"/>
      <c r="O53" s="1143"/>
    </row>
    <row r="54" spans="1:29" s="501" customFormat="1" ht="13.5" customHeight="1">
      <c r="A54" s="1144"/>
      <c r="B54" s="1144"/>
      <c r="C54" s="496" t="s">
        <v>2578</v>
      </c>
      <c r="D54" s="500"/>
      <c r="E54" s="498">
        <f>IF(E47&lt;G47,G47/E47-1,E47/G47-1)</f>
        <v>0.16666666666666674</v>
      </c>
      <c r="F54" s="499" t="str">
        <f>IF(OR(E54&gt;=0.3,E54&lt;=-0.3),"超过30%","")</f>
        <v/>
      </c>
      <c r="G54" s="498">
        <f>IF(G47&lt;I47,I47/G47-1,G47/I47-1)</f>
        <v>6.6666666666666652E-2</v>
      </c>
      <c r="H54" s="499" t="str">
        <f>IF(OR(G54&gt;=0.3,G54&lt;=-0.3),"超过30%","")</f>
        <v/>
      </c>
      <c r="I54" s="498">
        <f>IF(I47&lt;E47,E47/I47-1,I47/E47-1)</f>
        <v>9.375E-2</v>
      </c>
      <c r="J54" s="499" t="str">
        <f>IF(OR(I54&gt;=0.3,I54&lt;=-0.3),"超过30%","")</f>
        <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7"/>
      <c r="Q57" s="503"/>
    </row>
    <row r="58" spans="1:29" s="507" customFormat="1" ht="15">
      <c r="A58" s="504" t="s">
        <v>2544</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2581</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t="str">
        <f>C9</f>
        <v>住宅</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1"/>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1"/>
      <c r="Q81" s="503"/>
    </row>
    <row r="82" spans="1:17" ht="15.75" thickTop="1">
      <c r="A82" s="533"/>
      <c r="B82" s="545" t="s">
        <v>2098</v>
      </c>
      <c r="C82" s="538" t="s">
        <v>2598</v>
      </c>
      <c r="D82" s="538" t="s">
        <v>2599</v>
      </c>
      <c r="E82" s="538" t="s">
        <v>2600</v>
      </c>
      <c r="F82" s="538" t="s">
        <v>2601</v>
      </c>
      <c r="G82" s="538" t="s">
        <v>2602</v>
      </c>
      <c r="H82" s="538"/>
      <c r="I82" s="538"/>
      <c r="J82" s="538"/>
      <c r="K82" s="538"/>
      <c r="L82" s="538"/>
      <c r="M82" s="1381"/>
      <c r="N82" s="1152"/>
      <c r="O82" s="1152"/>
      <c r="P82" s="2631"/>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31"/>
      <c r="Q85" s="503"/>
    </row>
    <row r="86" spans="1:17" s="116" customFormat="1" ht="15.75" thickTop="1">
      <c r="A86" s="578"/>
      <c r="B86" s="537" t="s">
        <v>2604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2605</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2559</v>
      </c>
      <c r="B100" s="527" t="s">
        <v>2606</v>
      </c>
      <c r="C100" s="2968" t="s">
        <v>3100</v>
      </c>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31"/>
      <c r="Q101" s="503"/>
    </row>
    <row r="102" spans="1:17" ht="29.25" thickTop="1">
      <c r="A102" s="533"/>
      <c r="B102" s="537" t="s">
        <v>2607</v>
      </c>
      <c r="C102" s="577" t="str">
        <f>C103&amp;"(含)"&amp;"-"&amp;D103</f>
        <v>0(含)-10000</v>
      </c>
      <c r="D102" s="577" t="str">
        <f t="shared" ref="D102:L102" si="27">D103&amp;"(含)"&amp;"-"&amp;E103</f>
        <v>10000(含)-20000</v>
      </c>
      <c r="E102" s="577" t="str">
        <f t="shared" si="27"/>
        <v>20000(含)-50000</v>
      </c>
      <c r="F102" s="577" t="str">
        <f t="shared" si="27"/>
        <v>50000(含)-80000</v>
      </c>
      <c r="G102" s="577" t="str">
        <f t="shared" si="27"/>
        <v>80000(含)-120000</v>
      </c>
      <c r="H102" s="577" t="str">
        <f t="shared" si="27"/>
        <v>120000(含)-180000</v>
      </c>
      <c r="I102" s="577" t="str">
        <f t="shared" si="27"/>
        <v>180000(含)-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2969">
        <v>0</v>
      </c>
      <c r="D103" s="2969">
        <v>10000</v>
      </c>
      <c r="E103" s="2969">
        <v>20000</v>
      </c>
      <c r="F103" s="2969">
        <v>50000</v>
      </c>
      <c r="G103" s="2969">
        <v>80000</v>
      </c>
      <c r="H103" s="2969">
        <v>120000</v>
      </c>
      <c r="I103" s="2969">
        <v>180000</v>
      </c>
      <c r="J103" s="595"/>
      <c r="K103" s="595"/>
      <c r="L103" s="596"/>
      <c r="M103" s="597"/>
      <c r="N103" s="1153"/>
      <c r="O103" s="1153"/>
      <c r="P103" s="2632"/>
      <c r="Q103" s="558"/>
    </row>
    <row r="104" spans="1:17" s="470" customFormat="1" ht="15.75" thickBot="1">
      <c r="A104" s="552"/>
      <c r="B104" s="542"/>
      <c r="C104" s="2970">
        <v>100</v>
      </c>
      <c r="D104" s="2971">
        <v>101</v>
      </c>
      <c r="E104" s="2971">
        <v>102</v>
      </c>
      <c r="F104" s="2971">
        <v>103</v>
      </c>
      <c r="G104" s="2971">
        <v>104</v>
      </c>
      <c r="H104" s="2971">
        <v>105</v>
      </c>
      <c r="I104" s="2971">
        <v>106</v>
      </c>
      <c r="J104" s="535"/>
      <c r="K104" s="535"/>
      <c r="L104" s="535"/>
      <c r="M104" s="535"/>
      <c r="N104" s="1152"/>
      <c r="O104" s="1152"/>
      <c r="P104" s="2632"/>
      <c r="Q104" s="558"/>
    </row>
    <row r="105" spans="1:17" ht="15" thickTop="1">
      <c r="A105" s="598"/>
      <c r="B105" s="537" t="s">
        <v>2608</v>
      </c>
      <c r="C105" s="2972" t="s">
        <v>3102</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31"/>
      <c r="Q106" s="503"/>
    </row>
    <row r="107" spans="1:17" ht="15" thickTop="1">
      <c r="A107" s="598"/>
      <c r="B107" s="537" t="s">
        <v>2609</v>
      </c>
      <c r="C107" s="2973" t="s">
        <v>3103</v>
      </c>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2"/>
      <c r="O108" s="1152"/>
      <c r="P108" s="2631"/>
      <c r="Q108" s="503"/>
    </row>
    <row r="109" spans="1:17" ht="15" thickTop="1">
      <c r="A109" s="598"/>
      <c r="B109" s="537" t="s">
        <v>2610</v>
      </c>
      <c r="C109" s="2972" t="s">
        <v>3105</v>
      </c>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32"/>
      <c r="Q113" s="558"/>
    </row>
    <row r="114" spans="1:17" ht="15" thickTop="1">
      <c r="A114" s="598"/>
      <c r="B114" s="537" t="s">
        <v>2611</v>
      </c>
      <c r="C114" s="2972" t="s">
        <v>3106</v>
      </c>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31"/>
      <c r="Q115" s="503"/>
    </row>
    <row r="116" spans="1:17" ht="15" thickTop="1">
      <c r="A116" s="598"/>
      <c r="B116" s="537" t="s">
        <v>2612</v>
      </c>
      <c r="C116" s="2972" t="s">
        <v>3107</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2613</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2570</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2614</v>
      </c>
      <c r="C122" s="2972" t="s">
        <v>3105</v>
      </c>
      <c r="D122" s="553"/>
      <c r="E122" s="553"/>
      <c r="F122" s="2973" t="s">
        <v>3109</v>
      </c>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3">
        <v>6</v>
      </c>
      <c r="C139" s="1084">
        <v>96</v>
      </c>
      <c r="D139" s="2649" t="s">
        <v>2625</v>
      </c>
      <c r="E139" s="1085">
        <v>100</v>
      </c>
      <c r="F139" s="1086">
        <v>102.5</v>
      </c>
      <c r="G139" s="2649" t="s">
        <v>2625</v>
      </c>
      <c r="H139" s="1087">
        <v>105</v>
      </c>
      <c r="I139" s="2650" t="s">
        <v>2626</v>
      </c>
      <c r="J139" s="1084">
        <v>20</v>
      </c>
      <c r="K139" s="1088">
        <f>C145/(J139-2)</f>
        <v>4.0555555555555553E-3</v>
      </c>
    </row>
    <row r="140" spans="1:17" ht="15">
      <c r="B140" s="1089">
        <v>5</v>
      </c>
      <c r="C140" s="1090">
        <v>100</v>
      </c>
      <c r="D140" s="1090"/>
      <c r="E140" s="1091"/>
      <c r="F140" s="1092">
        <v>102</v>
      </c>
      <c r="G140" s="1090"/>
      <c r="H140" s="1093"/>
      <c r="I140" s="2651" t="s">
        <v>2627</v>
      </c>
      <c r="J140" s="314">
        <f>ROUNDUP((J139-1)/2,0)</f>
        <v>10</v>
      </c>
      <c r="K140" s="1094">
        <v>100</v>
      </c>
    </row>
    <row r="141" spans="1:17" ht="15">
      <c r="B141" s="1089">
        <v>4</v>
      </c>
      <c r="C141" s="1090">
        <v>102</v>
      </c>
      <c r="D141" s="1090"/>
      <c r="E141" s="1091"/>
      <c r="F141" s="1092">
        <v>101.5</v>
      </c>
      <c r="G141" s="1090"/>
      <c r="H141" s="1093"/>
      <c r="I141" s="2651" t="s">
        <v>2628</v>
      </c>
      <c r="J141" s="314">
        <v>1</v>
      </c>
      <c r="K141" s="1095">
        <f>ROUND(100+(J141-J140)*K139*100,1)</f>
        <v>96.4</v>
      </c>
    </row>
    <row r="142" spans="1:17" ht="15">
      <c r="B142" s="1089">
        <v>3</v>
      </c>
      <c r="C142" s="1090">
        <v>103</v>
      </c>
      <c r="D142" s="1090"/>
      <c r="E142" s="1091"/>
      <c r="F142" s="1092">
        <v>101</v>
      </c>
      <c r="G142" s="1090"/>
      <c r="H142" s="1093"/>
      <c r="I142" s="2651" t="s">
        <v>2629</v>
      </c>
      <c r="J142" s="314">
        <f>J139</f>
        <v>20</v>
      </c>
      <c r="K142" s="1096">
        <v>95</v>
      </c>
    </row>
    <row r="143" spans="1:17" ht="15">
      <c r="B143" s="1089">
        <v>2</v>
      </c>
      <c r="C143" s="1090">
        <v>100</v>
      </c>
      <c r="D143" s="1090"/>
      <c r="E143" s="1091"/>
      <c r="F143" s="1092">
        <v>100.5</v>
      </c>
      <c r="G143" s="1090"/>
      <c r="H143" s="1093"/>
      <c r="I143" s="2651" t="s">
        <v>2630</v>
      </c>
      <c r="J143" s="1090">
        <v>15</v>
      </c>
      <c r="K143" s="1095">
        <f>ROUND(100+(J143-J140)*K139*100,1)</f>
        <v>102</v>
      </c>
    </row>
    <row r="144" spans="1:17" ht="15">
      <c r="B144" s="1089">
        <v>1</v>
      </c>
      <c r="C144" s="1090">
        <v>98</v>
      </c>
      <c r="D144" s="2652" t="s">
        <v>2631</v>
      </c>
      <c r="E144" s="1091">
        <v>102</v>
      </c>
      <c r="F144" s="1097">
        <v>100</v>
      </c>
      <c r="G144" s="2652" t="s">
        <v>2631</v>
      </c>
      <c r="H144" s="1093">
        <v>105</v>
      </c>
      <c r="I144" s="2651" t="s">
        <v>2630</v>
      </c>
      <c r="J144" s="1090">
        <v>18</v>
      </c>
      <c r="K144" s="1095">
        <f>ROUND(100+(J144-J140)*K139*100,1)</f>
        <v>103.2</v>
      </c>
    </row>
    <row r="145" spans="2:11" ht="15.75" thickBot="1">
      <c r="B145" s="2653" t="s">
        <v>2632</v>
      </c>
      <c r="C145" s="1098">
        <f>ROUND(MAX(C139:C144)/MIN(C139:C144)-1,3)</f>
        <v>7.2999999999999995E-2</v>
      </c>
      <c r="D145" s="1099"/>
      <c r="E145" s="1099"/>
      <c r="F145" s="2654" t="s">
        <v>2633</v>
      </c>
      <c r="G145" s="2655"/>
      <c r="H145" s="2656"/>
      <c r="I145" s="2657" t="s">
        <v>2630</v>
      </c>
      <c r="J145" s="1100">
        <v>8</v>
      </c>
      <c r="K145" s="1101">
        <f>ROUND(100+(J145-J140)*K139*100,1)</f>
        <v>99.2</v>
      </c>
    </row>
    <row r="147" spans="2:11">
      <c r="B147" s="2638" t="s">
        <v>2634</v>
      </c>
    </row>
    <row r="148" spans="2:11">
      <c r="B148" s="2638" t="s">
        <v>2635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G30" sqref="G30"/>
    </sheetView>
  </sheetViews>
  <sheetFormatPr defaultRowHeight="13.5"/>
  <cols>
    <col min="1" max="7" width="9" style="2966"/>
    <col min="8" max="8" width="10" style="2966" customWidth="1"/>
    <col min="9" max="16384" width="9" style="2966"/>
  </cols>
  <sheetData>
    <row r="20" spans="8:8">
      <c r="H20" s="2966">
        <v>4</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5" sqref="M35"/>
    </sheetView>
  </sheetViews>
  <sheetFormatPr defaultRowHeight="13.5"/>
  <cols>
    <col min="1" max="16384" width="9" style="2966"/>
  </cols>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估价对象为出让国有建设用地使用权及在建建筑物房地产，为所有。根据《国有土地使用证》[]，估价对象（分摊）出让国有建设用地使用权面积为13641.1平方米，建筑面积为11781平方米。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13641.1平方米，规划建筑面积为11781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2636</v>
      </c>
      <c r="C1" s="1633" t="s">
        <v>2527</v>
      </c>
      <c r="D1" s="1620"/>
      <c r="E1" s="2658"/>
      <c r="F1" s="2585"/>
      <c r="G1" s="1630" t="s">
        <v>2637</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2329</v>
      </c>
      <c r="B3" s="608" t="e">
        <f ca="1">IF(C2="——",C49,ROUND(B2*10000/D3,0))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1"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1"/>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21"/>
      <c r="AC6" s="3230"/>
    </row>
    <row r="7" spans="1:29" s="116" customFormat="1" ht="15.75" thickBot="1">
      <c r="A7" s="407" t="s">
        <v>2544</v>
      </c>
      <c r="B7" s="408"/>
      <c r="C7" s="409">
        <f>'数据-取费表'!B2</f>
        <v>43764</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6" si="3">D8/F8</f>
        <v>#DIV/0!</v>
      </c>
      <c r="AB8" s="772" t="e">
        <f t="shared" ref="AB8:AB46" si="4">D8/H8</f>
        <v>#DIV/0!</v>
      </c>
      <c r="AC8" s="772" t="e">
        <f t="shared" ref="AC8:AC46" si="5">D8/J8</f>
        <v>#DIV/0!</v>
      </c>
    </row>
    <row r="9" spans="1:29" s="116" customFormat="1">
      <c r="A9" s="414" t="s">
        <v>2549</v>
      </c>
      <c r="B9" s="70" t="s">
        <v>2550</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0"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0"/>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71.25">
      <c r="A15" s="439" t="s">
        <v>2555</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9" t="s">
        <v>2556</v>
      </c>
      <c r="Q15" s="1809" t="str">
        <f t="shared" si="6"/>
        <v>商业繁华度</v>
      </c>
      <c r="R15" s="773" t="s">
        <v>17</v>
      </c>
      <c r="S15" s="774">
        <f t="shared" si="0"/>
        <v>100</v>
      </c>
      <c r="T15" s="773" t="s">
        <v>17</v>
      </c>
      <c r="U15" s="774">
        <f t="shared" si="1"/>
        <v>100</v>
      </c>
      <c r="V15" s="773" t="s">
        <v>17</v>
      </c>
      <c r="W15" s="774">
        <f t="shared" si="2"/>
        <v>100</v>
      </c>
      <c r="X15" s="1812"/>
      <c r="Y15" s="3211" t="s">
        <v>2556</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10"/>
      <c r="Q16" s="1809"/>
      <c r="R16" s="773"/>
      <c r="S16" s="774"/>
      <c r="T16" s="773"/>
      <c r="U16" s="774"/>
      <c r="V16" s="773"/>
      <c r="W16" s="774"/>
      <c r="X16" s="1812"/>
      <c r="Y16" s="3212"/>
      <c r="Z16" s="1813"/>
      <c r="AA16" s="1810">
        <v>1</v>
      </c>
      <c r="AB16" s="1810">
        <v>1</v>
      </c>
      <c r="AC16" s="1810">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0"/>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0"/>
      <c r="P18" s="3210"/>
      <c r="Q18" s="1809"/>
      <c r="R18" s="773"/>
      <c r="S18" s="774"/>
      <c r="T18" s="773"/>
      <c r="U18" s="774"/>
      <c r="V18" s="773"/>
      <c r="W18" s="774"/>
      <c r="X18" s="1812"/>
      <c r="Y18" s="3212"/>
      <c r="Z18" s="1813"/>
      <c r="AA18" s="1810">
        <v>1</v>
      </c>
      <c r="AB18" s="1810">
        <v>1</v>
      </c>
      <c r="AC18" s="1810">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0"/>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0"/>
      <c r="P20" s="3210"/>
      <c r="Q20" s="1809"/>
      <c r="R20" s="773"/>
      <c r="S20" s="774"/>
      <c r="T20" s="773"/>
      <c r="U20" s="774"/>
      <c r="V20" s="773"/>
      <c r="W20" s="774"/>
      <c r="X20" s="1812"/>
      <c r="Y20" s="3212"/>
      <c r="Z20" s="1813"/>
      <c r="AA20" s="1810">
        <v>1</v>
      </c>
      <c r="AB20" s="1810">
        <v>1</v>
      </c>
      <c r="AC20" s="1810">
        <v>1</v>
      </c>
    </row>
    <row r="21" spans="1:29" ht="28.5">
      <c r="A21" s="427"/>
      <c r="B21" s="1383"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0"/>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0"/>
      <c r="P22" s="3210"/>
      <c r="Q22" s="1809"/>
      <c r="R22" s="773"/>
      <c r="S22" s="774"/>
      <c r="T22" s="773"/>
      <c r="U22" s="774"/>
      <c r="V22" s="773"/>
      <c r="W22" s="774"/>
      <c r="X22" s="1812"/>
      <c r="Y22" s="3212"/>
      <c r="Z22" s="1813"/>
      <c r="AA22" s="1810">
        <v>1</v>
      </c>
      <c r="AB22" s="1810">
        <v>1</v>
      </c>
      <c r="AC22" s="1810">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0"/>
      <c r="Q23" s="1809" t="str">
        <f>B23</f>
        <v>自然及人文环境</v>
      </c>
      <c r="R23" s="773" t="s">
        <v>17</v>
      </c>
      <c r="S23" s="774">
        <f>F23</f>
        <v>100</v>
      </c>
      <c r="T23" s="773" t="s">
        <v>17</v>
      </c>
      <c r="U23" s="774">
        <f>H23</f>
        <v>100</v>
      </c>
      <c r="V23" s="773" t="s">
        <v>17</v>
      </c>
      <c r="W23" s="774">
        <f>J23</f>
        <v>100</v>
      </c>
      <c r="X23" s="1812"/>
      <c r="Y23" s="3212"/>
      <c r="Z23" s="1813" t="str">
        <f>Q23</f>
        <v>自然及人文环境</v>
      </c>
      <c r="AA23" s="1810">
        <f t="shared" si="3"/>
        <v>1</v>
      </c>
      <c r="AB23" s="1810">
        <f t="shared" si="4"/>
        <v>1</v>
      </c>
      <c r="AC23" s="1810">
        <f t="shared" si="5"/>
        <v>1</v>
      </c>
    </row>
    <row r="24" spans="1:29" ht="15">
      <c r="A24" s="427"/>
      <c r="B24" s="455"/>
      <c r="C24" s="446"/>
      <c r="D24" s="447"/>
      <c r="E24" s="2606"/>
      <c r="F24" s="448"/>
      <c r="G24" s="2605"/>
      <c r="H24" s="447"/>
      <c r="I24" s="2606"/>
      <c r="J24" s="447"/>
      <c r="K24" s="614"/>
      <c r="L24" s="1139"/>
      <c r="M24" s="1130"/>
      <c r="N24" s="1130"/>
      <c r="O24" s="1130"/>
      <c r="P24" s="3210"/>
      <c r="Q24" s="1809"/>
      <c r="R24" s="773"/>
      <c r="S24" s="774"/>
      <c r="T24" s="773"/>
      <c r="U24" s="774"/>
      <c r="V24" s="773"/>
      <c r="W24" s="774"/>
      <c r="X24" s="1812"/>
      <c r="Y24" s="321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0"/>
      <c r="Q25" s="1809" t="str">
        <f t="shared" ref="Q25:Q46" si="11">B25</f>
        <v>临街状况</v>
      </c>
      <c r="R25" s="773" t="s">
        <v>17</v>
      </c>
      <c r="S25" s="774">
        <f>F25</f>
        <v>100</v>
      </c>
      <c r="T25" s="773" t="s">
        <v>17</v>
      </c>
      <c r="U25" s="774">
        <f>H25</f>
        <v>100</v>
      </c>
      <c r="V25" s="773" t="s">
        <v>17</v>
      </c>
      <c r="W25" s="774">
        <f>J25</f>
        <v>100</v>
      </c>
      <c r="X25" s="1812"/>
      <c r="Y25" s="321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0"/>
      <c r="Q26" s="1809" t="str">
        <f t="shared" si="11"/>
        <v>平面位置/可视性</v>
      </c>
      <c r="R26" s="773" t="s">
        <v>17</v>
      </c>
      <c r="S26" s="774">
        <f>F26</f>
        <v>100</v>
      </c>
      <c r="T26" s="773" t="s">
        <v>17</v>
      </c>
      <c r="U26" s="774">
        <f>H26</f>
        <v>100</v>
      </c>
      <c r="V26" s="773" t="s">
        <v>17</v>
      </c>
      <c r="W26" s="774">
        <f>J26</f>
        <v>100</v>
      </c>
      <c r="X26" s="1812"/>
      <c r="Y26" s="3212"/>
      <c r="Z26" s="1813" t="str">
        <f>Q26</f>
        <v>平面位置/可视性</v>
      </c>
      <c r="AA26" s="1810">
        <f t="shared" si="3"/>
        <v>1</v>
      </c>
      <c r="AB26" s="1810">
        <f t="shared" si="4"/>
        <v>1</v>
      </c>
      <c r="AC26" s="1810">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10"/>
      <c r="Q27" s="1794" t="str">
        <f t="shared" si="11"/>
        <v>人流量</v>
      </c>
      <c r="R27" s="769" t="s">
        <v>17</v>
      </c>
      <c r="S27" s="770">
        <f>F27</f>
        <v>100</v>
      </c>
      <c r="T27" s="769" t="s">
        <v>17</v>
      </c>
      <c r="U27" s="770">
        <f>H27</f>
        <v>100</v>
      </c>
      <c r="V27" s="769" t="s">
        <v>17</v>
      </c>
      <c r="W27" s="770">
        <f>J27</f>
        <v>100</v>
      </c>
      <c r="X27" s="771"/>
      <c r="Y27" s="3212"/>
      <c r="Z27" s="54"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1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0"/>
      <c r="Q29" s="1809">
        <f t="shared" si="11"/>
        <v>111</v>
      </c>
      <c r="R29" s="773" t="s">
        <v>17</v>
      </c>
      <c r="S29" s="774">
        <f t="shared" si="12"/>
        <v>100</v>
      </c>
      <c r="T29" s="773" t="s">
        <v>17</v>
      </c>
      <c r="U29" s="774">
        <f t="shared" si="13"/>
        <v>100</v>
      </c>
      <c r="V29" s="773" t="s">
        <v>17</v>
      </c>
      <c r="W29" s="774">
        <f t="shared" si="14"/>
        <v>100</v>
      </c>
      <c r="X29" s="1812"/>
      <c r="Y29" s="321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0"/>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0"/>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1810">
        <f t="shared" si="5"/>
        <v>1</v>
      </c>
    </row>
    <row r="32" spans="1:29" ht="15">
      <c r="A32" s="439" t="s">
        <v>2559</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213" t="s">
        <v>2561</v>
      </c>
      <c r="Q32" s="1809" t="str">
        <f t="shared" si="11"/>
        <v>商业类型</v>
      </c>
      <c r="R32" s="773" t="s">
        <v>17</v>
      </c>
      <c r="S32" s="774">
        <f t="shared" si="12"/>
        <v>100</v>
      </c>
      <c r="T32" s="773" t="s">
        <v>17</v>
      </c>
      <c r="U32" s="774">
        <f t="shared" si="13"/>
        <v>100</v>
      </c>
      <c r="V32" s="773" t="s">
        <v>17</v>
      </c>
      <c r="W32" s="774">
        <f t="shared" si="14"/>
        <v>100</v>
      </c>
      <c r="X32" s="1812"/>
      <c r="Y32" s="3216" t="s">
        <v>2561</v>
      </c>
      <c r="Z32" s="1813" t="str">
        <f t="shared" si="15"/>
        <v>商业类型</v>
      </c>
      <c r="AA32" s="1810">
        <f t="shared" si="3"/>
        <v>1</v>
      </c>
      <c r="AB32" s="1810">
        <f t="shared" si="4"/>
        <v>1</v>
      </c>
      <c r="AC32" s="1810">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10" t="e">
        <f t="shared" si="3"/>
        <v>#N/A</v>
      </c>
      <c r="AB33" s="1810" t="e">
        <f t="shared" si="4"/>
        <v>#N/A</v>
      </c>
      <c r="AC33" s="1810" t="e">
        <f t="shared" si="5"/>
        <v>#N/A</v>
      </c>
    </row>
    <row r="34" spans="1:29" ht="15">
      <c r="A34" s="471"/>
      <c r="B34" s="421" t="s">
        <v>2563</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39"/>
      <c r="M34" s="1130"/>
      <c r="N34" s="1130"/>
      <c r="O34" s="1130"/>
      <c r="P34" s="3214"/>
      <c r="Q34" s="1809" t="str">
        <f t="shared" si="11"/>
        <v>建筑结构</v>
      </c>
      <c r="R34" s="773" t="s">
        <v>17</v>
      </c>
      <c r="S34" s="774">
        <f t="shared" si="12"/>
        <v>100</v>
      </c>
      <c r="T34" s="773" t="s">
        <v>17</v>
      </c>
      <c r="U34" s="774">
        <f t="shared" si="13"/>
        <v>100</v>
      </c>
      <c r="V34" s="773" t="s">
        <v>17</v>
      </c>
      <c r="W34" s="774">
        <f t="shared" si="14"/>
        <v>100</v>
      </c>
      <c r="X34" s="1812"/>
      <c r="Y34" s="3216"/>
      <c r="Z34" s="1813" t="str">
        <f t="shared" si="15"/>
        <v>建筑结构</v>
      </c>
      <c r="AA34" s="1810">
        <f t="shared" si="3"/>
        <v>1</v>
      </c>
      <c r="AB34" s="1810">
        <f t="shared" si="4"/>
        <v>1</v>
      </c>
      <c r="AC34" s="1810">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9"/>
      <c r="M35" s="1130"/>
      <c r="N35" s="1130"/>
      <c r="O35" s="1130"/>
      <c r="P35" s="3214"/>
      <c r="Q35" s="1809" t="str">
        <f t="shared" si="11"/>
        <v>公共部分装修</v>
      </c>
      <c r="R35" s="773" t="s">
        <v>17</v>
      </c>
      <c r="S35" s="774">
        <f t="shared" si="12"/>
        <v>100</v>
      </c>
      <c r="T35" s="773" t="s">
        <v>17</v>
      </c>
      <c r="U35" s="774">
        <f t="shared" si="13"/>
        <v>100</v>
      </c>
      <c r="V35" s="773" t="s">
        <v>17</v>
      </c>
      <c r="W35" s="774">
        <f t="shared" si="14"/>
        <v>100</v>
      </c>
      <c r="X35" s="1812"/>
      <c r="Y35" s="321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4"/>
      <c r="Q36" s="1809" t="str">
        <f t="shared" si="11"/>
        <v>成新度</v>
      </c>
      <c r="R36" s="773" t="s">
        <v>17</v>
      </c>
      <c r="S36" s="774" t="e">
        <f t="shared" si="12"/>
        <v>#N/A</v>
      </c>
      <c r="T36" s="773" t="s">
        <v>17</v>
      </c>
      <c r="U36" s="774" t="e">
        <f t="shared" si="13"/>
        <v>#N/A</v>
      </c>
      <c r="V36" s="773" t="s">
        <v>17</v>
      </c>
      <c r="W36" s="774" t="e">
        <f t="shared" si="14"/>
        <v>#N/A</v>
      </c>
      <c r="X36" s="1812"/>
      <c r="Y36" s="3216"/>
      <c r="Z36" s="1813" t="str">
        <f t="shared" si="15"/>
        <v>成新度</v>
      </c>
      <c r="AA36" s="1810" t="e">
        <f t="shared" si="3"/>
        <v>#N/A</v>
      </c>
      <c r="AB36" s="1810" t="e">
        <f t="shared" si="4"/>
        <v>#N/A</v>
      </c>
      <c r="AC36" s="1810" t="e">
        <f t="shared" si="5"/>
        <v>#N/A</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1"/>
      <c r="M37" s="1132"/>
      <c r="N37" s="1132"/>
      <c r="O37" s="1132"/>
      <c r="P37" s="3214"/>
      <c r="Q37" s="1794" t="str">
        <f t="shared" si="11"/>
        <v>市政基础设施</v>
      </c>
      <c r="R37" s="769" t="s">
        <v>17</v>
      </c>
      <c r="S37" s="770">
        <f t="shared" si="12"/>
        <v>100</v>
      </c>
      <c r="T37" s="769" t="s">
        <v>17</v>
      </c>
      <c r="U37" s="770">
        <f t="shared" si="13"/>
        <v>100</v>
      </c>
      <c r="V37" s="769" t="s">
        <v>17</v>
      </c>
      <c r="W37" s="770">
        <f t="shared" si="14"/>
        <v>100</v>
      </c>
      <c r="X37" s="771"/>
      <c r="Y37" s="3216"/>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39"/>
      <c r="M38" s="1130"/>
      <c r="N38" s="1130"/>
      <c r="O38" s="1130"/>
      <c r="P38" s="3214" t="s">
        <v>2561</v>
      </c>
      <c r="Q38" s="1809" t="str">
        <f t="shared" si="11"/>
        <v>业态</v>
      </c>
      <c r="R38" s="773" t="s">
        <v>17</v>
      </c>
      <c r="S38" s="774">
        <f t="shared" si="12"/>
        <v>100</v>
      </c>
      <c r="T38" s="773" t="s">
        <v>17</v>
      </c>
      <c r="U38" s="774">
        <f t="shared" si="13"/>
        <v>100</v>
      </c>
      <c r="V38" s="773" t="s">
        <v>17</v>
      </c>
      <c r="W38" s="774">
        <f t="shared" si="14"/>
        <v>100</v>
      </c>
      <c r="X38" s="1812"/>
      <c r="Y38" s="3216" t="s">
        <v>2561</v>
      </c>
      <c r="Z38" s="1813" t="str">
        <f t="shared" si="15"/>
        <v>业态</v>
      </c>
      <c r="AA38" s="1810">
        <f t="shared" si="3"/>
        <v>1</v>
      </c>
      <c r="AB38" s="1810">
        <f t="shared" si="4"/>
        <v>1</v>
      </c>
      <c r="AC38" s="1810">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39"/>
      <c r="M39" s="1130"/>
      <c r="N39" s="1130"/>
      <c r="O39" s="1130"/>
      <c r="P39" s="3214"/>
      <c r="Q39" s="1809" t="str">
        <f t="shared" si="11"/>
        <v>层高</v>
      </c>
      <c r="R39" s="773" t="s">
        <v>17</v>
      </c>
      <c r="S39" s="774">
        <f t="shared" si="12"/>
        <v>100</v>
      </c>
      <c r="T39" s="773" t="s">
        <v>17</v>
      </c>
      <c r="U39" s="774">
        <f t="shared" si="13"/>
        <v>100</v>
      </c>
      <c r="V39" s="773" t="s">
        <v>17</v>
      </c>
      <c r="W39" s="774">
        <f t="shared" si="14"/>
        <v>100</v>
      </c>
      <c r="X39" s="1812"/>
      <c r="Y39" s="321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4"/>
      <c r="Q40" s="1809" t="str">
        <f t="shared" si="11"/>
        <v>单套建筑面积</v>
      </c>
      <c r="R40" s="773" t="s">
        <v>17</v>
      </c>
      <c r="S40" s="774">
        <f t="shared" si="12"/>
        <v>100</v>
      </c>
      <c r="T40" s="773" t="s">
        <v>17</v>
      </c>
      <c r="U40" s="774">
        <f t="shared" si="13"/>
        <v>100</v>
      </c>
      <c r="V40" s="773" t="s">
        <v>17</v>
      </c>
      <c r="W40" s="774">
        <f t="shared" si="14"/>
        <v>100</v>
      </c>
      <c r="X40" s="1812"/>
      <c r="Y40" s="321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10">
        <f t="shared" si="3"/>
        <v>1</v>
      </c>
      <c r="AB41" s="1810">
        <f t="shared" si="4"/>
        <v>1</v>
      </c>
      <c r="AC41" s="1810">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39"/>
      <c r="M42" s="1130"/>
      <c r="N42" s="1130"/>
      <c r="O42" s="1130"/>
      <c r="P42" s="3214"/>
      <c r="Q42" s="1809" t="str">
        <f t="shared" si="11"/>
        <v>内部装修</v>
      </c>
      <c r="R42" s="773" t="s">
        <v>17</v>
      </c>
      <c r="S42" s="774">
        <f t="shared" si="12"/>
        <v>100</v>
      </c>
      <c r="T42" s="773" t="s">
        <v>17</v>
      </c>
      <c r="U42" s="774">
        <f t="shared" si="13"/>
        <v>100</v>
      </c>
      <c r="V42" s="773" t="s">
        <v>17</v>
      </c>
      <c r="W42" s="774">
        <f t="shared" si="14"/>
        <v>100</v>
      </c>
      <c r="X42" s="1812"/>
      <c r="Y42" s="3216"/>
      <c r="Z42" s="1813" t="str">
        <f t="shared" si="15"/>
        <v>内部装修</v>
      </c>
      <c r="AA42" s="1810">
        <f t="shared" si="3"/>
        <v>1</v>
      </c>
      <c r="AB42" s="1810">
        <f t="shared" si="4"/>
        <v>1</v>
      </c>
      <c r="AC42" s="1810">
        <f t="shared" si="5"/>
        <v>1</v>
      </c>
    </row>
    <row r="43" spans="1:29" ht="15">
      <c r="A43" s="471"/>
      <c r="B43" s="421" t="s">
        <v>2572</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9"/>
      <c r="M43" s="1130"/>
      <c r="N43" s="1130"/>
      <c r="O43" s="1130"/>
      <c r="P43" s="3214"/>
      <c r="Q43" s="1809" t="str">
        <f t="shared" si="11"/>
        <v>内部装修维护情况</v>
      </c>
      <c r="R43" s="773" t="s">
        <v>17</v>
      </c>
      <c r="S43" s="774">
        <f t="shared" si="12"/>
        <v>100</v>
      </c>
      <c r="T43" s="773" t="s">
        <v>17</v>
      </c>
      <c r="U43" s="774">
        <f t="shared" si="13"/>
        <v>100</v>
      </c>
      <c r="V43" s="773" t="s">
        <v>17</v>
      </c>
      <c r="W43" s="774">
        <f t="shared" si="14"/>
        <v>100</v>
      </c>
      <c r="X43" s="1812"/>
      <c r="Y43" s="3216"/>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4"/>
      <c r="Q44" s="1794">
        <f t="shared" si="11"/>
        <v>111</v>
      </c>
      <c r="R44" s="769" t="s">
        <v>17</v>
      </c>
      <c r="S44" s="770">
        <f t="shared" si="12"/>
        <v>100</v>
      </c>
      <c r="T44" s="769" t="s">
        <v>17</v>
      </c>
      <c r="U44" s="770">
        <f t="shared" si="13"/>
        <v>100</v>
      </c>
      <c r="V44" s="769" t="s">
        <v>17</v>
      </c>
      <c r="W44" s="770">
        <f t="shared" si="14"/>
        <v>100</v>
      </c>
      <c r="X44" s="771"/>
      <c r="Y44" s="3216"/>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4"/>
      <c r="Q45" s="1809">
        <f t="shared" si="11"/>
        <v>111</v>
      </c>
      <c r="R45" s="773" t="s">
        <v>17</v>
      </c>
      <c r="S45" s="774">
        <f t="shared" si="12"/>
        <v>100</v>
      </c>
      <c r="T45" s="773" t="s">
        <v>17</v>
      </c>
      <c r="U45" s="774">
        <f t="shared" si="13"/>
        <v>100</v>
      </c>
      <c r="V45" s="773" t="s">
        <v>17</v>
      </c>
      <c r="W45" s="774">
        <f t="shared" si="14"/>
        <v>100</v>
      </c>
      <c r="X45" s="1812"/>
      <c r="Y45" s="3216"/>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5"/>
      <c r="Q46" s="1809">
        <f t="shared" si="11"/>
        <v>111</v>
      </c>
      <c r="R46" s="773" t="s">
        <v>17</v>
      </c>
      <c r="S46" s="774">
        <f t="shared" si="12"/>
        <v>100</v>
      </c>
      <c r="T46" s="773" t="s">
        <v>17</v>
      </c>
      <c r="U46" s="774">
        <f t="shared" si="13"/>
        <v>100</v>
      </c>
      <c r="V46" s="773" t="s">
        <v>17</v>
      </c>
      <c r="W46" s="774">
        <f t="shared" si="14"/>
        <v>100</v>
      </c>
      <c r="X46" s="1812"/>
      <c r="Y46" s="3217"/>
      <c r="Z46" s="1813">
        <f t="shared" si="15"/>
        <v>111</v>
      </c>
      <c r="AA46" s="1810">
        <f t="shared" si="3"/>
        <v>1</v>
      </c>
      <c r="AB46" s="1810">
        <f t="shared" si="4"/>
        <v>1</v>
      </c>
      <c r="AC46" s="1810">
        <f t="shared" si="5"/>
        <v>1</v>
      </c>
    </row>
    <row r="47" spans="1:29" ht="15">
      <c r="A47" s="478" t="s">
        <v>2573</v>
      </c>
      <c r="B47" s="479"/>
      <c r="C47" s="1406" t="s">
        <v>1</v>
      </c>
      <c r="D47" s="1407"/>
      <c r="E47" s="1408"/>
      <c r="F47" s="1409"/>
      <c r="G47" s="1410"/>
      <c r="H47" s="1411"/>
      <c r="I47" s="1408"/>
      <c r="J47" s="1411"/>
      <c r="K47" s="782"/>
      <c r="L47" s="1142"/>
      <c r="M47" s="1143"/>
      <c r="N47" s="1130"/>
      <c r="O47" s="1143"/>
      <c r="P47" s="3204" t="str">
        <f>A47</f>
        <v>成交单价（元/平方米）</v>
      </c>
      <c r="Q47" s="3204"/>
      <c r="R47" s="3221">
        <f>E47</f>
        <v>0</v>
      </c>
      <c r="S47" s="3221"/>
      <c r="T47" s="3221">
        <f>G47</f>
        <v>0</v>
      </c>
      <c r="U47" s="3221"/>
      <c r="V47" s="3221">
        <f>I47</f>
        <v>0</v>
      </c>
      <c r="W47" s="3221"/>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2544</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2646</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2674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2559</v>
      </c>
      <c r="B100" s="527" t="s">
        <v>2675</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2608</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2610</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2676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2677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2678</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2614</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2680</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56" t="s">
        <v>2645</v>
      </c>
      <c r="Q4" s="3257"/>
      <c r="R4" s="3260" t="s">
        <v>2641</v>
      </c>
      <c r="S4" s="3261"/>
      <c r="T4" s="3260" t="s">
        <v>2642</v>
      </c>
      <c r="U4" s="3261"/>
      <c r="V4" s="3262" t="s">
        <v>2643</v>
      </c>
      <c r="W4" s="3262"/>
      <c r="X4" s="2671"/>
      <c r="Y4" s="3260" t="s">
        <v>2645</v>
      </c>
      <c r="Z4" s="3261"/>
      <c r="AA4" s="3264" t="s">
        <v>2641</v>
      </c>
      <c r="AB4" s="3264" t="s">
        <v>2642</v>
      </c>
      <c r="AC4" s="3253" t="s">
        <v>2643</v>
      </c>
    </row>
    <row r="5" spans="1:29" ht="15">
      <c r="A5" s="403"/>
      <c r="B5" s="404"/>
      <c r="C5" s="3242" t="s">
        <v>2538</v>
      </c>
      <c r="D5" s="3243"/>
      <c r="E5" s="3244" t="s">
        <v>2539</v>
      </c>
      <c r="F5" s="3245"/>
      <c r="G5" s="3242" t="s">
        <v>2540</v>
      </c>
      <c r="H5" s="3243"/>
      <c r="I5" s="3242" t="s">
        <v>2541</v>
      </c>
      <c r="J5" s="3243"/>
      <c r="K5" s="609"/>
      <c r="L5" s="1129"/>
      <c r="M5" s="1130"/>
      <c r="N5" s="1130"/>
      <c r="O5" s="1130"/>
      <c r="P5" s="3258"/>
      <c r="Q5" s="3239"/>
      <c r="R5" s="3224"/>
      <c r="S5" s="3225"/>
      <c r="T5" s="3224"/>
      <c r="U5" s="3225"/>
      <c r="V5" s="3221"/>
      <c r="W5" s="3221"/>
      <c r="X5" s="1812"/>
      <c r="Y5" s="3224"/>
      <c r="Z5" s="3225"/>
      <c r="AA5" s="3229"/>
      <c r="AB5" s="3229"/>
      <c r="AC5" s="3254"/>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59"/>
      <c r="Q6" s="3241"/>
      <c r="R6" s="3224"/>
      <c r="S6" s="3225"/>
      <c r="T6" s="3226"/>
      <c r="U6" s="3227"/>
      <c r="V6" s="3221"/>
      <c r="W6" s="3221"/>
      <c r="X6" s="1812"/>
      <c r="Y6" s="3226"/>
      <c r="Z6" s="3227"/>
      <c r="AA6" s="3230"/>
      <c r="AB6" s="3230"/>
      <c r="AC6" s="3255"/>
    </row>
    <row r="7" spans="1:29" s="116" customFormat="1" ht="15.75" thickBot="1">
      <c r="A7" s="407" t="s">
        <v>2544</v>
      </c>
      <c r="B7" s="408"/>
      <c r="C7" s="409">
        <f>'数据-取费表'!B2</f>
        <v>43764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3"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2672" t="e">
        <f>D7/J7</f>
        <v>#DIV/0!</v>
      </c>
    </row>
    <row r="8" spans="1:29" s="116" customFormat="1" ht="15.75" thickBot="1">
      <c r="A8" s="407" t="s">
        <v>2546</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3" t="s">
        <v>2548</v>
      </c>
      <c r="Q8" s="3219"/>
      <c r="R8" s="769" t="s">
        <v>17</v>
      </c>
      <c r="S8" s="770">
        <f t="shared" si="0"/>
        <v>0</v>
      </c>
      <c r="T8" s="769" t="s">
        <v>17</v>
      </c>
      <c r="U8" s="770">
        <f t="shared" si="1"/>
        <v>0</v>
      </c>
      <c r="V8" s="769" t="s">
        <v>17</v>
      </c>
      <c r="W8" s="770">
        <f t="shared" si="2"/>
        <v>0</v>
      </c>
      <c r="X8" s="771"/>
      <c r="Y8" s="3218" t="s">
        <v>2548</v>
      </c>
      <c r="Z8" s="3219"/>
      <c r="AA8" s="772" t="e">
        <f t="shared" ref="AA8:AA47" si="3">D8/F8</f>
        <v>#DIV/0!</v>
      </c>
      <c r="AB8" s="772" t="e">
        <f t="shared" ref="AB8:AB47" si="4">D8/H8</f>
        <v>#DIV/0!</v>
      </c>
      <c r="AC8" s="2672" t="e">
        <f t="shared" ref="AC8:AC47" si="5">D8/J8</f>
        <v>#DIV/0!</v>
      </c>
    </row>
    <row r="9" spans="1:29" s="116" customFormat="1">
      <c r="A9" s="414" t="s">
        <v>2549</v>
      </c>
      <c r="B9" s="70" t="s">
        <v>2550</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0"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2672">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2672">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0"/>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2672">
        <f t="shared" si="5"/>
        <v>1</v>
      </c>
    </row>
    <row r="15" spans="1:29" ht="71.25">
      <c r="A15" s="439" t="s">
        <v>2555</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9" t="s">
        <v>2556</v>
      </c>
      <c r="Q15" s="1809" t="str">
        <f t="shared" si="6"/>
        <v>办公集聚程度</v>
      </c>
      <c r="R15" s="773" t="s">
        <v>17</v>
      </c>
      <c r="S15" s="774">
        <f t="shared" si="0"/>
        <v>100</v>
      </c>
      <c r="T15" s="773" t="s">
        <v>17</v>
      </c>
      <c r="U15" s="774">
        <f t="shared" si="1"/>
        <v>100</v>
      </c>
      <c r="V15" s="773" t="s">
        <v>17</v>
      </c>
      <c r="W15" s="774">
        <f t="shared" si="2"/>
        <v>100</v>
      </c>
      <c r="X15" s="1812"/>
      <c r="Y15" s="3211" t="s">
        <v>2556</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10"/>
      <c r="Q16" s="1809"/>
      <c r="R16" s="773"/>
      <c r="S16" s="774"/>
      <c r="T16" s="773"/>
      <c r="U16" s="774"/>
      <c r="V16" s="773"/>
      <c r="W16" s="774"/>
      <c r="X16" s="1812"/>
      <c r="Y16" s="3212"/>
      <c r="Z16" s="1813"/>
      <c r="AA16" s="1810">
        <v>1</v>
      </c>
      <c r="AB16" s="1810">
        <v>1</v>
      </c>
      <c r="AC16" s="2675">
        <v>1</v>
      </c>
    </row>
    <row r="17" spans="1:29" ht="71.25">
      <c r="A17" s="427"/>
      <c r="B17" s="630" t="s">
        <v>2097</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0"/>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10"/>
      <c r="Q18" s="1809"/>
      <c r="R18" s="773"/>
      <c r="S18" s="774"/>
      <c r="T18" s="773"/>
      <c r="U18" s="774"/>
      <c r="V18" s="773"/>
      <c r="W18" s="774"/>
      <c r="X18" s="1812"/>
      <c r="Y18" s="3212"/>
      <c r="Z18" s="1813"/>
      <c r="AA18" s="1810">
        <v>1</v>
      </c>
      <c r="AB18" s="1810">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0"/>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10"/>
      <c r="Q20" s="1809"/>
      <c r="R20" s="773"/>
      <c r="S20" s="774"/>
      <c r="T20" s="773"/>
      <c r="U20" s="774"/>
      <c r="V20" s="773"/>
      <c r="W20" s="774"/>
      <c r="X20" s="1812"/>
      <c r="Y20" s="3212"/>
      <c r="Z20" s="1813"/>
      <c r="AA20" s="1810">
        <v>1</v>
      </c>
      <c r="AB20" s="1810">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0"/>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10"/>
      <c r="Q22" s="1809"/>
      <c r="R22" s="773"/>
      <c r="S22" s="774"/>
      <c r="T22" s="773"/>
      <c r="U22" s="774"/>
      <c r="V22" s="773"/>
      <c r="W22" s="774"/>
      <c r="X22" s="1812"/>
      <c r="Y22" s="3212"/>
      <c r="Z22" s="1813"/>
      <c r="AA22" s="1810">
        <v>1</v>
      </c>
      <c r="AB22" s="1810">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0"/>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10"/>
      <c r="Q24" s="1809"/>
      <c r="R24" s="773"/>
      <c r="S24" s="774"/>
      <c r="T24" s="773"/>
      <c r="U24" s="774"/>
      <c r="V24" s="773"/>
      <c r="W24" s="774"/>
      <c r="X24" s="1812"/>
      <c r="Y24" s="3212"/>
      <c r="Z24" s="1813"/>
      <c r="AA24" s="1810">
        <v>1</v>
      </c>
      <c r="AB24" s="1810">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10"/>
      <c r="Q25" s="1809" t="str">
        <f>B25</f>
        <v>毗邻道路的类型与等级</v>
      </c>
      <c r="R25" s="773" t="s">
        <v>17</v>
      </c>
      <c r="S25" s="774">
        <f>F25</f>
        <v>100</v>
      </c>
      <c r="T25" s="773" t="s">
        <v>17</v>
      </c>
      <c r="U25" s="774">
        <f>H25</f>
        <v>100</v>
      </c>
      <c r="V25" s="773" t="s">
        <v>17</v>
      </c>
      <c r="W25" s="774">
        <f>J25</f>
        <v>100</v>
      </c>
      <c r="X25" s="1812"/>
      <c r="Y25" s="3212"/>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10"/>
      <c r="Q26" s="1809"/>
      <c r="R26" s="773"/>
      <c r="S26" s="774"/>
      <c r="T26" s="773"/>
      <c r="U26" s="774"/>
      <c r="V26" s="773"/>
      <c r="W26" s="774"/>
      <c r="X26" s="1812"/>
      <c r="Y26" s="3212"/>
      <c r="Z26" s="1813"/>
      <c r="AA26" s="1810">
        <v>1</v>
      </c>
      <c r="AB26" s="1810">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0"/>
      <c r="Q27" s="1809" t="str">
        <f t="shared" ref="Q27:Q47" si="11">B27</f>
        <v>楼层</v>
      </c>
      <c r="R27" s="773" t="s">
        <v>17</v>
      </c>
      <c r="S27" s="774">
        <f>F27</f>
        <v>100</v>
      </c>
      <c r="T27" s="773" t="s">
        <v>17</v>
      </c>
      <c r="U27" s="774">
        <f>H27</f>
        <v>100</v>
      </c>
      <c r="V27" s="773" t="s">
        <v>17</v>
      </c>
      <c r="W27" s="774">
        <f>J27</f>
        <v>100</v>
      </c>
      <c r="X27" s="1812"/>
      <c r="Y27" s="3212"/>
      <c r="Z27" s="1813" t="str">
        <f>Q27</f>
        <v>楼层</v>
      </c>
      <c r="AA27" s="1810">
        <f t="shared" si="3"/>
        <v>1</v>
      </c>
      <c r="AB27" s="1810">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10"/>
      <c r="Q28" s="1794" t="str">
        <f t="shared" si="11"/>
        <v>朝向</v>
      </c>
      <c r="R28" s="769" t="s">
        <v>17</v>
      </c>
      <c r="S28" s="770">
        <f>F28</f>
        <v>100</v>
      </c>
      <c r="T28" s="769" t="s">
        <v>17</v>
      </c>
      <c r="U28" s="770">
        <f>H28</f>
        <v>100</v>
      </c>
      <c r="V28" s="769" t="s">
        <v>17</v>
      </c>
      <c r="W28" s="770">
        <f>J28</f>
        <v>100</v>
      </c>
      <c r="X28" s="771"/>
      <c r="Y28" s="3212"/>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10"/>
      <c r="Q29" s="1809">
        <f t="shared" si="11"/>
        <v>111</v>
      </c>
      <c r="R29" s="773" t="s">
        <v>17</v>
      </c>
      <c r="S29" s="774">
        <f t="shared" ref="S29:S47" si="12">F29</f>
        <v>100</v>
      </c>
      <c r="T29" s="773" t="s">
        <v>17</v>
      </c>
      <c r="U29" s="774">
        <f t="shared" ref="U29:U47" si="13">H29</f>
        <v>100</v>
      </c>
      <c r="V29" s="773" t="s">
        <v>17</v>
      </c>
      <c r="W29" s="774">
        <f t="shared" ref="W29:W47" si="14">J29</f>
        <v>100</v>
      </c>
      <c r="X29" s="1812"/>
      <c r="Y29" s="3212"/>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10"/>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10"/>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10"/>
      <c r="Q32" s="1809">
        <f t="shared" si="11"/>
        <v>111</v>
      </c>
      <c r="R32" s="773" t="s">
        <v>17</v>
      </c>
      <c r="S32" s="774">
        <f t="shared" si="12"/>
        <v>100</v>
      </c>
      <c r="T32" s="773" t="s">
        <v>17</v>
      </c>
      <c r="U32" s="774">
        <f t="shared" si="13"/>
        <v>100</v>
      </c>
      <c r="V32" s="773" t="s">
        <v>17</v>
      </c>
      <c r="W32" s="774">
        <f t="shared" si="14"/>
        <v>100</v>
      </c>
      <c r="X32" s="1812"/>
      <c r="Y32" s="3212"/>
      <c r="Z32" s="1813">
        <f t="shared" si="15"/>
        <v>111</v>
      </c>
      <c r="AA32" s="1810">
        <f t="shared" si="3"/>
        <v>1</v>
      </c>
      <c r="AB32" s="1810">
        <f t="shared" si="4"/>
        <v>1</v>
      </c>
      <c r="AC32" s="2675">
        <f t="shared" si="5"/>
        <v>1</v>
      </c>
    </row>
    <row r="33" spans="1:29" ht="15">
      <c r="A33" s="439" t="s">
        <v>2559</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13" t="s">
        <v>2561</v>
      </c>
      <c r="Q33" s="1809" t="str">
        <f t="shared" si="11"/>
        <v>建筑类型</v>
      </c>
      <c r="R33" s="773" t="s">
        <v>17</v>
      </c>
      <c r="S33" s="774">
        <f t="shared" si="12"/>
        <v>100</v>
      </c>
      <c r="T33" s="773" t="s">
        <v>17</v>
      </c>
      <c r="U33" s="774">
        <f t="shared" si="13"/>
        <v>100</v>
      </c>
      <c r="V33" s="773" t="s">
        <v>17</v>
      </c>
      <c r="W33" s="774">
        <f t="shared" si="14"/>
        <v>100</v>
      </c>
      <c r="X33" s="1812"/>
      <c r="Y33" s="3216" t="s">
        <v>2561</v>
      </c>
      <c r="Z33" s="1813" t="str">
        <f t="shared" si="15"/>
        <v>建筑类型</v>
      </c>
      <c r="AA33" s="1810">
        <f t="shared" si="3"/>
        <v>1</v>
      </c>
      <c r="AB33" s="1810">
        <f t="shared" si="4"/>
        <v>1</v>
      </c>
      <c r="AC33" s="2675">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10" t="e">
        <f t="shared" si="3"/>
        <v>#N/A</v>
      </c>
      <c r="AB34" s="1810" t="e">
        <f t="shared" si="4"/>
        <v>#N/A</v>
      </c>
      <c r="AC34" s="2675"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4"/>
      <c r="Q35" s="1809" t="str">
        <f t="shared" si="11"/>
        <v>建筑结构</v>
      </c>
      <c r="R35" s="773" t="s">
        <v>17</v>
      </c>
      <c r="S35" s="774">
        <f t="shared" si="12"/>
        <v>100</v>
      </c>
      <c r="T35" s="773" t="s">
        <v>17</v>
      </c>
      <c r="U35" s="774">
        <f t="shared" si="13"/>
        <v>100</v>
      </c>
      <c r="V35" s="773" t="s">
        <v>17</v>
      </c>
      <c r="W35" s="774">
        <f t="shared" si="14"/>
        <v>100</v>
      </c>
      <c r="X35" s="1812"/>
      <c r="Y35" s="3216"/>
      <c r="Z35" s="1813" t="str">
        <f t="shared" si="15"/>
        <v>建筑结构</v>
      </c>
      <c r="AA35" s="1810">
        <f t="shared" si="3"/>
        <v>1</v>
      </c>
      <c r="AB35" s="1810">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4"/>
      <c r="Q36" s="1809" t="str">
        <f t="shared" si="11"/>
        <v>公共部分装修</v>
      </c>
      <c r="R36" s="773" t="s">
        <v>17</v>
      </c>
      <c r="S36" s="774">
        <f t="shared" si="12"/>
        <v>100</v>
      </c>
      <c r="T36" s="773" t="s">
        <v>17</v>
      </c>
      <c r="U36" s="774">
        <f t="shared" si="13"/>
        <v>100</v>
      </c>
      <c r="V36" s="773" t="s">
        <v>17</v>
      </c>
      <c r="W36" s="774">
        <f t="shared" si="14"/>
        <v>100</v>
      </c>
      <c r="X36" s="1812"/>
      <c r="Y36" s="3216"/>
      <c r="Z36" s="1813" t="str">
        <f t="shared" si="15"/>
        <v>公共部分装修</v>
      </c>
      <c r="AA36" s="1810">
        <f t="shared" si="3"/>
        <v>1</v>
      </c>
      <c r="AB36" s="1810">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4"/>
      <c r="Q37" s="1809" t="str">
        <f t="shared" si="11"/>
        <v>成新度</v>
      </c>
      <c r="R37" s="773" t="s">
        <v>17</v>
      </c>
      <c r="S37" s="774" t="e">
        <f t="shared" si="12"/>
        <v>#N/A</v>
      </c>
      <c r="T37" s="773" t="s">
        <v>17</v>
      </c>
      <c r="U37" s="774" t="e">
        <f t="shared" si="13"/>
        <v>#N/A</v>
      </c>
      <c r="V37" s="773" t="s">
        <v>17</v>
      </c>
      <c r="W37" s="774" t="e">
        <f t="shared" si="14"/>
        <v>#N/A</v>
      </c>
      <c r="X37" s="1812"/>
      <c r="Y37" s="3216"/>
      <c r="Z37" s="1813" t="str">
        <f t="shared" si="15"/>
        <v>成新度</v>
      </c>
      <c r="AA37" s="1810" t="e">
        <f t="shared" si="3"/>
        <v>#N/A</v>
      </c>
      <c r="AB37" s="1810"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4"/>
      <c r="Q38" s="1794" t="str">
        <f t="shared" si="11"/>
        <v>写字楼等级</v>
      </c>
      <c r="R38" s="769" t="s">
        <v>17</v>
      </c>
      <c r="S38" s="770">
        <f t="shared" si="12"/>
        <v>100</v>
      </c>
      <c r="T38" s="769" t="s">
        <v>17</v>
      </c>
      <c r="U38" s="770">
        <f t="shared" si="13"/>
        <v>100</v>
      </c>
      <c r="V38" s="769" t="s">
        <v>17</v>
      </c>
      <c r="W38" s="770">
        <f t="shared" si="14"/>
        <v>100</v>
      </c>
      <c r="X38" s="771"/>
      <c r="Y38" s="3216"/>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4" t="s">
        <v>2561</v>
      </c>
      <c r="Q39" s="1809" t="str">
        <f t="shared" si="11"/>
        <v>物业管理</v>
      </c>
      <c r="R39" s="773" t="s">
        <v>17</v>
      </c>
      <c r="S39" s="774">
        <f t="shared" si="12"/>
        <v>100</v>
      </c>
      <c r="T39" s="773" t="s">
        <v>17</v>
      </c>
      <c r="U39" s="774">
        <f t="shared" si="13"/>
        <v>100</v>
      </c>
      <c r="V39" s="773" t="s">
        <v>17</v>
      </c>
      <c r="W39" s="774">
        <f t="shared" si="14"/>
        <v>100</v>
      </c>
      <c r="X39" s="1812"/>
      <c r="Y39" s="3216" t="s">
        <v>2561</v>
      </c>
      <c r="Z39" s="1813" t="str">
        <f t="shared" si="15"/>
        <v>物业管理</v>
      </c>
      <c r="AA39" s="1810">
        <f t="shared" si="3"/>
        <v>1</v>
      </c>
      <c r="AB39" s="1810">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4"/>
      <c r="Q40" s="1809" t="str">
        <f t="shared" si="11"/>
        <v>市政基础设施</v>
      </c>
      <c r="R40" s="773" t="s">
        <v>17</v>
      </c>
      <c r="S40" s="774">
        <f t="shared" si="12"/>
        <v>100</v>
      </c>
      <c r="T40" s="773" t="s">
        <v>17</v>
      </c>
      <c r="U40" s="774">
        <f t="shared" si="13"/>
        <v>100</v>
      </c>
      <c r="V40" s="773" t="s">
        <v>17</v>
      </c>
      <c r="W40" s="774">
        <f t="shared" si="14"/>
        <v>100</v>
      </c>
      <c r="X40" s="1812"/>
      <c r="Y40" s="3216"/>
      <c r="Z40" s="1813" t="str">
        <f t="shared" si="15"/>
        <v>市政基础设施</v>
      </c>
      <c r="AA40" s="1810">
        <f t="shared" si="3"/>
        <v>1</v>
      </c>
      <c r="AB40" s="1810">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4"/>
      <c r="Q41" s="1809" t="str">
        <f t="shared" si="11"/>
        <v>层高</v>
      </c>
      <c r="R41" s="773" t="s">
        <v>17</v>
      </c>
      <c r="S41" s="774">
        <f t="shared" si="12"/>
        <v>100</v>
      </c>
      <c r="T41" s="773" t="s">
        <v>17</v>
      </c>
      <c r="U41" s="774">
        <f t="shared" si="13"/>
        <v>100</v>
      </c>
      <c r="V41" s="773" t="s">
        <v>17</v>
      </c>
      <c r="W41" s="774">
        <f t="shared" si="14"/>
        <v>100</v>
      </c>
      <c r="X41" s="1812"/>
      <c r="Y41" s="3216"/>
      <c r="Z41" s="1813" t="str">
        <f t="shared" si="15"/>
        <v>层高</v>
      </c>
      <c r="AA41" s="1810">
        <f t="shared" si="3"/>
        <v>1</v>
      </c>
      <c r="AB41" s="1810">
        <f t="shared" si="4"/>
        <v>1</v>
      </c>
      <c r="AC41" s="2675">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10">
        <f t="shared" si="3"/>
        <v>1</v>
      </c>
      <c r="AB42" s="1810">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4"/>
      <c r="Q43" s="1809" t="str">
        <f t="shared" si="11"/>
        <v>内部装修</v>
      </c>
      <c r="R43" s="773" t="s">
        <v>17</v>
      </c>
      <c r="S43" s="774">
        <f t="shared" si="12"/>
        <v>100</v>
      </c>
      <c r="T43" s="773" t="s">
        <v>17</v>
      </c>
      <c r="U43" s="774">
        <f t="shared" si="13"/>
        <v>100</v>
      </c>
      <c r="V43" s="773" t="s">
        <v>17</v>
      </c>
      <c r="W43" s="774">
        <f t="shared" si="14"/>
        <v>100</v>
      </c>
      <c r="X43" s="1812"/>
      <c r="Y43" s="3216"/>
      <c r="Z43" s="1813" t="str">
        <f t="shared" si="15"/>
        <v>内部装修</v>
      </c>
      <c r="AA43" s="1810">
        <f t="shared" si="3"/>
        <v>1</v>
      </c>
      <c r="AB43" s="1810">
        <f t="shared" si="4"/>
        <v>1</v>
      </c>
      <c r="AC43" s="2675">
        <f t="shared" si="5"/>
        <v>1</v>
      </c>
    </row>
    <row r="44" spans="1:29" ht="15">
      <c r="A44" s="471"/>
      <c r="B44" s="421" t="s">
        <v>2572</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14"/>
      <c r="Q44" s="1809" t="str">
        <f t="shared" si="11"/>
        <v>内部装修维护情况</v>
      </c>
      <c r="R44" s="773" t="s">
        <v>17</v>
      </c>
      <c r="S44" s="774">
        <f t="shared" si="12"/>
        <v>100</v>
      </c>
      <c r="T44" s="773" t="s">
        <v>17</v>
      </c>
      <c r="U44" s="774">
        <f t="shared" si="13"/>
        <v>100</v>
      </c>
      <c r="V44" s="773" t="s">
        <v>17</v>
      </c>
      <c r="W44" s="774">
        <f t="shared" si="14"/>
        <v>100</v>
      </c>
      <c r="X44" s="1812"/>
      <c r="Y44" s="3216"/>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4"/>
      <c r="Q45" s="1794">
        <f t="shared" si="11"/>
        <v>111</v>
      </c>
      <c r="R45" s="769" t="s">
        <v>17</v>
      </c>
      <c r="S45" s="770">
        <f t="shared" si="12"/>
        <v>100</v>
      </c>
      <c r="T45" s="769" t="s">
        <v>17</v>
      </c>
      <c r="U45" s="770">
        <f t="shared" si="13"/>
        <v>100</v>
      </c>
      <c r="V45" s="769" t="s">
        <v>17</v>
      </c>
      <c r="W45" s="770">
        <f t="shared" si="14"/>
        <v>100</v>
      </c>
      <c r="X45" s="771"/>
      <c r="Y45" s="3216"/>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4"/>
      <c r="Q46" s="1809">
        <f t="shared" si="11"/>
        <v>111</v>
      </c>
      <c r="R46" s="773" t="s">
        <v>17</v>
      </c>
      <c r="S46" s="774">
        <f t="shared" si="12"/>
        <v>100</v>
      </c>
      <c r="T46" s="773" t="s">
        <v>17</v>
      </c>
      <c r="U46" s="774">
        <f t="shared" si="13"/>
        <v>100</v>
      </c>
      <c r="V46" s="773" t="s">
        <v>17</v>
      </c>
      <c r="W46" s="774">
        <f t="shared" si="14"/>
        <v>100</v>
      </c>
      <c r="X46" s="1812"/>
      <c r="Y46" s="3216"/>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5"/>
      <c r="Q47" s="1809">
        <f t="shared" si="11"/>
        <v>111</v>
      </c>
      <c r="R47" s="773" t="s">
        <v>17</v>
      </c>
      <c r="S47" s="774">
        <f t="shared" si="12"/>
        <v>100</v>
      </c>
      <c r="T47" s="773" t="s">
        <v>17</v>
      </c>
      <c r="U47" s="774">
        <f t="shared" si="13"/>
        <v>100</v>
      </c>
      <c r="V47" s="773" t="s">
        <v>17</v>
      </c>
      <c r="W47" s="774">
        <f t="shared" si="14"/>
        <v>100</v>
      </c>
      <c r="X47" s="1812"/>
      <c r="Y47" s="3217"/>
      <c r="Z47" s="1813">
        <f t="shared" si="15"/>
        <v>111</v>
      </c>
      <c r="AA47" s="1810">
        <f t="shared" si="3"/>
        <v>1</v>
      </c>
      <c r="AB47" s="1810">
        <f t="shared" si="4"/>
        <v>1</v>
      </c>
      <c r="AC47" s="2675">
        <f t="shared" si="5"/>
        <v>1</v>
      </c>
    </row>
    <row r="48" spans="1:29" ht="15">
      <c r="A48" s="478" t="s">
        <v>2573</v>
      </c>
      <c r="B48" s="479"/>
      <c r="C48" s="1406" t="s">
        <v>1</v>
      </c>
      <c r="D48" s="1407"/>
      <c r="E48" s="1408"/>
      <c r="F48" s="1409"/>
      <c r="G48" s="1410"/>
      <c r="H48" s="1411"/>
      <c r="I48" s="1408"/>
      <c r="J48" s="484"/>
      <c r="K48" s="782"/>
      <c r="L48" s="1142"/>
      <c r="M48" s="1130"/>
      <c r="N48" s="1130"/>
      <c r="O48" s="1130"/>
      <c r="P48" s="3220"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20"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2"/>
      <c r="Q58" s="503"/>
    </row>
    <row r="59" spans="1:29" s="507" customFormat="1" ht="15">
      <c r="A59" s="504" t="s">
        <v>2544</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2580</v>
      </c>
      <c r="B61" s="515"/>
      <c r="C61" s="516"/>
      <c r="D61" s="517"/>
      <c r="E61" s="517"/>
      <c r="F61" s="517"/>
      <c r="G61" s="517"/>
      <c r="H61" s="517"/>
      <c r="I61" s="517"/>
      <c r="J61" s="517"/>
      <c r="K61" s="517"/>
      <c r="L61" s="517"/>
      <c r="M61" s="518"/>
      <c r="N61" s="517"/>
      <c r="O61" s="518"/>
      <c r="P61" s="2683"/>
      <c r="Q61" s="503"/>
    </row>
    <row r="62" spans="1:29" s="116" customFormat="1" ht="15">
      <c r="A62" s="520" t="s">
        <v>2546</v>
      </c>
      <c r="B62" s="509"/>
      <c r="C62" s="521" t="s">
        <v>2646</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2582</v>
      </c>
      <c r="B64" s="527" t="s">
        <v>2550</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2553</v>
      </c>
      <c r="C66" s="538" t="s">
        <v>2583</v>
      </c>
      <c r="D66" s="538" t="s">
        <v>2584</v>
      </c>
      <c r="E66" s="538" t="s">
        <v>2585</v>
      </c>
      <c r="F66" s="538" t="s">
        <v>2586</v>
      </c>
      <c r="G66" s="538" t="s">
        <v>2587</v>
      </c>
      <c r="H66" s="538" t="s">
        <v>2588</v>
      </c>
      <c r="I66" s="538" t="s">
        <v>2589</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2555</v>
      </c>
      <c r="B77" s="527" t="s">
        <v>2691</v>
      </c>
      <c r="C77" s="572" t="s">
        <v>2591</v>
      </c>
      <c r="D77" s="572" t="s">
        <v>2592</v>
      </c>
      <c r="E77" s="572" t="s">
        <v>2593</v>
      </c>
      <c r="F77" s="572" t="s">
        <v>2594</v>
      </c>
      <c r="G77" s="572" t="s">
        <v>2595</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2693</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2559</v>
      </c>
      <c r="B101" s="527" t="s">
        <v>2606</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2608</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2610</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2611</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2612</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2695</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2614</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2696</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7"/>
      <c r="D2" s="1123"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2638</v>
      </c>
      <c r="D3" s="398">
        <f>IF(D1="",'数据-汇总表'!E3,SUMIF('数据-汇总表'!$C19:$C33,D1,'数据-汇总表'!$E19:$E33))</f>
        <v>11781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0" si="3">D8/F8</f>
        <v>#DIV/0!</v>
      </c>
      <c r="AB8" s="772" t="e">
        <f t="shared" ref="AB8:AB40" si="4">D8/H8</f>
        <v>#DIV/0!</v>
      </c>
      <c r="AC8" s="772" t="e">
        <f t="shared" ref="AC8:AC40" si="5">D8/J8</f>
        <v>#DIV/0!</v>
      </c>
    </row>
    <row r="9" spans="1:29" s="116" customFormat="1">
      <c r="A9" s="414" t="s">
        <v>2549</v>
      </c>
      <c r="B9" s="70" t="s">
        <v>2550</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57">
      <c r="A15" s="439" t="s">
        <v>2555</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1" t="s">
        <v>2556</v>
      </c>
      <c r="Q15" s="1809" t="str">
        <f t="shared" si="6"/>
        <v>产业集聚程度</v>
      </c>
      <c r="R15" s="773" t="s">
        <v>17</v>
      </c>
      <c r="S15" s="774">
        <f t="shared" si="0"/>
        <v>100</v>
      </c>
      <c r="T15" s="773" t="s">
        <v>17</v>
      </c>
      <c r="U15" s="774">
        <f t="shared" si="1"/>
        <v>100</v>
      </c>
      <c r="V15" s="773" t="s">
        <v>17</v>
      </c>
      <c r="W15" s="774">
        <f t="shared" si="2"/>
        <v>100</v>
      </c>
      <c r="X15" s="1812"/>
      <c r="Y15" s="3211" t="s">
        <v>2556</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450" t="s">
        <v>2097</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12"/>
      <c r="Q18" s="1809"/>
      <c r="R18" s="773"/>
      <c r="S18" s="774"/>
      <c r="T18" s="773"/>
      <c r="U18" s="774"/>
      <c r="V18" s="773"/>
      <c r="W18" s="774"/>
      <c r="X18" s="1812"/>
      <c r="Y18" s="3212"/>
      <c r="Z18" s="1813"/>
      <c r="AA18" s="1810">
        <v>1</v>
      </c>
      <c r="AB18" s="1810">
        <v>1</v>
      </c>
      <c r="AC18" s="1810">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2"/>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12"/>
      <c r="Q20" s="1809"/>
      <c r="R20" s="773"/>
      <c r="S20" s="774"/>
      <c r="T20" s="773"/>
      <c r="U20" s="774"/>
      <c r="V20" s="773"/>
      <c r="W20" s="774"/>
      <c r="X20" s="1812"/>
      <c r="Y20" s="3212"/>
      <c r="Z20" s="1813"/>
      <c r="AA20" s="1810">
        <v>1</v>
      </c>
      <c r="AB20" s="1810">
        <v>1</v>
      </c>
      <c r="AC20" s="1810">
        <v>1</v>
      </c>
    </row>
    <row r="21" spans="1:29" ht="28.5">
      <c r="A21" s="427"/>
      <c r="B21" s="1383"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2"/>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12"/>
      <c r="Q22" s="1809"/>
      <c r="R22" s="773"/>
      <c r="S22" s="774"/>
      <c r="T22" s="773"/>
      <c r="U22" s="774"/>
      <c r="V22" s="773"/>
      <c r="W22" s="774"/>
      <c r="X22" s="1812"/>
      <c r="Y22" s="3212"/>
      <c r="Z22" s="1813"/>
      <c r="AA22" s="1810">
        <v>1</v>
      </c>
      <c r="AB22" s="1810">
        <v>1</v>
      </c>
      <c r="AC22" s="1810">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2"/>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12"/>
      <c r="Q24" s="1809"/>
      <c r="R24" s="773"/>
      <c r="S24" s="774"/>
      <c r="T24" s="773"/>
      <c r="U24" s="774"/>
      <c r="V24" s="773"/>
      <c r="W24" s="774"/>
      <c r="X24" s="1812"/>
      <c r="Y24" s="321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2"/>
      <c r="Q25" s="1809">
        <f>B25</f>
        <v>111</v>
      </c>
      <c r="R25" s="773" t="s">
        <v>17</v>
      </c>
      <c r="S25" s="774">
        <f>F25</f>
        <v>100</v>
      </c>
      <c r="T25" s="773" t="s">
        <v>17</v>
      </c>
      <c r="U25" s="774">
        <f>H25</f>
        <v>100</v>
      </c>
      <c r="V25" s="773" t="s">
        <v>17</v>
      </c>
      <c r="W25" s="774">
        <f>J25</f>
        <v>100</v>
      </c>
      <c r="X25" s="1812"/>
      <c r="Y25" s="321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2"/>
      <c r="Q26" s="1809">
        <f t="shared" ref="Q26:Q40" si="11">B26</f>
        <v>111</v>
      </c>
      <c r="R26" s="773" t="s">
        <v>17</v>
      </c>
      <c r="S26" s="774">
        <f>F26</f>
        <v>100</v>
      </c>
      <c r="T26" s="773" t="s">
        <v>17</v>
      </c>
      <c r="U26" s="774">
        <f>H26</f>
        <v>100</v>
      </c>
      <c r="V26" s="773" t="s">
        <v>17</v>
      </c>
      <c r="W26" s="774">
        <f>J26</f>
        <v>100</v>
      </c>
      <c r="X26" s="1812"/>
      <c r="Y26" s="3212"/>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2"/>
      <c r="Q27" s="1794">
        <f t="shared" si="11"/>
        <v>111</v>
      </c>
      <c r="R27" s="769" t="s">
        <v>17</v>
      </c>
      <c r="S27" s="770">
        <f>F27</f>
        <v>100</v>
      </c>
      <c r="T27" s="769" t="s">
        <v>17</v>
      </c>
      <c r="U27" s="770">
        <f>H27</f>
        <v>100</v>
      </c>
      <c r="V27" s="769" t="s">
        <v>17</v>
      </c>
      <c r="W27" s="770">
        <f>J27</f>
        <v>100</v>
      </c>
      <c r="X27" s="771"/>
      <c r="Y27" s="3212"/>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2"/>
      <c r="Q28" s="1809">
        <f t="shared" si="11"/>
        <v>111</v>
      </c>
      <c r="R28" s="773" t="s">
        <v>17</v>
      </c>
      <c r="S28" s="774">
        <f t="shared" ref="S28:S40" si="12">F28</f>
        <v>100</v>
      </c>
      <c r="T28" s="773" t="s">
        <v>17</v>
      </c>
      <c r="U28" s="774">
        <f t="shared" ref="U28:U40" si="13">H28</f>
        <v>100</v>
      </c>
      <c r="V28" s="773" t="s">
        <v>17</v>
      </c>
      <c r="W28" s="774">
        <f t="shared" ref="W28:W40" si="14">J28</f>
        <v>100</v>
      </c>
      <c r="X28" s="1812"/>
      <c r="Y28" s="3212"/>
      <c r="Z28" s="1813">
        <f t="shared" ref="Z28:Z40" si="15">Q28</f>
        <v>111</v>
      </c>
      <c r="AA28" s="1810">
        <f t="shared" si="3"/>
        <v>1</v>
      </c>
      <c r="AB28" s="1810">
        <f t="shared" si="4"/>
        <v>1</v>
      </c>
      <c r="AC28" s="1810">
        <f t="shared" si="5"/>
        <v>1</v>
      </c>
    </row>
    <row r="29" spans="1:29" ht="28.5">
      <c r="A29" s="465" t="s">
        <v>2559</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65" t="s">
        <v>2561</v>
      </c>
      <c r="Q29" s="1809" t="str">
        <f t="shared" si="11"/>
        <v>建筑类型</v>
      </c>
      <c r="R29" s="773" t="s">
        <v>17</v>
      </c>
      <c r="S29" s="774">
        <f t="shared" si="12"/>
        <v>100</v>
      </c>
      <c r="T29" s="773" t="s">
        <v>17</v>
      </c>
      <c r="U29" s="774">
        <f t="shared" si="13"/>
        <v>100</v>
      </c>
      <c r="V29" s="773" t="s">
        <v>17</v>
      </c>
      <c r="W29" s="774">
        <f t="shared" si="14"/>
        <v>100</v>
      </c>
      <c r="X29" s="1812"/>
      <c r="Y29" s="3216" t="s">
        <v>2561</v>
      </c>
      <c r="Z29" s="1813" t="str">
        <f t="shared" si="15"/>
        <v>建筑类型</v>
      </c>
      <c r="AA29" s="1810">
        <f t="shared" si="3"/>
        <v>1</v>
      </c>
      <c r="AB29" s="1810">
        <f t="shared" si="4"/>
        <v>1</v>
      </c>
      <c r="AC29" s="1810">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10" t="e">
        <f t="shared" si="3"/>
        <v>#N/A</v>
      </c>
      <c r="AB30" s="1810" t="e">
        <f t="shared" si="4"/>
        <v>#N/A</v>
      </c>
      <c r="AC30" s="1810"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6"/>
      <c r="Q31" s="1809" t="str">
        <f t="shared" si="11"/>
        <v>建筑结构</v>
      </c>
      <c r="R31" s="773" t="s">
        <v>17</v>
      </c>
      <c r="S31" s="774">
        <f t="shared" si="12"/>
        <v>100</v>
      </c>
      <c r="T31" s="773" t="s">
        <v>17</v>
      </c>
      <c r="U31" s="774">
        <f t="shared" si="13"/>
        <v>100</v>
      </c>
      <c r="V31" s="773" t="s">
        <v>17</v>
      </c>
      <c r="W31" s="774">
        <f t="shared" si="14"/>
        <v>100</v>
      </c>
      <c r="X31" s="1812"/>
      <c r="Y31" s="321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6"/>
      <c r="Q32" s="1809" t="str">
        <f t="shared" si="11"/>
        <v>公共部分装修</v>
      </c>
      <c r="R32" s="773" t="s">
        <v>17</v>
      </c>
      <c r="S32" s="774">
        <f t="shared" si="12"/>
        <v>100</v>
      </c>
      <c r="T32" s="773" t="s">
        <v>17</v>
      </c>
      <c r="U32" s="774">
        <f t="shared" si="13"/>
        <v>100</v>
      </c>
      <c r="V32" s="773" t="s">
        <v>17</v>
      </c>
      <c r="W32" s="774">
        <f t="shared" si="14"/>
        <v>100</v>
      </c>
      <c r="X32" s="1812"/>
      <c r="Y32" s="321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6"/>
      <c r="Q33" s="1809" t="str">
        <f t="shared" si="11"/>
        <v>成新度</v>
      </c>
      <c r="R33" s="773" t="s">
        <v>17</v>
      </c>
      <c r="S33" s="774" t="e">
        <f t="shared" si="12"/>
        <v>#N/A</v>
      </c>
      <c r="T33" s="773" t="s">
        <v>17</v>
      </c>
      <c r="U33" s="774" t="e">
        <f t="shared" si="13"/>
        <v>#N/A</v>
      </c>
      <c r="V33" s="773" t="s">
        <v>17</v>
      </c>
      <c r="W33" s="774" t="e">
        <f t="shared" si="14"/>
        <v>#N/A</v>
      </c>
      <c r="X33" s="1812"/>
      <c r="Y33" s="3216"/>
      <c r="Z33" s="1813" t="str">
        <f t="shared" si="15"/>
        <v>成新度</v>
      </c>
      <c r="AA33" s="1810" t="e">
        <f t="shared" si="3"/>
        <v>#N/A</v>
      </c>
      <c r="AB33" s="1810" t="e">
        <f t="shared" si="4"/>
        <v>#N/A</v>
      </c>
      <c r="AC33" s="1810"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6"/>
      <c r="Q34" s="1794" t="str">
        <f t="shared" si="11"/>
        <v>物业管理</v>
      </c>
      <c r="R34" s="769" t="s">
        <v>17</v>
      </c>
      <c r="S34" s="770">
        <f t="shared" si="12"/>
        <v>100</v>
      </c>
      <c r="T34" s="769" t="s">
        <v>17</v>
      </c>
      <c r="U34" s="770">
        <f t="shared" si="13"/>
        <v>100</v>
      </c>
      <c r="V34" s="769" t="s">
        <v>17</v>
      </c>
      <c r="W34" s="770">
        <f t="shared" si="14"/>
        <v>100</v>
      </c>
      <c r="X34" s="771"/>
      <c r="Y34" s="3216"/>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6" t="s">
        <v>2561</v>
      </c>
      <c r="Q35" s="1809" t="str">
        <f t="shared" si="11"/>
        <v>市政基础设施</v>
      </c>
      <c r="R35" s="773" t="s">
        <v>17</v>
      </c>
      <c r="S35" s="774">
        <f t="shared" si="12"/>
        <v>100</v>
      </c>
      <c r="T35" s="773" t="s">
        <v>17</v>
      </c>
      <c r="U35" s="774">
        <f t="shared" si="13"/>
        <v>100</v>
      </c>
      <c r="V35" s="773" t="s">
        <v>17</v>
      </c>
      <c r="W35" s="774">
        <f t="shared" si="14"/>
        <v>100</v>
      </c>
      <c r="X35" s="1812"/>
      <c r="Y35" s="3216" t="s">
        <v>2561</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6"/>
      <c r="Q36" s="1809" t="str">
        <f t="shared" si="11"/>
        <v>内部装修</v>
      </c>
      <c r="R36" s="773" t="s">
        <v>17</v>
      </c>
      <c r="S36" s="774">
        <f t="shared" si="12"/>
        <v>100</v>
      </c>
      <c r="T36" s="773" t="s">
        <v>17</v>
      </c>
      <c r="U36" s="774">
        <f t="shared" si="13"/>
        <v>100</v>
      </c>
      <c r="V36" s="773" t="s">
        <v>17</v>
      </c>
      <c r="W36" s="774">
        <f t="shared" si="14"/>
        <v>100</v>
      </c>
      <c r="X36" s="1812"/>
      <c r="Y36" s="321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6"/>
      <c r="Q37" s="1809" t="str">
        <f t="shared" si="11"/>
        <v>内部装修状况</v>
      </c>
      <c r="R37" s="773" t="s">
        <v>17</v>
      </c>
      <c r="S37" s="774">
        <f t="shared" si="12"/>
        <v>100</v>
      </c>
      <c r="T37" s="773" t="s">
        <v>17</v>
      </c>
      <c r="U37" s="774">
        <f t="shared" si="13"/>
        <v>100</v>
      </c>
      <c r="V37" s="773" t="s">
        <v>17</v>
      </c>
      <c r="W37" s="774">
        <f t="shared" si="14"/>
        <v>100</v>
      </c>
      <c r="X37" s="1812"/>
      <c r="Y37" s="321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6"/>
      <c r="Q39" s="1809">
        <f t="shared" si="11"/>
        <v>111</v>
      </c>
      <c r="R39" s="773" t="s">
        <v>17</v>
      </c>
      <c r="S39" s="774">
        <f t="shared" si="12"/>
        <v>100</v>
      </c>
      <c r="T39" s="773" t="s">
        <v>17</v>
      </c>
      <c r="U39" s="774">
        <f t="shared" si="13"/>
        <v>100</v>
      </c>
      <c r="V39" s="773" t="s">
        <v>17</v>
      </c>
      <c r="W39" s="774">
        <f t="shared" si="14"/>
        <v>100</v>
      </c>
      <c r="X39" s="1812"/>
      <c r="Y39" s="3216"/>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7"/>
      <c r="Q40" s="1809">
        <f t="shared" si="11"/>
        <v>111</v>
      </c>
      <c r="R40" s="773" t="s">
        <v>17</v>
      </c>
      <c r="S40" s="774">
        <f t="shared" si="12"/>
        <v>100</v>
      </c>
      <c r="T40" s="773" t="s">
        <v>17</v>
      </c>
      <c r="U40" s="774">
        <f t="shared" si="13"/>
        <v>100</v>
      </c>
      <c r="V40" s="773" t="s">
        <v>17</v>
      </c>
      <c r="W40" s="774">
        <f t="shared" si="14"/>
        <v>100</v>
      </c>
      <c r="X40" s="1812"/>
      <c r="Y40" s="3217"/>
      <c r="Z40" s="1813">
        <f t="shared" si="15"/>
        <v>111</v>
      </c>
      <c r="AA40" s="1810">
        <f t="shared" si="3"/>
        <v>1</v>
      </c>
      <c r="AB40" s="1810">
        <f t="shared" si="4"/>
        <v>1</v>
      </c>
      <c r="AC40" s="1810">
        <f t="shared" si="5"/>
        <v>1</v>
      </c>
    </row>
    <row r="41" spans="1:29" ht="15">
      <c r="A41" s="478" t="s">
        <v>2573</v>
      </c>
      <c r="B41" s="479"/>
      <c r="C41" s="1406" t="s">
        <v>1</v>
      </c>
      <c r="D41" s="1407"/>
      <c r="E41" s="1408"/>
      <c r="F41" s="1409"/>
      <c r="G41" s="1410"/>
      <c r="H41" s="1411"/>
      <c r="I41" s="1408"/>
      <c r="J41" s="1411"/>
      <c r="K41" s="782"/>
      <c r="L41" s="1142"/>
      <c r="M41" s="1143"/>
      <c r="N41" s="1130"/>
      <c r="O41" s="1143"/>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2544</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2550</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2553</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2555</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2559</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1"/>
      <c r="F1" s="258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8" t="s">
        <v>2545</v>
      </c>
      <c r="Q7" s="3231"/>
      <c r="R7" s="769" t="s">
        <v>17</v>
      </c>
      <c r="S7" s="770">
        <f t="shared" ref="S7:S14" si="0">F7</f>
        <v>0</v>
      </c>
      <c r="T7" s="769" t="s">
        <v>17</v>
      </c>
      <c r="U7" s="770">
        <f t="shared" ref="U7:U14" si="1">H7</f>
        <v>0</v>
      </c>
      <c r="V7" s="769" t="s">
        <v>17</v>
      </c>
      <c r="W7" s="770">
        <f t="shared" ref="W7:W14"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36" si="3">D8/F8</f>
        <v>#DIV/0!</v>
      </c>
      <c r="AB8" s="772" t="e">
        <f t="shared" ref="AB8:AB36" si="4">D8/H8</f>
        <v>#DIV/0!</v>
      </c>
      <c r="AC8" s="772" t="e">
        <f t="shared" ref="AC8:AC36" si="5">D8/J8</f>
        <v>#DIV/0!</v>
      </c>
    </row>
    <row r="9" spans="1:29" s="116" customFormat="1">
      <c r="A9" s="67"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4" t="s">
        <v>2551</v>
      </c>
      <c r="Q9" s="1794" t="str">
        <f t="shared" ref="Q9:Q14" si="6">B9</f>
        <v>用途</v>
      </c>
      <c r="R9" s="769" t="s">
        <v>17</v>
      </c>
      <c r="S9" s="770">
        <f t="shared" si="0"/>
        <v>100</v>
      </c>
      <c r="T9" s="769" t="s">
        <v>17</v>
      </c>
      <c r="U9" s="770">
        <f t="shared" si="1"/>
        <v>100</v>
      </c>
      <c r="V9" s="769" t="s">
        <v>17</v>
      </c>
      <c r="W9" s="770">
        <f t="shared" si="2"/>
        <v>100</v>
      </c>
      <c r="X9" s="771"/>
      <c r="Y9" s="3024" t="s">
        <v>2552</v>
      </c>
      <c r="Z9" s="54" t="str">
        <f t="shared" ref="Z9:Z14" si="7">Q9</f>
        <v>用途</v>
      </c>
      <c r="AA9" s="772">
        <f t="shared" si="3"/>
        <v>1</v>
      </c>
      <c r="AB9" s="772">
        <f t="shared" si="4"/>
        <v>1</v>
      </c>
      <c r="AC9" s="772">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4"/>
      <c r="Q11" s="1794">
        <f t="shared" si="6"/>
        <v>111</v>
      </c>
      <c r="R11" s="769" t="s">
        <v>17</v>
      </c>
      <c r="S11" s="770">
        <f t="shared" si="0"/>
        <v>100</v>
      </c>
      <c r="T11" s="769" t="s">
        <v>17</v>
      </c>
      <c r="U11" s="770">
        <f t="shared" si="1"/>
        <v>100</v>
      </c>
      <c r="V11" s="769" t="s">
        <v>17</v>
      </c>
      <c r="W11" s="770">
        <f t="shared" si="2"/>
        <v>100</v>
      </c>
      <c r="X11" s="771"/>
      <c r="Y11" s="302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85.5">
      <c r="A14" s="400" t="s">
        <v>2555</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1" t="s">
        <v>2556</v>
      </c>
      <c r="Q14" s="1809" t="str">
        <f t="shared" si="6"/>
        <v>交通便捷度</v>
      </c>
      <c r="R14" s="773" t="s">
        <v>17</v>
      </c>
      <c r="S14" s="774">
        <f t="shared" si="0"/>
        <v>100</v>
      </c>
      <c r="T14" s="773" t="s">
        <v>17</v>
      </c>
      <c r="U14" s="774">
        <f t="shared" si="1"/>
        <v>100</v>
      </c>
      <c r="V14" s="773" t="s">
        <v>17</v>
      </c>
      <c r="W14" s="774">
        <f t="shared" si="2"/>
        <v>100</v>
      </c>
      <c r="X14" s="1812"/>
      <c r="Y14" s="3211" t="s">
        <v>2556</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12"/>
      <c r="Q15" s="1809"/>
      <c r="R15" s="773"/>
      <c r="S15" s="774"/>
      <c r="T15" s="773"/>
      <c r="U15" s="774"/>
      <c r="V15" s="773"/>
      <c r="W15" s="774"/>
      <c r="X15" s="1812"/>
      <c r="Y15" s="3212"/>
      <c r="Z15" s="1813"/>
      <c r="AA15" s="1810">
        <v>1</v>
      </c>
      <c r="AB15" s="1810">
        <v>1</v>
      </c>
      <c r="AC15" s="1810">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12"/>
      <c r="Q17" s="1809"/>
      <c r="R17" s="773"/>
      <c r="S17" s="774"/>
      <c r="T17" s="773"/>
      <c r="U17" s="774"/>
      <c r="V17" s="773"/>
      <c r="W17" s="774"/>
      <c r="X17" s="1812"/>
      <c r="Y17" s="3212"/>
      <c r="Z17" s="1813"/>
      <c r="AA17" s="1810">
        <v>1</v>
      </c>
      <c r="AB17" s="1810">
        <v>1</v>
      </c>
      <c r="AC17" s="1810">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12"/>
      <c r="Q19" s="1809"/>
      <c r="R19" s="773"/>
      <c r="S19" s="774"/>
      <c r="T19" s="773"/>
      <c r="U19" s="774"/>
      <c r="V19" s="773"/>
      <c r="W19" s="774"/>
      <c r="X19" s="1812"/>
      <c r="Y19" s="3212"/>
      <c r="Z19" s="1813"/>
      <c r="AA19" s="1810">
        <v>1</v>
      </c>
      <c r="AB19" s="1810">
        <v>1</v>
      </c>
      <c r="AC19" s="1810">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12"/>
      <c r="Q21" s="1809"/>
      <c r="R21" s="773"/>
      <c r="S21" s="774"/>
      <c r="T21" s="773"/>
      <c r="U21" s="774"/>
      <c r="V21" s="773"/>
      <c r="W21" s="774"/>
      <c r="X21" s="1812"/>
      <c r="Y21" s="321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2"/>
      <c r="Q24" s="1809">
        <f t="shared" ref="Q24:Q36"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2"/>
      <c r="Q25" s="1794">
        <f t="shared" si="11"/>
        <v>111</v>
      </c>
      <c r="R25" s="769" t="s">
        <v>17</v>
      </c>
      <c r="S25" s="770">
        <f>F25</f>
        <v>100</v>
      </c>
      <c r="T25" s="769" t="s">
        <v>17</v>
      </c>
      <c r="U25" s="770">
        <f>H25</f>
        <v>100</v>
      </c>
      <c r="V25" s="769" t="s">
        <v>17</v>
      </c>
      <c r="W25" s="770">
        <f>J25</f>
        <v>100</v>
      </c>
      <c r="X25" s="771"/>
      <c r="Y25" s="3212"/>
      <c r="Z25" s="54">
        <f>Q25</f>
        <v>111</v>
      </c>
      <c r="AA25" s="1810">
        <f>D25/F25</f>
        <v>1</v>
      </c>
      <c r="AB25" s="1810">
        <f>D25/H25</f>
        <v>1</v>
      </c>
      <c r="AC25" s="1810">
        <f>D25/J25</f>
        <v>1</v>
      </c>
    </row>
    <row r="26" spans="1:29" ht="28.5">
      <c r="A26" s="651" t="s">
        <v>2559</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5"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6" t="s">
        <v>2561</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6"/>
      <c r="Q28" s="1809" t="str">
        <f t="shared" si="11"/>
        <v>公共部分装修</v>
      </c>
      <c r="R28" s="773" t="s">
        <v>17</v>
      </c>
      <c r="S28" s="774">
        <f t="shared" si="12"/>
        <v>100</v>
      </c>
      <c r="T28" s="773" t="s">
        <v>17</v>
      </c>
      <c r="U28" s="774">
        <f t="shared" si="13"/>
        <v>100</v>
      </c>
      <c r="V28" s="773" t="s">
        <v>17</v>
      </c>
      <c r="W28" s="774">
        <f t="shared" si="14"/>
        <v>100</v>
      </c>
      <c r="X28" s="1812"/>
      <c r="Y28" s="321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6"/>
      <c r="Q29" s="1809" t="str">
        <f t="shared" si="11"/>
        <v>成新率</v>
      </c>
      <c r="R29" s="773" t="s">
        <v>17</v>
      </c>
      <c r="S29" s="774" t="e">
        <f t="shared" si="12"/>
        <v>#N/A</v>
      </c>
      <c r="T29" s="773" t="s">
        <v>17</v>
      </c>
      <c r="U29" s="774" t="e">
        <f t="shared" si="13"/>
        <v>#N/A</v>
      </c>
      <c r="V29" s="773" t="s">
        <v>17</v>
      </c>
      <c r="W29" s="774" t="e">
        <f t="shared" si="14"/>
        <v>#N/A</v>
      </c>
      <c r="X29" s="1812"/>
      <c r="Y29" s="321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6"/>
      <c r="Q30" s="1809" t="str">
        <f t="shared" si="11"/>
        <v>物业等级</v>
      </c>
      <c r="R30" s="773" t="s">
        <v>17</v>
      </c>
      <c r="S30" s="774">
        <f t="shared" si="12"/>
        <v>100</v>
      </c>
      <c r="T30" s="773" t="s">
        <v>17</v>
      </c>
      <c r="U30" s="774">
        <f t="shared" si="13"/>
        <v>100</v>
      </c>
      <c r="V30" s="773" t="s">
        <v>17</v>
      </c>
      <c r="W30" s="774">
        <f t="shared" si="14"/>
        <v>100</v>
      </c>
      <c r="X30" s="1812"/>
      <c r="Y30" s="3216"/>
      <c r="Z30" s="1813" t="str">
        <f t="shared" si="15"/>
        <v>物业等级</v>
      </c>
      <c r="AA30" s="1810">
        <f t="shared" si="3"/>
        <v>1</v>
      </c>
      <c r="AB30" s="1810">
        <f t="shared" si="4"/>
        <v>1</v>
      </c>
      <c r="AC30" s="1810">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6"/>
      <c r="Q31" s="1794" t="str">
        <f t="shared" si="11"/>
        <v>停车位面积</v>
      </c>
      <c r="R31" s="769" t="s">
        <v>17</v>
      </c>
      <c r="S31" s="770" t="e">
        <f t="shared" si="12"/>
        <v>#N/A</v>
      </c>
      <c r="T31" s="769" t="s">
        <v>17</v>
      </c>
      <c r="U31" s="770" t="e">
        <f t="shared" si="13"/>
        <v>#N/A</v>
      </c>
      <c r="V31" s="769" t="s">
        <v>17</v>
      </c>
      <c r="W31" s="770" t="e">
        <f t="shared" si="14"/>
        <v>#N/A</v>
      </c>
      <c r="X31" s="771"/>
      <c r="Y31" s="3216"/>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6" t="s">
        <v>2561</v>
      </c>
      <c r="Q32" s="1809" t="str">
        <f t="shared" si="11"/>
        <v>车位类型</v>
      </c>
      <c r="R32" s="773" t="s">
        <v>17</v>
      </c>
      <c r="S32" s="774">
        <f t="shared" si="12"/>
        <v>100</v>
      </c>
      <c r="T32" s="773" t="s">
        <v>17</v>
      </c>
      <c r="U32" s="774">
        <f t="shared" si="13"/>
        <v>100</v>
      </c>
      <c r="V32" s="773" t="s">
        <v>17</v>
      </c>
      <c r="W32" s="774">
        <f t="shared" si="14"/>
        <v>100</v>
      </c>
      <c r="X32" s="1812"/>
      <c r="Y32" s="3216" t="s">
        <v>2561</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6"/>
      <c r="Q33" s="1809" t="str">
        <f t="shared" si="11"/>
        <v>是否直接入户</v>
      </c>
      <c r="R33" s="773" t="s">
        <v>17</v>
      </c>
      <c r="S33" s="774">
        <f t="shared" si="12"/>
        <v>100</v>
      </c>
      <c r="T33" s="773" t="s">
        <v>17</v>
      </c>
      <c r="U33" s="774">
        <f t="shared" si="13"/>
        <v>100</v>
      </c>
      <c r="V33" s="773" t="s">
        <v>17</v>
      </c>
      <c r="W33" s="774">
        <f t="shared" si="14"/>
        <v>100</v>
      </c>
      <c r="X33" s="1812"/>
      <c r="Y33" s="321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6"/>
      <c r="Q36" s="1809">
        <f t="shared" si="11"/>
        <v>111</v>
      </c>
      <c r="R36" s="773" t="s">
        <v>17</v>
      </c>
      <c r="S36" s="774">
        <f t="shared" si="12"/>
        <v>100</v>
      </c>
      <c r="T36" s="773" t="s">
        <v>17</v>
      </c>
      <c r="U36" s="774">
        <f t="shared" si="13"/>
        <v>100</v>
      </c>
      <c r="V36" s="773" t="s">
        <v>17</v>
      </c>
      <c r="W36" s="774">
        <f t="shared" si="14"/>
        <v>100</v>
      </c>
      <c r="X36" s="1812"/>
      <c r="Y36" s="3216"/>
      <c r="Z36" s="1813">
        <f t="shared" si="15"/>
        <v>111</v>
      </c>
      <c r="AA36" s="1810">
        <f t="shared" si="3"/>
        <v>1</v>
      </c>
      <c r="AB36" s="1810">
        <f t="shared" si="4"/>
        <v>1</v>
      </c>
      <c r="AC36" s="1810">
        <f t="shared" si="5"/>
        <v>1</v>
      </c>
    </row>
    <row r="37" spans="1:29" ht="15">
      <c r="A37" s="478" t="s">
        <v>2714</v>
      </c>
      <c r="B37" s="2696" t="s">
        <v>2715</v>
      </c>
      <c r="C37" s="1406" t="s">
        <v>1</v>
      </c>
      <c r="D37" s="1407"/>
      <c r="E37" s="1408"/>
      <c r="F37" s="1409"/>
      <c r="G37" s="1410"/>
      <c r="H37" s="1411"/>
      <c r="I37" s="1408"/>
      <c r="J37" s="1411"/>
      <c r="K37" s="618"/>
      <c r="L37" s="1142"/>
      <c r="M37" s="1143"/>
      <c r="N37" s="1130"/>
      <c r="O37" s="1143"/>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2546</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2550</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2553</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2555</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2559</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18" t="s">
        <v>2545</v>
      </c>
      <c r="Q7" s="3231"/>
      <c r="R7" s="769" t="s">
        <v>17</v>
      </c>
      <c r="S7" s="770">
        <f t="shared" ref="S7:S14" si="0">F7</f>
        <v>0</v>
      </c>
      <c r="T7" s="769" t="s">
        <v>17</v>
      </c>
      <c r="U7" s="770">
        <f t="shared" ref="U7:U14" si="1">H7</f>
        <v>0</v>
      </c>
      <c r="V7" s="769" t="s">
        <v>17</v>
      </c>
      <c r="W7" s="770">
        <f t="shared" ref="W7:W14"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34" si="3">D8/F8</f>
        <v>#DIV/0!</v>
      </c>
      <c r="AB8" s="772" t="e">
        <f t="shared" ref="AB8:AB34" si="4">D8/H8</f>
        <v>#DIV/0!</v>
      </c>
      <c r="AC8" s="772" t="e">
        <f t="shared" ref="AC8:AC34" si="5">D8/J8</f>
        <v>#DIV/0!</v>
      </c>
    </row>
    <row r="9" spans="1:29" s="116" customFormat="1">
      <c r="A9" s="414" t="s">
        <v>2549</v>
      </c>
      <c r="B9" s="70" t="s">
        <v>2550</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4" t="s">
        <v>2551</v>
      </c>
      <c r="Q9" s="1794" t="str">
        <f t="shared" ref="Q9:Q14" si="6">B9</f>
        <v>用途</v>
      </c>
      <c r="R9" s="769" t="s">
        <v>17</v>
      </c>
      <c r="S9" s="770">
        <f t="shared" si="0"/>
        <v>100</v>
      </c>
      <c r="T9" s="769" t="s">
        <v>17</v>
      </c>
      <c r="U9" s="770">
        <f t="shared" si="1"/>
        <v>100</v>
      </c>
      <c r="V9" s="769" t="s">
        <v>17</v>
      </c>
      <c r="W9" s="770">
        <f t="shared" si="2"/>
        <v>100</v>
      </c>
      <c r="X9" s="771"/>
      <c r="Y9" s="3024" t="s">
        <v>2552</v>
      </c>
      <c r="Z9" s="54"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4"/>
      <c r="Q11" s="1794">
        <f t="shared" si="6"/>
        <v>111</v>
      </c>
      <c r="R11" s="769" t="s">
        <v>17</v>
      </c>
      <c r="S11" s="770">
        <f t="shared" si="0"/>
        <v>100</v>
      </c>
      <c r="T11" s="769" t="s">
        <v>17</v>
      </c>
      <c r="U11" s="770">
        <f t="shared" si="1"/>
        <v>100</v>
      </c>
      <c r="V11" s="769" t="s">
        <v>17</v>
      </c>
      <c r="W11" s="770">
        <f t="shared" si="2"/>
        <v>100</v>
      </c>
      <c r="X11" s="771"/>
      <c r="Y11" s="3024"/>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85.5">
      <c r="A14" s="439" t="s">
        <v>2555</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1" t="s">
        <v>2556</v>
      </c>
      <c r="Q14" s="1809" t="str">
        <f t="shared" si="6"/>
        <v>交通便捷度</v>
      </c>
      <c r="R14" s="773" t="s">
        <v>17</v>
      </c>
      <c r="S14" s="774">
        <f t="shared" si="0"/>
        <v>100</v>
      </c>
      <c r="T14" s="773" t="s">
        <v>17</v>
      </c>
      <c r="U14" s="774">
        <f t="shared" si="1"/>
        <v>100</v>
      </c>
      <c r="V14" s="773" t="s">
        <v>17</v>
      </c>
      <c r="W14" s="774">
        <f t="shared" si="2"/>
        <v>100</v>
      </c>
      <c r="X14" s="1812"/>
      <c r="Y14" s="3211" t="s">
        <v>2556</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12"/>
      <c r="Q15" s="1809"/>
      <c r="R15" s="773"/>
      <c r="S15" s="774"/>
      <c r="T15" s="773"/>
      <c r="U15" s="774"/>
      <c r="V15" s="773"/>
      <c r="W15" s="774"/>
      <c r="X15" s="1812"/>
      <c r="Y15" s="3212"/>
      <c r="Z15" s="1813"/>
      <c r="AA15" s="1810">
        <v>1</v>
      </c>
      <c r="AB15" s="1810">
        <v>1</v>
      </c>
      <c r="AC15" s="1810">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12"/>
      <c r="Q17" s="1809"/>
      <c r="R17" s="773"/>
      <c r="S17" s="774"/>
      <c r="T17" s="773"/>
      <c r="U17" s="774"/>
      <c r="V17" s="773"/>
      <c r="W17" s="774"/>
      <c r="X17" s="1812"/>
      <c r="Y17" s="3212"/>
      <c r="Z17" s="1813"/>
      <c r="AA17" s="1810">
        <v>1</v>
      </c>
      <c r="AB17" s="1810">
        <v>1</v>
      </c>
      <c r="AC17" s="1810">
        <v>1</v>
      </c>
    </row>
    <row r="18" spans="1:29" ht="28.5">
      <c r="A18" s="427"/>
      <c r="B18" s="1383"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12"/>
      <c r="Q19" s="1809"/>
      <c r="R19" s="773"/>
      <c r="S19" s="774"/>
      <c r="T19" s="773"/>
      <c r="U19" s="774"/>
      <c r="V19" s="773"/>
      <c r="W19" s="774"/>
      <c r="X19" s="1812"/>
      <c r="Y19" s="3212"/>
      <c r="Z19" s="1813"/>
      <c r="AA19" s="1810">
        <v>1</v>
      </c>
      <c r="AB19" s="1810">
        <v>1</v>
      </c>
      <c r="AC19" s="1810">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12"/>
      <c r="Q21" s="1809"/>
      <c r="R21" s="773"/>
      <c r="S21" s="774"/>
      <c r="T21" s="773"/>
      <c r="U21" s="774"/>
      <c r="V21" s="773"/>
      <c r="W21" s="774"/>
      <c r="X21" s="1812"/>
      <c r="Y21" s="321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2"/>
      <c r="Q24" s="1809">
        <f t="shared" ref="Q24:Q34"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12"/>
      <c r="Q25" s="1794">
        <f t="shared" si="11"/>
        <v>111</v>
      </c>
      <c r="R25" s="769" t="s">
        <v>17</v>
      </c>
      <c r="S25" s="770">
        <f>F25</f>
        <v>100</v>
      </c>
      <c r="T25" s="769" t="s">
        <v>17</v>
      </c>
      <c r="U25" s="770">
        <f>H25</f>
        <v>100</v>
      </c>
      <c r="V25" s="769" t="s">
        <v>17</v>
      </c>
      <c r="W25" s="770">
        <f>J25</f>
        <v>100</v>
      </c>
      <c r="X25" s="771"/>
      <c r="Y25" s="3212"/>
      <c r="Z25" s="54">
        <f>Q25</f>
        <v>111</v>
      </c>
      <c r="AA25" s="1810">
        <f>D25/F25</f>
        <v>1</v>
      </c>
      <c r="AB25" s="1810">
        <f>D25/H25</f>
        <v>1</v>
      </c>
      <c r="AC25" s="1810">
        <f>D25/J25</f>
        <v>1</v>
      </c>
    </row>
    <row r="26" spans="1:29" ht="28.5">
      <c r="A26" s="465" t="s">
        <v>2559</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65"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6" t="s">
        <v>2561</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6"/>
      <c r="Q28" s="1809" t="str">
        <f t="shared" si="11"/>
        <v>物业等级</v>
      </c>
      <c r="R28" s="773" t="s">
        <v>17</v>
      </c>
      <c r="S28" s="774">
        <f t="shared" si="12"/>
        <v>100</v>
      </c>
      <c r="T28" s="773" t="s">
        <v>17</v>
      </c>
      <c r="U28" s="774">
        <f t="shared" si="13"/>
        <v>100</v>
      </c>
      <c r="V28" s="773" t="s">
        <v>17</v>
      </c>
      <c r="W28" s="774">
        <f t="shared" si="14"/>
        <v>100</v>
      </c>
      <c r="X28" s="1812"/>
      <c r="Y28" s="321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6"/>
      <c r="Q29" s="1809" t="str">
        <f t="shared" si="11"/>
        <v>有无电梯</v>
      </c>
      <c r="R29" s="773" t="s">
        <v>17</v>
      </c>
      <c r="S29" s="774">
        <f t="shared" si="12"/>
        <v>100</v>
      </c>
      <c r="T29" s="773" t="s">
        <v>17</v>
      </c>
      <c r="U29" s="774">
        <f t="shared" si="13"/>
        <v>100</v>
      </c>
      <c r="V29" s="773" t="s">
        <v>17</v>
      </c>
      <c r="W29" s="774">
        <f t="shared" si="14"/>
        <v>100</v>
      </c>
      <c r="X29" s="1812"/>
      <c r="Y29" s="321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6"/>
      <c r="Q30" s="1809" t="str">
        <f t="shared" si="11"/>
        <v>建筑面积</v>
      </c>
      <c r="R30" s="773" t="s">
        <v>17</v>
      </c>
      <c r="S30" s="774" t="e">
        <f t="shared" si="12"/>
        <v>#N/A</v>
      </c>
      <c r="T30" s="773" t="s">
        <v>17</v>
      </c>
      <c r="U30" s="774" t="e">
        <f t="shared" si="13"/>
        <v>#N/A</v>
      </c>
      <c r="V30" s="773" t="s">
        <v>17</v>
      </c>
      <c r="W30" s="774" t="e">
        <f t="shared" si="14"/>
        <v>#N/A</v>
      </c>
      <c r="X30" s="1812"/>
      <c r="Y30" s="3216"/>
      <c r="Z30" s="1813" t="str">
        <f t="shared" si="15"/>
        <v>建筑面积</v>
      </c>
      <c r="AA30" s="1810" t="e">
        <f t="shared" si="3"/>
        <v>#N/A</v>
      </c>
      <c r="AB30" s="1810" t="e">
        <f t="shared" si="4"/>
        <v>#N/A</v>
      </c>
      <c r="AC30" s="1810"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6"/>
      <c r="Q31" s="1794" t="str">
        <f t="shared" si="11"/>
        <v>是否封闭</v>
      </c>
      <c r="R31" s="769" t="s">
        <v>17</v>
      </c>
      <c r="S31" s="770">
        <f t="shared" si="12"/>
        <v>100</v>
      </c>
      <c r="T31" s="769" t="s">
        <v>17</v>
      </c>
      <c r="U31" s="770">
        <f t="shared" si="13"/>
        <v>100</v>
      </c>
      <c r="V31" s="769" t="s">
        <v>17</v>
      </c>
      <c r="W31" s="770">
        <f t="shared" si="14"/>
        <v>100</v>
      </c>
      <c r="X31" s="771"/>
      <c r="Y31" s="3216"/>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6" t="s">
        <v>2561</v>
      </c>
      <c r="Q32" s="1809">
        <f t="shared" si="11"/>
        <v>111</v>
      </c>
      <c r="R32" s="773" t="s">
        <v>17</v>
      </c>
      <c r="S32" s="774">
        <f t="shared" si="12"/>
        <v>100</v>
      </c>
      <c r="T32" s="773" t="s">
        <v>17</v>
      </c>
      <c r="U32" s="774">
        <f t="shared" si="13"/>
        <v>100</v>
      </c>
      <c r="V32" s="773" t="s">
        <v>17</v>
      </c>
      <c r="W32" s="774">
        <f t="shared" si="14"/>
        <v>100</v>
      </c>
      <c r="X32" s="1812"/>
      <c r="Y32" s="3216" t="s">
        <v>2561</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6"/>
      <c r="Q33" s="1809">
        <f t="shared" si="11"/>
        <v>111</v>
      </c>
      <c r="R33" s="773" t="s">
        <v>17</v>
      </c>
      <c r="S33" s="774">
        <f t="shared" si="12"/>
        <v>100</v>
      </c>
      <c r="T33" s="773" t="s">
        <v>17</v>
      </c>
      <c r="U33" s="774">
        <f t="shared" si="13"/>
        <v>100</v>
      </c>
      <c r="V33" s="773" t="s">
        <v>17</v>
      </c>
      <c r="W33" s="774">
        <f t="shared" si="14"/>
        <v>100</v>
      </c>
      <c r="X33" s="1812"/>
      <c r="Y33" s="3216"/>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ht="15">
      <c r="A35" s="478" t="s">
        <v>2573</v>
      </c>
      <c r="B35" s="479"/>
      <c r="C35" s="1406" t="s">
        <v>1</v>
      </c>
      <c r="D35" s="1407"/>
      <c r="E35" s="1408"/>
      <c r="F35" s="1409"/>
      <c r="G35" s="1410"/>
      <c r="H35" s="1411"/>
      <c r="I35" s="1408"/>
      <c r="J35" s="1411"/>
      <c r="K35" s="782"/>
      <c r="L35" s="1142"/>
      <c r="M35" s="1143"/>
      <c r="N35" s="1130"/>
      <c r="O35" s="1143"/>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2550</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2553</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2555</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2559</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30"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30"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30" s="116" customFormat="1" ht="15.75" thickBot="1">
      <c r="A7" s="407" t="s">
        <v>2544</v>
      </c>
      <c r="B7" s="408"/>
      <c r="C7" s="409">
        <f>'数据-取费表'!B2</f>
        <v>43764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5" si="3">D8/F8</f>
        <v>#DIV/0!</v>
      </c>
      <c r="AB8" s="772" t="e">
        <f t="shared" ref="AB8:AB45" si="4">D8/H8</f>
        <v>#DIV/0!</v>
      </c>
      <c r="AC8" s="772" t="e">
        <f t="shared" ref="AC8:AC45" si="5">D8/J8</f>
        <v>#DIV/0!</v>
      </c>
    </row>
    <row r="9" spans="1:30" s="116" customFormat="1">
      <c r="A9" s="414" t="s">
        <v>2549</v>
      </c>
      <c r="B9" s="70" t="s">
        <v>2550</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30" s="426" customFormat="1" ht="27">
      <c r="A10" s="420"/>
      <c r="B10" s="421" t="s">
        <v>2553</v>
      </c>
      <c r="C10" s="431"/>
      <c r="D10" s="135">
        <v>100</v>
      </c>
      <c r="E10" s="464"/>
      <c r="F10" s="135">
        <f>ROUND(100/'数据-取费表'!G16,0)</f>
        <v>101</v>
      </c>
      <c r="G10" s="462"/>
      <c r="H10" s="135">
        <f>ROUND(100/'数据-取费表'!G16,0)</f>
        <v>101</v>
      </c>
      <c r="I10" s="462"/>
      <c r="J10" s="135">
        <f>ROUND(100/'数据-取费表'!G16,0)</f>
        <v>101</v>
      </c>
      <c r="K10" s="671"/>
      <c r="L10" s="1134"/>
      <c r="M10" s="1135"/>
      <c r="N10" s="1135"/>
      <c r="O10" s="1136"/>
      <c r="P10" s="3204"/>
      <c r="Q10" s="1794" t="str">
        <f t="shared" si="6"/>
        <v>土地使用年限（年）</v>
      </c>
      <c r="R10" s="769" t="s">
        <v>17</v>
      </c>
      <c r="S10" s="770">
        <f t="shared" si="0"/>
        <v>101</v>
      </c>
      <c r="T10" s="769" t="s">
        <v>17</v>
      </c>
      <c r="U10" s="770">
        <f t="shared" si="1"/>
        <v>101</v>
      </c>
      <c r="V10" s="769" t="s">
        <v>17</v>
      </c>
      <c r="W10" s="770">
        <f t="shared" si="2"/>
        <v>101</v>
      </c>
      <c r="X10" s="771"/>
      <c r="Y10" s="3024"/>
      <c r="Z10" s="54" t="str">
        <f t="shared" si="7"/>
        <v>土地使用年限（年）</v>
      </c>
      <c r="AA10" s="772">
        <f t="shared" si="3"/>
        <v>0.99009900990099009</v>
      </c>
      <c r="AB10" s="772">
        <f t="shared" si="4"/>
        <v>0.99009900990099009</v>
      </c>
      <c r="AC10" s="772">
        <f t="shared" si="5"/>
        <v>0.99009900990099009</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4"/>
      <c r="Q12" s="1794" t="str">
        <f t="shared" si="6"/>
        <v>配建</v>
      </c>
      <c r="R12" s="769" t="s">
        <v>17</v>
      </c>
      <c r="S12" s="770">
        <f t="shared" si="0"/>
        <v>100</v>
      </c>
      <c r="T12" s="769" t="s">
        <v>17</v>
      </c>
      <c r="U12" s="770">
        <f t="shared" si="1"/>
        <v>100</v>
      </c>
      <c r="V12" s="769" t="s">
        <v>17</v>
      </c>
      <c r="W12" s="770">
        <f t="shared" si="2"/>
        <v>100</v>
      </c>
      <c r="X12" s="771"/>
      <c r="Y12" s="3024"/>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D14/F14</f>
        <v>1</v>
      </c>
      <c r="AB14" s="772">
        <f>D14/H14</f>
        <v>1</v>
      </c>
      <c r="AC14" s="772">
        <f>D14/J14</f>
        <v>1</v>
      </c>
    </row>
    <row r="15" spans="1:30" ht="99.75">
      <c r="A15" s="439" t="s">
        <v>2555</v>
      </c>
      <c r="B15" s="68" t="s">
        <v>2085</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1" t="s">
        <v>2556</v>
      </c>
      <c r="Q15" s="1809" t="str">
        <f t="shared" si="6"/>
        <v>居住社区成熟度</v>
      </c>
      <c r="R15" s="773" t="s">
        <v>17</v>
      </c>
      <c r="S15" s="774">
        <f t="shared" si="0"/>
        <v>100</v>
      </c>
      <c r="T15" s="773" t="s">
        <v>17</v>
      </c>
      <c r="U15" s="774">
        <f t="shared" si="1"/>
        <v>100</v>
      </c>
      <c r="V15" s="773" t="s">
        <v>17</v>
      </c>
      <c r="W15" s="774">
        <f t="shared" si="2"/>
        <v>100</v>
      </c>
      <c r="X15" s="1812"/>
      <c r="Y15" s="3211" t="s">
        <v>2556</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2"/>
      <c r="Q17" s="1809" t="str">
        <f>B17</f>
        <v>商业繁华度</v>
      </c>
      <c r="R17" s="773" t="s">
        <v>17</v>
      </c>
      <c r="S17" s="774">
        <f>F17</f>
        <v>100</v>
      </c>
      <c r="T17" s="773" t="s">
        <v>17</v>
      </c>
      <c r="U17" s="774">
        <f>H17</f>
        <v>100</v>
      </c>
      <c r="V17" s="773" t="s">
        <v>17</v>
      </c>
      <c r="W17" s="774">
        <f>J17</f>
        <v>100</v>
      </c>
      <c r="X17" s="1812"/>
      <c r="Y17" s="3212"/>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2"/>
      <c r="Q19" s="1809" t="str">
        <f>B19</f>
        <v>办公集聚程度</v>
      </c>
      <c r="R19" s="773" t="s">
        <v>17</v>
      </c>
      <c r="S19" s="774">
        <f>F19</f>
        <v>100</v>
      </c>
      <c r="T19" s="773" t="s">
        <v>17</v>
      </c>
      <c r="U19" s="774">
        <f>H19</f>
        <v>100</v>
      </c>
      <c r="V19" s="773" t="s">
        <v>17</v>
      </c>
      <c r="W19" s="774">
        <f>J19</f>
        <v>100</v>
      </c>
      <c r="X19" s="1812"/>
      <c r="Y19" s="3212"/>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12"/>
      <c r="Q20" s="1809"/>
      <c r="R20" s="773"/>
      <c r="S20" s="774"/>
      <c r="T20" s="773"/>
      <c r="U20" s="774"/>
      <c r="V20" s="773"/>
      <c r="W20" s="774"/>
      <c r="X20" s="1812"/>
      <c r="Y20" s="3212"/>
      <c r="Z20" s="1813"/>
      <c r="AA20" s="1810">
        <v>1</v>
      </c>
      <c r="AB20" s="1810">
        <v>1</v>
      </c>
      <c r="AC20" s="1810">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2"/>
      <c r="Q21" s="1809" t="str">
        <f>B21</f>
        <v>交通便捷度</v>
      </c>
      <c r="R21" s="773" t="s">
        <v>17</v>
      </c>
      <c r="S21" s="774">
        <f>F21</f>
        <v>100</v>
      </c>
      <c r="T21" s="773" t="s">
        <v>17</v>
      </c>
      <c r="U21" s="774">
        <f>H21</f>
        <v>100</v>
      </c>
      <c r="V21" s="773" t="s">
        <v>17</v>
      </c>
      <c r="W21" s="774">
        <f>J21</f>
        <v>100</v>
      </c>
      <c r="X21" s="1812"/>
      <c r="Y21" s="3212"/>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2"/>
      <c r="Q23" s="1809" t="str">
        <f t="shared" ref="Q23:Q37" si="8">B23</f>
        <v>区域土地利用方向</v>
      </c>
      <c r="R23" s="773" t="s">
        <v>17</v>
      </c>
      <c r="S23" s="774">
        <f>F23</f>
        <v>100</v>
      </c>
      <c r="T23" s="773" t="s">
        <v>17</v>
      </c>
      <c r="U23" s="774">
        <f>H23</f>
        <v>100</v>
      </c>
      <c r="V23" s="773" t="s">
        <v>17</v>
      </c>
      <c r="W23" s="774">
        <f>J23</f>
        <v>100</v>
      </c>
      <c r="X23" s="1812"/>
      <c r="Y23" s="3212"/>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12"/>
      <c r="Q24" s="1809"/>
      <c r="R24" s="773"/>
      <c r="S24" s="774"/>
      <c r="T24" s="773"/>
      <c r="U24" s="774"/>
      <c r="V24" s="773"/>
      <c r="W24" s="774"/>
      <c r="X24" s="1812"/>
      <c r="Y24" s="3212"/>
      <c r="Z24" s="1813"/>
      <c r="AA24" s="1810"/>
      <c r="AB24" s="1810"/>
      <c r="AC24" s="1810"/>
    </row>
    <row r="25" spans="1:29" ht="57">
      <c r="A25" s="403"/>
      <c r="B25" s="1383"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2"/>
      <c r="Q25" s="1809" t="str">
        <f t="shared" si="8"/>
        <v>自然及人文环境状况</v>
      </c>
      <c r="R25" s="773" t="s">
        <v>17</v>
      </c>
      <c r="S25" s="774">
        <f>F25</f>
        <v>100</v>
      </c>
      <c r="T25" s="773" t="s">
        <v>17</v>
      </c>
      <c r="U25" s="774">
        <f>H25</f>
        <v>100</v>
      </c>
      <c r="V25" s="773" t="s">
        <v>17</v>
      </c>
      <c r="W25" s="774">
        <f>J25</f>
        <v>100</v>
      </c>
      <c r="X25" s="1812"/>
      <c r="Y25" s="3212"/>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12"/>
      <c r="Q26" s="1809"/>
      <c r="R26" s="773"/>
      <c r="S26" s="774"/>
      <c r="T26" s="773"/>
      <c r="U26" s="774"/>
      <c r="V26" s="773"/>
      <c r="W26" s="774"/>
      <c r="X26" s="1812"/>
      <c r="Y26" s="3212"/>
      <c r="Z26" s="1813"/>
      <c r="AA26" s="1810">
        <v>1</v>
      </c>
      <c r="AB26" s="1810">
        <v>1</v>
      </c>
      <c r="AC26" s="1810">
        <v>1</v>
      </c>
    </row>
    <row r="27" spans="1:29" s="116" customFormat="1" ht="42.75">
      <c r="A27" s="648"/>
      <c r="B27" s="1383"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2"/>
      <c r="Q27" s="1794" t="str">
        <f t="shared" si="8"/>
        <v>公共配套设施</v>
      </c>
      <c r="R27" s="769" t="s">
        <v>17</v>
      </c>
      <c r="S27" s="770">
        <f>F27</f>
        <v>100</v>
      </c>
      <c r="T27" s="769" t="s">
        <v>17</v>
      </c>
      <c r="U27" s="770">
        <f>H27</f>
        <v>100</v>
      </c>
      <c r="V27" s="769" t="s">
        <v>17</v>
      </c>
      <c r="W27" s="770">
        <f>J27</f>
        <v>100</v>
      </c>
      <c r="X27" s="771"/>
      <c r="Y27" s="3212"/>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212"/>
      <c r="Q28" s="1794"/>
      <c r="R28" s="769"/>
      <c r="S28" s="770"/>
      <c r="T28" s="769"/>
      <c r="U28" s="770"/>
      <c r="V28" s="769"/>
      <c r="W28" s="770"/>
      <c r="X28" s="771"/>
      <c r="Y28" s="3212"/>
      <c r="Z28" s="54"/>
      <c r="AA28" s="1810">
        <v>1</v>
      </c>
      <c r="AB28" s="1810">
        <v>1</v>
      </c>
      <c r="AC28" s="1810">
        <v>1</v>
      </c>
    </row>
    <row r="29" spans="1:29" s="116" customFormat="1" ht="28.5">
      <c r="A29" s="648"/>
      <c r="B29" s="1383"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2"/>
      <c r="Q29" s="1794" t="str">
        <f t="shared" ref="Q29" si="9">B29</f>
        <v>基础设施水平</v>
      </c>
      <c r="R29" s="769" t="s">
        <v>17</v>
      </c>
      <c r="S29" s="770">
        <f>F29</f>
        <v>100</v>
      </c>
      <c r="T29" s="769" t="s">
        <v>17</v>
      </c>
      <c r="U29" s="770">
        <f>H29</f>
        <v>100</v>
      </c>
      <c r="V29" s="769" t="s">
        <v>17</v>
      </c>
      <c r="W29" s="770">
        <f>J29</f>
        <v>100</v>
      </c>
      <c r="X29" s="771"/>
      <c r="Y29" s="3212"/>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212"/>
      <c r="Q30" s="1794"/>
      <c r="R30" s="769"/>
      <c r="S30" s="770"/>
      <c r="T30" s="769"/>
      <c r="U30" s="770"/>
      <c r="V30" s="769"/>
      <c r="W30" s="770"/>
      <c r="X30" s="771"/>
      <c r="Y30" s="3212"/>
      <c r="Z30" s="54"/>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1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2"/>
      <c r="Q32" s="1809" t="str">
        <f t="shared" si="8"/>
        <v>毗邻道路的类型与等级</v>
      </c>
      <c r="R32" s="773" t="s">
        <v>17</v>
      </c>
      <c r="S32" s="774">
        <f t="shared" si="10"/>
        <v>100</v>
      </c>
      <c r="T32" s="773" t="s">
        <v>17</v>
      </c>
      <c r="U32" s="774">
        <f t="shared" si="11"/>
        <v>100</v>
      </c>
      <c r="V32" s="773" t="s">
        <v>17</v>
      </c>
      <c r="W32" s="774">
        <f t="shared" si="12"/>
        <v>100</v>
      </c>
      <c r="X32" s="1812"/>
      <c r="Y32" s="3212"/>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12"/>
      <c r="Q33" s="1809"/>
      <c r="R33" s="773"/>
      <c r="S33" s="774"/>
      <c r="T33" s="773"/>
      <c r="U33" s="774"/>
      <c r="V33" s="773"/>
      <c r="W33" s="774"/>
      <c r="X33" s="1812"/>
      <c r="Y33" s="321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2"/>
      <c r="Q34" s="1809" t="str">
        <f t="shared" si="8"/>
        <v>土地级别</v>
      </c>
      <c r="R34" s="773" t="s">
        <v>17</v>
      </c>
      <c r="S34" s="774">
        <f t="shared" si="10"/>
        <v>100</v>
      </c>
      <c r="T34" s="773" t="s">
        <v>17</v>
      </c>
      <c r="U34" s="774">
        <f t="shared" si="11"/>
        <v>100</v>
      </c>
      <c r="V34" s="773" t="s">
        <v>17</v>
      </c>
      <c r="W34" s="774">
        <f t="shared" si="12"/>
        <v>100</v>
      </c>
      <c r="X34" s="1812"/>
      <c r="Y34" s="321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2"/>
      <c r="Q35" s="1809">
        <f t="shared" si="8"/>
        <v>111</v>
      </c>
      <c r="R35" s="773" t="s">
        <v>17</v>
      </c>
      <c r="S35" s="774">
        <f t="shared" si="10"/>
        <v>100</v>
      </c>
      <c r="T35" s="773" t="s">
        <v>17</v>
      </c>
      <c r="U35" s="774">
        <f t="shared" si="11"/>
        <v>100</v>
      </c>
      <c r="V35" s="773" t="s">
        <v>17</v>
      </c>
      <c r="W35" s="774">
        <f t="shared" si="12"/>
        <v>100</v>
      </c>
      <c r="X35" s="1812"/>
      <c r="Y35" s="321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5" t="s">
        <v>2561</v>
      </c>
      <c r="Q36" s="1809">
        <f t="shared" si="8"/>
        <v>111</v>
      </c>
      <c r="R36" s="773" t="s">
        <v>17</v>
      </c>
      <c r="S36" s="774">
        <f t="shared" si="10"/>
        <v>100</v>
      </c>
      <c r="T36" s="773" t="s">
        <v>17</v>
      </c>
      <c r="U36" s="774">
        <f t="shared" si="11"/>
        <v>100</v>
      </c>
      <c r="V36" s="773" t="s">
        <v>17</v>
      </c>
      <c r="W36" s="774">
        <f t="shared" si="12"/>
        <v>100</v>
      </c>
      <c r="X36" s="1812"/>
      <c r="Y36" s="3216" t="s">
        <v>2561</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6"/>
      <c r="Q37" s="1809">
        <f t="shared" si="8"/>
        <v>111</v>
      </c>
      <c r="R37" s="776" t="s">
        <v>17</v>
      </c>
      <c r="S37" s="777">
        <f t="shared" si="10"/>
        <v>100</v>
      </c>
      <c r="T37" s="776" t="s">
        <v>17</v>
      </c>
      <c r="U37" s="777">
        <f t="shared" si="11"/>
        <v>100</v>
      </c>
      <c r="V37" s="776" t="s">
        <v>17</v>
      </c>
      <c r="W37" s="777">
        <f t="shared" si="12"/>
        <v>100</v>
      </c>
      <c r="X37" s="778"/>
      <c r="Y37" s="3216"/>
      <c r="Z37" s="779">
        <f t="shared" si="13"/>
        <v>111</v>
      </c>
      <c r="AA37" s="1810">
        <f t="shared" si="3"/>
        <v>1</v>
      </c>
      <c r="AB37" s="1810">
        <f t="shared" si="4"/>
        <v>1</v>
      </c>
      <c r="AC37" s="1810">
        <f t="shared" si="5"/>
        <v>1</v>
      </c>
    </row>
    <row r="38" spans="1:29" ht="15">
      <c r="A38" s="471" t="s">
        <v>2559</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6"/>
      <c r="Q38" s="1809" t="str">
        <f>B38</f>
        <v>宗地面积</v>
      </c>
      <c r="R38" s="773" t="s">
        <v>17</v>
      </c>
      <c r="S38" s="774" t="e">
        <f t="shared" si="10"/>
        <v>#N/A</v>
      </c>
      <c r="T38" s="773" t="s">
        <v>17</v>
      </c>
      <c r="U38" s="774" t="e">
        <f t="shared" si="11"/>
        <v>#N/A</v>
      </c>
      <c r="V38" s="773" t="s">
        <v>17</v>
      </c>
      <c r="W38" s="774" t="e">
        <f t="shared" si="12"/>
        <v>#N/A</v>
      </c>
      <c r="X38" s="1812"/>
      <c r="Y38" s="3216"/>
      <c r="Z38" s="1813" t="str">
        <f t="shared" si="13"/>
        <v>宗地面积</v>
      </c>
      <c r="AA38" s="1810" t="e">
        <f t="shared" si="3"/>
        <v>#N/A</v>
      </c>
      <c r="AB38" s="1810" t="e">
        <f t="shared" si="4"/>
        <v>#N/A</v>
      </c>
      <c r="AC38" s="1810"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16"/>
      <c r="Q39" s="1809" t="str">
        <f t="shared" ref="Q39:Q45" si="14">B39</f>
        <v>宗地形状</v>
      </c>
      <c r="R39" s="773" t="s">
        <v>17</v>
      </c>
      <c r="S39" s="774">
        <f t="shared" si="10"/>
        <v>100</v>
      </c>
      <c r="T39" s="773" t="s">
        <v>17</v>
      </c>
      <c r="U39" s="774">
        <f t="shared" si="11"/>
        <v>100</v>
      </c>
      <c r="V39" s="773" t="s">
        <v>17</v>
      </c>
      <c r="W39" s="774">
        <f t="shared" si="12"/>
        <v>100</v>
      </c>
      <c r="X39" s="1812"/>
      <c r="Y39" s="3216"/>
      <c r="Z39" s="1813" t="str">
        <f t="shared" si="13"/>
        <v>宗地形状</v>
      </c>
      <c r="AA39" s="1810">
        <f t="shared" si="3"/>
        <v>1</v>
      </c>
      <c r="AB39" s="1810">
        <f t="shared" si="4"/>
        <v>1</v>
      </c>
      <c r="AC39" s="1810">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16"/>
      <c r="Q40" s="1809" t="str">
        <f t="shared" si="14"/>
        <v>临街宽度及深度</v>
      </c>
      <c r="R40" s="773" t="s">
        <v>17</v>
      </c>
      <c r="S40" s="774">
        <f t="shared" si="10"/>
        <v>100</v>
      </c>
      <c r="T40" s="773" t="s">
        <v>17</v>
      </c>
      <c r="U40" s="774">
        <f t="shared" si="11"/>
        <v>100</v>
      </c>
      <c r="V40" s="773" t="s">
        <v>17</v>
      </c>
      <c r="W40" s="774">
        <f t="shared" si="12"/>
        <v>100</v>
      </c>
      <c r="X40" s="1812"/>
      <c r="Y40" s="3216"/>
      <c r="Z40" s="1813" t="str">
        <f t="shared" si="13"/>
        <v>临街宽度及深度</v>
      </c>
      <c r="AA40" s="1810">
        <f t="shared" si="3"/>
        <v>1</v>
      </c>
      <c r="AB40" s="1810">
        <f t="shared" si="4"/>
        <v>1</v>
      </c>
      <c r="AC40" s="1810">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16"/>
      <c r="Q41" s="1809" t="str">
        <f t="shared" si="14"/>
        <v>宗地开发程度</v>
      </c>
      <c r="R41" s="769" t="s">
        <v>17</v>
      </c>
      <c r="S41" s="770">
        <f t="shared" si="10"/>
        <v>100</v>
      </c>
      <c r="T41" s="769" t="s">
        <v>17</v>
      </c>
      <c r="U41" s="770">
        <f t="shared" si="11"/>
        <v>100</v>
      </c>
      <c r="V41" s="769" t="s">
        <v>17</v>
      </c>
      <c r="W41" s="770">
        <f t="shared" si="12"/>
        <v>100</v>
      </c>
      <c r="X41" s="771"/>
      <c r="Y41" s="3216"/>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16" t="s">
        <v>2561</v>
      </c>
      <c r="Q42" s="1809" t="str">
        <f t="shared" si="14"/>
        <v>工程地质条件</v>
      </c>
      <c r="R42" s="773" t="s">
        <v>17</v>
      </c>
      <c r="S42" s="774">
        <f t="shared" si="10"/>
        <v>100</v>
      </c>
      <c r="T42" s="773" t="s">
        <v>17</v>
      </c>
      <c r="U42" s="774">
        <f t="shared" si="11"/>
        <v>100</v>
      </c>
      <c r="V42" s="773" t="s">
        <v>17</v>
      </c>
      <c r="W42" s="774">
        <f t="shared" si="12"/>
        <v>100</v>
      </c>
      <c r="X42" s="1812"/>
      <c r="Y42" s="3216" t="s">
        <v>2561</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6"/>
      <c r="Q43" s="1809">
        <f t="shared" si="14"/>
        <v>111</v>
      </c>
      <c r="R43" s="773" t="s">
        <v>17</v>
      </c>
      <c r="S43" s="774">
        <f t="shared" si="10"/>
        <v>100</v>
      </c>
      <c r="T43" s="773" t="s">
        <v>17</v>
      </c>
      <c r="U43" s="774">
        <f t="shared" si="11"/>
        <v>100</v>
      </c>
      <c r="V43" s="773" t="s">
        <v>17</v>
      </c>
      <c r="W43" s="774">
        <f t="shared" si="12"/>
        <v>100</v>
      </c>
      <c r="X43" s="1812"/>
      <c r="Y43" s="321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6"/>
      <c r="Q44" s="1809">
        <f t="shared" si="14"/>
        <v>111</v>
      </c>
      <c r="R44" s="773" t="s">
        <v>17</v>
      </c>
      <c r="S44" s="774">
        <f t="shared" si="10"/>
        <v>100</v>
      </c>
      <c r="T44" s="773" t="s">
        <v>17</v>
      </c>
      <c r="U44" s="774">
        <f t="shared" si="11"/>
        <v>100</v>
      </c>
      <c r="V44" s="773" t="s">
        <v>17</v>
      </c>
      <c r="W44" s="774">
        <f t="shared" si="12"/>
        <v>100</v>
      </c>
      <c r="X44" s="1812"/>
      <c r="Y44" s="3216"/>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6"/>
      <c r="Q45" s="1809">
        <f t="shared" si="14"/>
        <v>111</v>
      </c>
      <c r="R45" s="776" t="s">
        <v>17</v>
      </c>
      <c r="S45" s="777">
        <f t="shared" si="10"/>
        <v>100</v>
      </c>
      <c r="T45" s="776" t="s">
        <v>17</v>
      </c>
      <c r="U45" s="777">
        <f t="shared" si="11"/>
        <v>100</v>
      </c>
      <c r="V45" s="776" t="s">
        <v>17</v>
      </c>
      <c r="W45" s="777">
        <f t="shared" si="12"/>
        <v>100</v>
      </c>
      <c r="X45" s="778"/>
      <c r="Y45" s="3216"/>
      <c r="Z45" s="779">
        <f t="shared" si="13"/>
        <v>111</v>
      </c>
      <c r="AA45" s="1810">
        <f t="shared" si="3"/>
        <v>1</v>
      </c>
      <c r="AB45" s="1810">
        <f t="shared" si="4"/>
        <v>1</v>
      </c>
      <c r="AC45" s="1810">
        <f t="shared" si="5"/>
        <v>1</v>
      </c>
    </row>
    <row r="46" spans="1:29" ht="15">
      <c r="A46" s="478" t="s">
        <v>2714</v>
      </c>
      <c r="B46" s="2705" t="s">
        <v>2750</v>
      </c>
      <c r="C46" s="681" t="s">
        <v>1</v>
      </c>
      <c r="D46" s="480"/>
      <c r="E46" s="481"/>
      <c r="F46" s="482"/>
      <c r="G46" s="483"/>
      <c r="H46" s="484"/>
      <c r="I46" s="481"/>
      <c r="J46" s="484"/>
      <c r="K46" s="782"/>
      <c r="L46" s="1142"/>
      <c r="M46" s="1143"/>
      <c r="N46" s="1130"/>
      <c r="O46" s="1143"/>
      <c r="P46" s="3204" t="str">
        <f>A46</f>
        <v>成交单价</v>
      </c>
      <c r="Q46" s="3204"/>
      <c r="R46" s="3221">
        <f>E46</f>
        <v>0</v>
      </c>
      <c r="S46" s="3221"/>
      <c r="T46" s="3221">
        <f>G46</f>
        <v>0</v>
      </c>
      <c r="U46" s="3221"/>
      <c r="V46" s="3221">
        <f>I46</f>
        <v>0</v>
      </c>
      <c r="W46" s="3221"/>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04" t="str">
        <f>A47</f>
        <v>比较价值（元/平方米）</v>
      </c>
      <c r="Q47" s="3204"/>
      <c r="R47" s="3266" t="e">
        <f>ROUND(PRODUCT(R46,AA7:AA45),0)</f>
        <v>#DIV/0!</v>
      </c>
      <c r="S47" s="3266"/>
      <c r="T47" s="3266" t="e">
        <f>ROUND(PRODUCT(T46,AB7:AB45),0)</f>
        <v>#DIV/0!</v>
      </c>
      <c r="U47" s="3266"/>
      <c r="V47" s="3266" t="e">
        <f>ROUND(PRODUCT(V46,AC7:AC45),0)</f>
        <v>#DIV/0!</v>
      </c>
      <c r="W47" s="3266"/>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06" t="str">
        <f>A48</f>
        <v>估价对象XX用房的比较价值（楼面单价，元/平方米）</v>
      </c>
      <c r="Q48" s="3207"/>
      <c r="R48" s="3267" t="e">
        <f>ROUND(AVERAGE(R47:V47),0)</f>
        <v>#DIV/0!</v>
      </c>
      <c r="S48" s="3267"/>
      <c r="T48" s="3267"/>
      <c r="U48" s="3267"/>
      <c r="V48" s="3267"/>
      <c r="W48" s="326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6" t="s">
        <v>2754</v>
      </c>
      <c r="D55" s="2707" t="s">
        <v>2755</v>
      </c>
      <c r="E55" s="685" t="s">
        <v>2756</v>
      </c>
      <c r="F55" s="1106" t="s">
        <v>2757</v>
      </c>
      <c r="G55" s="3232" t="s">
        <v>2758</v>
      </c>
      <c r="H55" s="3268"/>
      <c r="I55" s="143" t="s">
        <v>2759</v>
      </c>
      <c r="J55" s="2708">
        <f>项目基本情况!F35</f>
        <v>0</v>
      </c>
      <c r="K55" s="2709" t="s">
        <v>2760</v>
      </c>
      <c r="L55" s="1105"/>
      <c r="M55" s="1143"/>
      <c r="N55" s="1143"/>
      <c r="O55" s="1143"/>
    </row>
    <row r="56" spans="1:15" s="691" customFormat="1">
      <c r="A56" s="687" t="s">
        <v>2761</v>
      </c>
      <c r="B56" s="688" t="e">
        <f>C48</f>
        <v>#DIV/0!</v>
      </c>
      <c r="C56" s="689">
        <v>1</v>
      </c>
      <c r="D56" s="1162">
        <v>1</v>
      </c>
      <c r="E56" s="689">
        <f>'数据-汇总表'!E8+'数据-汇总表'!E9</f>
        <v>10595.869999999999</v>
      </c>
      <c r="F56" s="1102" t="e">
        <f t="shared" ref="F56:F65" si="15">ROUND(B56*E56/10000,0)</f>
        <v>#DIV/0!</v>
      </c>
      <c r="G56" s="3220"/>
      <c r="H56" s="3204"/>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6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6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6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6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10"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10"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11"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10595.869999999999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2" t="s">
        <v>2776</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13" t="s">
        <v>2777</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6" customFormat="1" ht="15.75" thickBot="1">
      <c r="A72" s="514" t="s">
        <v>2580</v>
      </c>
      <c r="B72" s="515"/>
      <c r="C72" s="516"/>
      <c r="D72" s="517"/>
      <c r="E72" s="517"/>
      <c r="F72" s="517"/>
      <c r="G72" s="517"/>
      <c r="H72" s="517"/>
      <c r="I72" s="517"/>
      <c r="J72" s="517"/>
      <c r="K72" s="517"/>
      <c r="L72" s="517"/>
      <c r="M72" s="518"/>
      <c r="N72" s="517"/>
      <c r="O72" s="1161"/>
      <c r="P72" s="503"/>
      <c r="Q72" s="503"/>
    </row>
    <row r="73" spans="1:17" s="116" customFormat="1" ht="15">
      <c r="A73" s="520" t="s">
        <v>2546</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2550</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2553</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2555</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2559</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70" t="s">
        <v>2791</v>
      </c>
      <c r="D6" s="3271"/>
      <c r="E6" s="3272" t="s">
        <v>2791</v>
      </c>
      <c r="F6" s="3273"/>
      <c r="G6" s="3270" t="s">
        <v>2791</v>
      </c>
      <c r="H6" s="3271"/>
      <c r="I6" s="3270" t="s">
        <v>2791</v>
      </c>
      <c r="J6" s="3271"/>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0" si="3">D8/F8</f>
        <v>#DIV/0!</v>
      </c>
      <c r="AB8" s="772" t="e">
        <f t="shared" ref="AB8:AB40" si="4">D8/H8</f>
        <v>#DIV/0!</v>
      </c>
      <c r="AC8" s="772" t="e">
        <f t="shared" ref="AC8:AC40" si="5">D8/J8</f>
        <v>#DIV/0!</v>
      </c>
    </row>
    <row r="9" spans="1:29" s="116" customFormat="1">
      <c r="A9" s="414" t="s">
        <v>2549</v>
      </c>
      <c r="B9" s="70" t="s">
        <v>2550</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4"/>
      <c r="M10" s="1135"/>
      <c r="N10" s="1135"/>
      <c r="O10" s="1136"/>
      <c r="P10" s="3204"/>
      <c r="Q10" s="1794" t="str">
        <f t="shared" si="6"/>
        <v>土地使用年限（年）</v>
      </c>
      <c r="R10" s="769" t="s">
        <v>17</v>
      </c>
      <c r="S10" s="770">
        <f t="shared" si="0"/>
        <v>101</v>
      </c>
      <c r="T10" s="769" t="s">
        <v>17</v>
      </c>
      <c r="U10" s="770">
        <f t="shared" si="1"/>
        <v>101</v>
      </c>
      <c r="V10" s="769" t="s">
        <v>17</v>
      </c>
      <c r="W10" s="770">
        <f t="shared" si="2"/>
        <v>101</v>
      </c>
      <c r="X10" s="771"/>
      <c r="Y10" s="3024"/>
      <c r="Z10" s="54"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57">
      <c r="A15" s="439" t="s">
        <v>2555</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1" t="s">
        <v>2556</v>
      </c>
      <c r="Q15" s="1809" t="str">
        <f t="shared" si="6"/>
        <v>产业集聚程度</v>
      </c>
      <c r="R15" s="773" t="s">
        <v>17</v>
      </c>
      <c r="S15" s="774">
        <f t="shared" si="0"/>
        <v>100</v>
      </c>
      <c r="T15" s="773" t="s">
        <v>17</v>
      </c>
      <c r="U15" s="774">
        <f t="shared" si="1"/>
        <v>100</v>
      </c>
      <c r="V15" s="773" t="s">
        <v>17</v>
      </c>
      <c r="W15" s="774">
        <f t="shared" si="2"/>
        <v>100</v>
      </c>
      <c r="X15" s="1812"/>
      <c r="Y15" s="3211" t="s">
        <v>2556</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2"/>
      <c r="Q19" s="1809" t="str">
        <f t="shared" ref="Q19:Q33" si="8">B19</f>
        <v>区域土地利用方向</v>
      </c>
      <c r="R19" s="773" t="s">
        <v>17</v>
      </c>
      <c r="S19" s="774">
        <f>F19</f>
        <v>100</v>
      </c>
      <c r="T19" s="773" t="s">
        <v>17</v>
      </c>
      <c r="U19" s="774">
        <f>H19</f>
        <v>100</v>
      </c>
      <c r="V19" s="773" t="s">
        <v>17</v>
      </c>
      <c r="W19" s="774">
        <f>J19</f>
        <v>100</v>
      </c>
      <c r="X19" s="1812"/>
      <c r="Y19" s="3212"/>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12"/>
      <c r="Q20" s="1809"/>
      <c r="R20" s="773"/>
      <c r="S20" s="774"/>
      <c r="T20" s="773"/>
      <c r="U20" s="774"/>
      <c r="V20" s="773"/>
      <c r="W20" s="774"/>
      <c r="X20" s="1812"/>
      <c r="Y20" s="3212"/>
      <c r="Z20" s="1813"/>
      <c r="AA20" s="1810"/>
      <c r="AB20" s="1810"/>
      <c r="AC20" s="1810"/>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2"/>
      <c r="Q21" s="1809" t="str">
        <f t="shared" si="8"/>
        <v>环境状况</v>
      </c>
      <c r="R21" s="773" t="s">
        <v>17</v>
      </c>
      <c r="S21" s="774">
        <f>F21</f>
        <v>100</v>
      </c>
      <c r="T21" s="773" t="s">
        <v>17</v>
      </c>
      <c r="U21" s="774">
        <f>H21</f>
        <v>100</v>
      </c>
      <c r="V21" s="773" t="s">
        <v>17</v>
      </c>
      <c r="W21" s="774">
        <f>J21</f>
        <v>100</v>
      </c>
      <c r="X21" s="1812"/>
      <c r="Y21" s="3212"/>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2"/>
      <c r="Q23" s="1794" t="str">
        <f t="shared" si="8"/>
        <v>公共配套设施</v>
      </c>
      <c r="R23" s="769" t="s">
        <v>17</v>
      </c>
      <c r="S23" s="770">
        <f>F23</f>
        <v>100</v>
      </c>
      <c r="T23" s="769" t="s">
        <v>17</v>
      </c>
      <c r="U23" s="770">
        <f>H23</f>
        <v>100</v>
      </c>
      <c r="V23" s="769" t="s">
        <v>17</v>
      </c>
      <c r="W23" s="770">
        <f>J23</f>
        <v>100</v>
      </c>
      <c r="X23" s="771"/>
      <c r="Y23" s="3212"/>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212"/>
      <c r="Q24" s="1794"/>
      <c r="R24" s="769"/>
      <c r="S24" s="770"/>
      <c r="T24" s="769"/>
      <c r="U24" s="770"/>
      <c r="V24" s="769"/>
      <c r="W24" s="770"/>
      <c r="X24" s="771"/>
      <c r="Y24" s="3212"/>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2"/>
      <c r="Q25" s="1794" t="str">
        <f t="shared" ref="Q25" si="9">B25</f>
        <v>基础设施水平</v>
      </c>
      <c r="R25" s="769" t="s">
        <v>17</v>
      </c>
      <c r="S25" s="770">
        <f>F25</f>
        <v>100</v>
      </c>
      <c r="T25" s="769" t="s">
        <v>17</v>
      </c>
      <c r="U25" s="770">
        <f>H25</f>
        <v>100</v>
      </c>
      <c r="V25" s="769" t="s">
        <v>17</v>
      </c>
      <c r="W25" s="770">
        <f>J25</f>
        <v>100</v>
      </c>
      <c r="X25" s="771"/>
      <c r="Y25" s="3212"/>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212"/>
      <c r="Q26" s="1794"/>
      <c r="R26" s="769"/>
      <c r="S26" s="770"/>
      <c r="T26" s="769"/>
      <c r="U26" s="770"/>
      <c r="V26" s="769"/>
      <c r="W26" s="770"/>
      <c r="X26" s="771"/>
      <c r="Y26" s="3212"/>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12"/>
      <c r="Z27" s="1813" t="str">
        <f t="shared" ref="Z27:Z40" si="13">Q27</f>
        <v>临街状况</v>
      </c>
      <c r="AA27" s="1810">
        <f t="shared" si="3"/>
        <v>1</v>
      </c>
      <c r="AB27" s="1810">
        <f t="shared" si="4"/>
        <v>1</v>
      </c>
      <c r="AC27" s="1810">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2"/>
      <c r="Q28" s="1809" t="str">
        <f t="shared" si="8"/>
        <v>毗邻道路的类型与等级</v>
      </c>
      <c r="R28" s="773" t="s">
        <v>17</v>
      </c>
      <c r="S28" s="774">
        <f t="shared" si="10"/>
        <v>100</v>
      </c>
      <c r="T28" s="773" t="s">
        <v>17</v>
      </c>
      <c r="U28" s="774">
        <f t="shared" si="11"/>
        <v>100</v>
      </c>
      <c r="V28" s="773" t="s">
        <v>17</v>
      </c>
      <c r="W28" s="774">
        <f t="shared" si="12"/>
        <v>100</v>
      </c>
      <c r="X28" s="1812"/>
      <c r="Y28" s="3212"/>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12"/>
      <c r="Q29" s="1809"/>
      <c r="R29" s="773"/>
      <c r="S29" s="774"/>
      <c r="T29" s="773"/>
      <c r="U29" s="774"/>
      <c r="V29" s="773"/>
      <c r="W29" s="774"/>
      <c r="X29" s="1812"/>
      <c r="Y29" s="321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2"/>
      <c r="Q30" s="1809" t="str">
        <f t="shared" si="8"/>
        <v>土地级别</v>
      </c>
      <c r="R30" s="773" t="s">
        <v>17</v>
      </c>
      <c r="S30" s="774">
        <f t="shared" si="10"/>
        <v>100</v>
      </c>
      <c r="T30" s="773" t="s">
        <v>17</v>
      </c>
      <c r="U30" s="774">
        <f t="shared" si="11"/>
        <v>100</v>
      </c>
      <c r="V30" s="773" t="s">
        <v>17</v>
      </c>
      <c r="W30" s="774">
        <f t="shared" si="12"/>
        <v>100</v>
      </c>
      <c r="X30" s="1812"/>
      <c r="Y30" s="3212"/>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2"/>
      <c r="Q31" s="1809">
        <f t="shared" si="8"/>
        <v>111</v>
      </c>
      <c r="R31" s="773" t="s">
        <v>17</v>
      </c>
      <c r="S31" s="774">
        <f t="shared" si="10"/>
        <v>100</v>
      </c>
      <c r="T31" s="773" t="s">
        <v>17</v>
      </c>
      <c r="U31" s="774">
        <f t="shared" si="11"/>
        <v>100</v>
      </c>
      <c r="V31" s="773" t="s">
        <v>17</v>
      </c>
      <c r="W31" s="774">
        <f t="shared" si="12"/>
        <v>100</v>
      </c>
      <c r="X31" s="1812"/>
      <c r="Y31" s="3212"/>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5" t="s">
        <v>2561</v>
      </c>
      <c r="Q32" s="1809">
        <f t="shared" si="8"/>
        <v>111</v>
      </c>
      <c r="R32" s="773" t="s">
        <v>17</v>
      </c>
      <c r="S32" s="774">
        <f t="shared" si="10"/>
        <v>100</v>
      </c>
      <c r="T32" s="773" t="s">
        <v>17</v>
      </c>
      <c r="U32" s="774">
        <f t="shared" si="11"/>
        <v>100</v>
      </c>
      <c r="V32" s="773" t="s">
        <v>17</v>
      </c>
      <c r="W32" s="774">
        <f t="shared" si="12"/>
        <v>100</v>
      </c>
      <c r="X32" s="1812"/>
      <c r="Y32" s="3216" t="s">
        <v>2561</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6"/>
      <c r="Q33" s="1809">
        <f t="shared" si="8"/>
        <v>111</v>
      </c>
      <c r="R33" s="776" t="s">
        <v>17</v>
      </c>
      <c r="S33" s="777">
        <f t="shared" si="10"/>
        <v>100</v>
      </c>
      <c r="T33" s="776" t="s">
        <v>17</v>
      </c>
      <c r="U33" s="777">
        <f t="shared" si="11"/>
        <v>100</v>
      </c>
      <c r="V33" s="776" t="s">
        <v>17</v>
      </c>
      <c r="W33" s="777">
        <f t="shared" si="12"/>
        <v>100</v>
      </c>
      <c r="X33" s="778"/>
      <c r="Y33" s="3216"/>
      <c r="Z33" s="779">
        <f t="shared" si="13"/>
        <v>111</v>
      </c>
      <c r="AA33" s="1810">
        <f t="shared" si="3"/>
        <v>1</v>
      </c>
      <c r="AB33" s="1810">
        <f t="shared" si="4"/>
        <v>1</v>
      </c>
      <c r="AC33" s="1810">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6"/>
      <c r="Q34" s="1809" t="str">
        <f>B34</f>
        <v>宗地面积</v>
      </c>
      <c r="R34" s="773" t="s">
        <v>17</v>
      </c>
      <c r="S34" s="774" t="e">
        <f t="shared" si="10"/>
        <v>#N/A</v>
      </c>
      <c r="T34" s="773" t="s">
        <v>17</v>
      </c>
      <c r="U34" s="774" t="e">
        <f t="shared" si="11"/>
        <v>#N/A</v>
      </c>
      <c r="V34" s="773" t="s">
        <v>17</v>
      </c>
      <c r="W34" s="774" t="e">
        <f t="shared" si="12"/>
        <v>#N/A</v>
      </c>
      <c r="X34" s="1812"/>
      <c r="Y34" s="3216"/>
      <c r="Z34" s="1813" t="str">
        <f t="shared" si="13"/>
        <v>宗地面积</v>
      </c>
      <c r="AA34" s="1810" t="e">
        <f t="shared" si="3"/>
        <v>#N/A</v>
      </c>
      <c r="AB34" s="1810" t="e">
        <f t="shared" si="4"/>
        <v>#N/A</v>
      </c>
      <c r="AC34" s="1810"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16"/>
      <c r="Q35" s="1809" t="str">
        <f t="shared" ref="Q35:Q40" si="14">B35</f>
        <v>宗地形状</v>
      </c>
      <c r="R35" s="773" t="s">
        <v>17</v>
      </c>
      <c r="S35" s="774">
        <f t="shared" si="10"/>
        <v>100</v>
      </c>
      <c r="T35" s="773" t="s">
        <v>17</v>
      </c>
      <c r="U35" s="774">
        <f t="shared" si="11"/>
        <v>100</v>
      </c>
      <c r="V35" s="773" t="s">
        <v>17</v>
      </c>
      <c r="W35" s="774">
        <f t="shared" si="12"/>
        <v>100</v>
      </c>
      <c r="X35" s="1812"/>
      <c r="Y35" s="3216"/>
      <c r="Z35" s="1813" t="str">
        <f t="shared" si="13"/>
        <v>宗地形状</v>
      </c>
      <c r="AA35" s="1810">
        <f t="shared" si="3"/>
        <v>1</v>
      </c>
      <c r="AB35" s="1810">
        <f t="shared" si="4"/>
        <v>1</v>
      </c>
      <c r="AC35" s="1810">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16"/>
      <c r="Q36" s="1809" t="str">
        <f t="shared" si="14"/>
        <v>宗地开发程度</v>
      </c>
      <c r="R36" s="769" t="s">
        <v>17</v>
      </c>
      <c r="S36" s="770">
        <f t="shared" si="10"/>
        <v>100</v>
      </c>
      <c r="T36" s="769" t="s">
        <v>17</v>
      </c>
      <c r="U36" s="770">
        <f t="shared" si="11"/>
        <v>100</v>
      </c>
      <c r="V36" s="769" t="s">
        <v>17</v>
      </c>
      <c r="W36" s="770">
        <f t="shared" si="12"/>
        <v>100</v>
      </c>
      <c r="X36" s="771"/>
      <c r="Y36" s="3216"/>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16" t="s">
        <v>2561</v>
      </c>
      <c r="Q37" s="1809" t="str">
        <f t="shared" si="14"/>
        <v>工程地质条件</v>
      </c>
      <c r="R37" s="773" t="s">
        <v>17</v>
      </c>
      <c r="S37" s="774">
        <f t="shared" si="10"/>
        <v>100</v>
      </c>
      <c r="T37" s="773" t="s">
        <v>17</v>
      </c>
      <c r="U37" s="774">
        <f t="shared" si="11"/>
        <v>100</v>
      </c>
      <c r="V37" s="773" t="s">
        <v>17</v>
      </c>
      <c r="W37" s="774">
        <f t="shared" si="12"/>
        <v>100</v>
      </c>
      <c r="X37" s="1812"/>
      <c r="Y37" s="3216" t="s">
        <v>2561</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6"/>
      <c r="Q38" s="1809">
        <f t="shared" si="14"/>
        <v>111</v>
      </c>
      <c r="R38" s="773" t="s">
        <v>17</v>
      </c>
      <c r="S38" s="774">
        <f t="shared" si="10"/>
        <v>100</v>
      </c>
      <c r="T38" s="773" t="s">
        <v>17</v>
      </c>
      <c r="U38" s="774">
        <f t="shared" si="11"/>
        <v>100</v>
      </c>
      <c r="V38" s="773" t="s">
        <v>17</v>
      </c>
      <c r="W38" s="774">
        <f t="shared" si="12"/>
        <v>100</v>
      </c>
      <c r="X38" s="1812"/>
      <c r="Y38" s="321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6"/>
      <c r="Q39" s="1809">
        <f t="shared" si="14"/>
        <v>111</v>
      </c>
      <c r="R39" s="773" t="s">
        <v>17</v>
      </c>
      <c r="S39" s="774">
        <f t="shared" si="10"/>
        <v>100</v>
      </c>
      <c r="T39" s="773" t="s">
        <v>17</v>
      </c>
      <c r="U39" s="774">
        <f t="shared" si="11"/>
        <v>100</v>
      </c>
      <c r="V39" s="773" t="s">
        <v>17</v>
      </c>
      <c r="W39" s="774">
        <f t="shared" si="12"/>
        <v>100</v>
      </c>
      <c r="X39" s="1812"/>
      <c r="Y39" s="3216"/>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6"/>
      <c r="Q40" s="1809">
        <f t="shared" si="14"/>
        <v>111</v>
      </c>
      <c r="R40" s="776" t="s">
        <v>17</v>
      </c>
      <c r="S40" s="777">
        <f t="shared" si="10"/>
        <v>100</v>
      </c>
      <c r="T40" s="776" t="s">
        <v>17</v>
      </c>
      <c r="U40" s="777">
        <f t="shared" si="11"/>
        <v>100</v>
      </c>
      <c r="V40" s="776" t="s">
        <v>17</v>
      </c>
      <c r="W40" s="777">
        <f t="shared" si="12"/>
        <v>100</v>
      </c>
      <c r="X40" s="778"/>
      <c r="Y40" s="3216"/>
      <c r="Z40" s="779">
        <f t="shared" si="13"/>
        <v>111</v>
      </c>
      <c r="AA40" s="1810">
        <f t="shared" si="3"/>
        <v>1</v>
      </c>
      <c r="AB40" s="1810">
        <f t="shared" si="4"/>
        <v>1</v>
      </c>
      <c r="AC40" s="1810">
        <f t="shared" si="5"/>
        <v>1</v>
      </c>
    </row>
    <row r="41" spans="1:29" ht="15">
      <c r="A41" s="478" t="s">
        <v>2714</v>
      </c>
      <c r="B41" s="2705" t="s">
        <v>2794</v>
      </c>
      <c r="C41" s="681" t="s">
        <v>1</v>
      </c>
      <c r="D41" s="480"/>
      <c r="E41" s="481"/>
      <c r="F41" s="482"/>
      <c r="G41" s="483"/>
      <c r="H41" s="484"/>
      <c r="I41" s="481"/>
      <c r="J41" s="484"/>
      <c r="K41" s="782"/>
      <c r="L41" s="1142"/>
      <c r="M41" s="1130"/>
      <c r="N41" s="1130"/>
      <c r="O41" s="1143"/>
      <c r="P41" s="3204" t="str">
        <f>A41</f>
        <v>成交单价</v>
      </c>
      <c r="Q41" s="3204"/>
      <c r="R41" s="3221">
        <f>E41</f>
        <v>0</v>
      </c>
      <c r="S41" s="3221"/>
      <c r="T41" s="3221">
        <f>G41</f>
        <v>0</v>
      </c>
      <c r="U41" s="3221"/>
      <c r="V41" s="3221">
        <f>I41</f>
        <v>0</v>
      </c>
      <c r="W41" s="3221"/>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04" t="str">
        <f>A42</f>
        <v>比较价值（元/平方米）</v>
      </c>
      <c r="Q42" s="3204"/>
      <c r="R42" s="3266" t="e">
        <f>ROUND(PRODUCT(R41,AA7:AA40),0)</f>
        <v>#DIV/0!</v>
      </c>
      <c r="S42" s="3266"/>
      <c r="T42" s="3266" t="e">
        <f>ROUND(PRODUCT(T41,AB7:AB40),0)</f>
        <v>#DIV/0!</v>
      </c>
      <c r="U42" s="3266"/>
      <c r="V42" s="3266" t="e">
        <f>ROUND(PRODUCT(V41,AC7:AC40),0)</f>
        <v>#DIV/0!</v>
      </c>
      <c r="W42" s="3266"/>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06" t="str">
        <f>A43</f>
        <v>估价对象XX用房的比较价值（楼面单价，元/平方米）</v>
      </c>
      <c r="Q43" s="3207"/>
      <c r="R43" s="3267" t="e">
        <f>ROUND(AVERAGE(R42:V42),0)</f>
        <v>#DIV/0!</v>
      </c>
      <c r="S43" s="3267"/>
      <c r="T43" s="3267"/>
      <c r="U43" s="3267"/>
      <c r="V43" s="3267"/>
      <c r="W43" s="326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6" t="s">
        <v>2754</v>
      </c>
      <c r="D50" s="2707" t="s">
        <v>2755</v>
      </c>
      <c r="E50" s="685" t="s">
        <v>2756</v>
      </c>
      <c r="F50" s="686" t="s">
        <v>2757</v>
      </c>
      <c r="G50" s="3232" t="s">
        <v>2758</v>
      </c>
      <c r="H50" s="3268"/>
      <c r="I50" s="1813" t="s">
        <v>2795</v>
      </c>
      <c r="J50" s="1813">
        <f>项目基本情况!F35</f>
        <v>0</v>
      </c>
      <c r="K50" s="2709" t="s">
        <v>2760</v>
      </c>
      <c r="L50" s="1105"/>
      <c r="M50" s="1143"/>
      <c r="N50" s="1143"/>
      <c r="O50" s="1143"/>
    </row>
    <row r="51" spans="1:17" s="691" customFormat="1">
      <c r="A51" s="687" t="s">
        <v>2761</v>
      </c>
      <c r="B51" s="688" t="e">
        <f>C43</f>
        <v>#DIV/0!</v>
      </c>
      <c r="C51" s="689">
        <v>1</v>
      </c>
      <c r="D51" s="1162">
        <v>1</v>
      </c>
      <c r="E51" s="689">
        <f>'数据-汇总表'!E8+'数据-汇总表'!E9</f>
        <v>10595.869999999999</v>
      </c>
      <c r="F51" s="690" t="e">
        <f t="shared" ref="F51:F60" si="15">ROUND(B51*E51/10000,0)</f>
        <v>#DIV/0!</v>
      </c>
      <c r="G51" s="3220"/>
      <c r="H51" s="3204"/>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6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6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6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6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10"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10"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11"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13641.1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2" t="s">
        <v>2776</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7" t="s">
        <v>2796</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2550</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2553</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2555</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2559</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69"/>
      <c r="L1" s="2719" t="s">
        <v>2800</v>
      </c>
      <c r="M1" s="1079">
        <f>SUMPRODUCT((区片价!B5:B9=I2)*(区片价!C3:F3=E2)*(区片价!C5:F9))</f>
        <v>0</v>
      </c>
      <c r="N1" s="1082">
        <f>SUMPRODUCT((因素修正幅度!B5:B9=I2)*(因素修正幅度!C3:F3=E2)*(因素修正幅度!C5:F9))</f>
        <v>0</v>
      </c>
      <c r="O1" s="2720"/>
      <c r="P1" s="272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69"/>
      <c r="L2" s="272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0.86</v>
      </c>
      <c r="H3" s="197" t="s">
        <v>2816</v>
      </c>
      <c r="I3" s="943"/>
      <c r="J3" s="2726" t="s">
        <v>2817</v>
      </c>
      <c r="K3" s="1369"/>
      <c r="L3" s="2727"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7"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2820</v>
      </c>
      <c r="C5" s="916" t="e">
        <f>ROUND(IF(E2="商业",C6*C7+C16,(IF(E2="住宅",C6*C12+C16,C6+C16))),0)</f>
        <v>#DIV/0!</v>
      </c>
      <c r="D5" s="1786" t="e">
        <f>ROUND(C6+C16,0)</f>
        <v>#DIV/0!</v>
      </c>
      <c r="E5" s="1786"/>
      <c r="F5" s="2732"/>
      <c r="G5" s="2733"/>
      <c r="H5" s="2733"/>
      <c r="I5" s="2733"/>
      <c r="J5" s="2734"/>
      <c r="K5" s="2735"/>
      <c r="L5" s="2727"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1"/>
      <c r="L6" s="2727"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81" t="str">
        <f>IF(E2="商业",IF(C8="不临58条商业街","",2),"")</f>
        <v/>
      </c>
      <c r="B7" s="2746" t="s">
        <v>2826</v>
      </c>
      <c r="C7" s="918" t="e">
        <f>IF(C8="不临58条商业街",1,ROUND(1+(1.6*E8+1.2*E9+0.8*E10+0.4*E11)*C9,4))</f>
        <v>#DIV/0!</v>
      </c>
      <c r="D7" s="2747" t="s">
        <v>2827</v>
      </c>
      <c r="E7" s="944"/>
      <c r="F7" s="2748"/>
      <c r="G7" s="2749"/>
      <c r="H7" s="2749"/>
      <c r="I7" s="2749"/>
      <c r="J7" s="2750"/>
      <c r="K7" s="1841"/>
      <c r="L7" s="2727"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0.86</v>
      </c>
      <c r="AA7" s="1605"/>
      <c r="AB7" s="1605"/>
      <c r="AC7" s="1606"/>
      <c r="AD7" s="1607"/>
      <c r="AE7" s="1607"/>
      <c r="AF7" s="1607"/>
      <c r="AG7" s="1607"/>
      <c r="AH7" s="1607"/>
      <c r="AI7" s="1607"/>
      <c r="AJ7" s="1608"/>
    </row>
    <row r="8" spans="1:36" ht="15">
      <c r="A8" s="3282"/>
      <c r="B8" s="197" t="s">
        <v>2831</v>
      </c>
      <c r="C8" s="2751"/>
      <c r="D8" s="919" t="s">
        <v>139</v>
      </c>
      <c r="E8" s="920" t="e">
        <f>ROUND(C11/E7,4)</f>
        <v>#DIV/0!</v>
      </c>
      <c r="F8" s="2752" t="s">
        <v>2832</v>
      </c>
      <c r="G8" s="2753"/>
      <c r="H8" s="2753"/>
      <c r="I8" s="2753"/>
      <c r="J8" s="2754"/>
      <c r="K8" s="1369"/>
      <c r="L8" s="2727"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4" t="s">
        <v>2834</v>
      </c>
      <c r="X8" s="3275"/>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82"/>
      <c r="B9" s="197" t="s">
        <v>2847</v>
      </c>
      <c r="C9" s="921">
        <f>SUMIF(修正!C59:C119,C8,修正!E59:E119)</f>
        <v>0</v>
      </c>
      <c r="D9" s="199" t="s">
        <v>140</v>
      </c>
      <c r="E9" s="199" t="e">
        <f>ROUND(C11/E7,4)</f>
        <v>#DIV/0!</v>
      </c>
      <c r="F9" s="2752" t="s">
        <v>2848</v>
      </c>
      <c r="G9" s="2753"/>
      <c r="H9" s="2753"/>
      <c r="I9" s="2753"/>
      <c r="J9" s="2754"/>
      <c r="K9" s="1369"/>
      <c r="L9" s="2727"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6"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7" t="s">
        <v>2852</v>
      </c>
      <c r="C10" s="199">
        <f>SUMIF(修正!C59:C119,C8,修正!F59:F119)</f>
        <v>0</v>
      </c>
      <c r="D10" s="199" t="s">
        <v>141</v>
      </c>
      <c r="E10" s="199" t="e">
        <f>ROUND(C11/E7,4)</f>
        <v>#DIV/0!</v>
      </c>
      <c r="F10" s="2752" t="s">
        <v>2853</v>
      </c>
      <c r="G10" s="2753"/>
      <c r="H10" s="2753"/>
      <c r="I10" s="2753"/>
      <c r="J10" s="2754"/>
      <c r="K10" s="1369"/>
      <c r="L10" s="2727"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5" t="s">
        <v>2855</v>
      </c>
      <c r="C11" s="922">
        <f>C10/4</f>
        <v>0</v>
      </c>
      <c r="D11" s="922" t="s">
        <v>142</v>
      </c>
      <c r="E11" s="922" t="e">
        <f>ROUND(C11/E7,4)</f>
        <v>#DIV/0!</v>
      </c>
      <c r="F11" s="2756" t="s">
        <v>2856</v>
      </c>
      <c r="G11" s="2757"/>
      <c r="H11" s="2757"/>
      <c r="I11" s="2757"/>
      <c r="J11" s="2758"/>
      <c r="K11" s="1369"/>
      <c r="L11" s="2727"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6" t="s">
        <v>2858</v>
      </c>
      <c r="X11" s="1613" t="s">
        <v>2859</v>
      </c>
      <c r="Y11" s="1614">
        <f>$G$3</f>
        <v>0.86</v>
      </c>
      <c r="Z11" s="1614">
        <f t="shared" ref="Z11:AJ11" si="3">$G$3</f>
        <v>0.86</v>
      </c>
      <c r="AA11" s="1614">
        <f t="shared" si="3"/>
        <v>0.86</v>
      </c>
      <c r="AB11" s="1614">
        <f t="shared" si="3"/>
        <v>0.86</v>
      </c>
      <c r="AC11" s="1614">
        <f t="shared" si="3"/>
        <v>0.86</v>
      </c>
      <c r="AD11" s="1614">
        <f t="shared" si="3"/>
        <v>0.86</v>
      </c>
      <c r="AE11" s="1614">
        <f t="shared" si="3"/>
        <v>0.86</v>
      </c>
      <c r="AF11" s="1614">
        <f t="shared" si="3"/>
        <v>0.86</v>
      </c>
      <c r="AG11" s="1614">
        <f t="shared" si="3"/>
        <v>0.86</v>
      </c>
      <c r="AH11" s="1614">
        <f t="shared" si="3"/>
        <v>0.86</v>
      </c>
      <c r="AI11" s="1614">
        <f t="shared" si="3"/>
        <v>0.86</v>
      </c>
      <c r="AJ11" s="1614">
        <f t="shared" si="3"/>
        <v>0.86</v>
      </c>
    </row>
    <row r="12" spans="1:36" ht="25.5" thickBot="1">
      <c r="A12" s="3281" t="s">
        <v>2860</v>
      </c>
      <c r="B12" s="2759" t="s">
        <v>2861</v>
      </c>
      <c r="C12" s="918">
        <f>ROUND(C15*D15*E15*F15*G15*H15*I15*J15,4)</f>
        <v>1</v>
      </c>
      <c r="D12" s="2760" t="s">
        <v>2862</v>
      </c>
      <c r="E12" s="2761"/>
      <c r="F12" s="2761"/>
      <c r="G12" s="2762"/>
      <c r="H12" s="2762"/>
      <c r="I12" s="2762"/>
      <c r="J12" s="2763"/>
      <c r="K12" s="1369"/>
      <c r="L12" s="2764"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6"/>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5" t="s">
        <v>2865</v>
      </c>
      <c r="C13" s="2766" t="s">
        <v>2866</v>
      </c>
      <c r="D13" s="1807" t="s">
        <v>2867</v>
      </c>
      <c r="E13" s="1807" t="s">
        <v>2868</v>
      </c>
      <c r="F13" s="29" t="s">
        <v>2869</v>
      </c>
      <c r="G13" s="2767" t="s">
        <v>2870</v>
      </c>
      <c r="H13" s="2767" t="s">
        <v>2870</v>
      </c>
      <c r="I13" s="2767" t="s">
        <v>2870</v>
      </c>
      <c r="J13" s="2768" t="s">
        <v>2870</v>
      </c>
      <c r="K13" s="1369"/>
      <c r="L13" s="1369"/>
      <c r="M13" s="1369"/>
      <c r="N13" s="1369"/>
      <c r="O13" s="1369"/>
      <c r="P13" s="1369"/>
      <c r="Q13" s="1369"/>
      <c r="R13" s="1601">
        <v>12</v>
      </c>
      <c r="S13" s="1602"/>
      <c r="T13" s="1601" t="e">
        <f t="shared" si="0"/>
        <v>#DIV/0!</v>
      </c>
      <c r="U13" s="1602"/>
      <c r="V13" s="1601" t="e">
        <f t="shared" si="1"/>
        <v>#DIV/0!</v>
      </c>
      <c r="W13" s="3276"/>
      <c r="X13" s="1615"/>
      <c r="Y13" s="1612">
        <f>(-0.163*(Y12^2)-0.59*Y12+7617)*(10^(-4))/Y11</f>
        <v>0.8856976744186047</v>
      </c>
      <c r="Z13" s="1612">
        <f t="shared" ref="Z13:AJ13" si="5">(-0.163*(Z12^2)-0.59*Z12+7617)*(10^(-4))/Z11</f>
        <v>0.8856976744186047</v>
      </c>
      <c r="AA13" s="1612">
        <f t="shared" si="5"/>
        <v>0.8856976744186047</v>
      </c>
      <c r="AB13" s="1612">
        <f t="shared" si="5"/>
        <v>0.8856976744186047</v>
      </c>
      <c r="AC13" s="1612">
        <f t="shared" si="5"/>
        <v>0.8856976744186047</v>
      </c>
      <c r="AD13" s="1612">
        <f t="shared" si="5"/>
        <v>0.8856976744186047</v>
      </c>
      <c r="AE13" s="1612">
        <f t="shared" si="5"/>
        <v>0.8856976744186047</v>
      </c>
      <c r="AF13" s="1612">
        <f t="shared" si="5"/>
        <v>0.8856976744186047</v>
      </c>
      <c r="AG13" s="1612">
        <f t="shared" si="5"/>
        <v>0.8856976744186047</v>
      </c>
      <c r="AH13" s="1612">
        <f t="shared" si="5"/>
        <v>0.8856976744186047</v>
      </c>
      <c r="AI13" s="1612">
        <f t="shared" si="5"/>
        <v>0.8856976744186047</v>
      </c>
      <c r="AJ13" s="1612">
        <f t="shared" si="5"/>
        <v>0.8856976744186047</v>
      </c>
    </row>
    <row r="14" spans="1:36" ht="15">
      <c r="A14" s="3283"/>
      <c r="B14" s="2769"/>
      <c r="C14" s="2770"/>
      <c r="D14" s="2771"/>
      <c r="E14" s="2771"/>
      <c r="F14" s="2772"/>
      <c r="G14" s="2773" t="s">
        <v>2871</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4"/>
      <c r="B15" s="2777"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1" t="s">
        <v>2877</v>
      </c>
      <c r="B16" s="2746" t="s">
        <v>2878</v>
      </c>
      <c r="C16" s="2933" t="e">
        <f>ROUND(IF(F17="与级别开发程度一致",0,(G17-E17)/C17),0)</f>
        <v>#DIV/0!</v>
      </c>
      <c r="D16" s="3295" t="s">
        <v>2882</v>
      </c>
      <c r="E16" s="3296"/>
      <c r="F16" s="3295" t="s">
        <v>2879</v>
      </c>
      <c r="G16" s="3296"/>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944" t="s">
        <v>2881</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2884</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2885</v>
      </c>
      <c r="C19" s="923" t="e">
        <f>ROUND(IF(H19="按公示增长率计算",SUMPRODUCT((地价!A3:A28=YEAR(G19)&amp;"-"&amp;ROUNDUP(MONTH(G19)/3,0))*(地价!X2:AB2=E2)*(地价!X3:AB28)),IF(H19="地价指数",M20/M19,(1+I19)^O19)),4)</f>
        <v>#VALUE!</v>
      </c>
      <c r="D19" s="2790" t="s">
        <v>2886</v>
      </c>
      <c r="E19" s="924">
        <v>41640</v>
      </c>
      <c r="F19" s="2790" t="s">
        <v>2887</v>
      </c>
      <c r="G19" s="925">
        <f>'数据-取费表'!B2</f>
        <v>43764</v>
      </c>
      <c r="H19" s="2791"/>
      <c r="I19" s="926" t="str">
        <f>IF(H19="季度增幅（自定义）",SUMIF(N21:N24,E2,O21:O24),"")</f>
        <v/>
      </c>
      <c r="J19" s="2788"/>
      <c r="K19" s="1376"/>
      <c r="L19" s="2792" t="s">
        <v>2888</v>
      </c>
      <c r="M19" s="1733">
        <f>ROUND(SUMIF(地价!B2:F2,E2,地价!B28:F28),0)</f>
        <v>0</v>
      </c>
      <c r="N19" s="2793" t="s">
        <v>2889</v>
      </c>
      <c r="O19" s="927">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2890</v>
      </c>
      <c r="C20" s="928" t="e">
        <f>ROUND(POWER(1+G20,J20-I20)*(POWER(1+G20,I20)-1)/(POWER(1+G20,J20)-1),4)</f>
        <v>#DIV/0!</v>
      </c>
      <c r="D20" s="2799" t="s">
        <v>2891</v>
      </c>
      <c r="E20" s="1767">
        <f ca="1">存贷款利率!D4/100</f>
        <v>4.3499999999999997E-2</v>
      </c>
      <c r="F20" s="2799" t="s">
        <v>2883</v>
      </c>
      <c r="G20" s="933">
        <f>SUMIF(M26:P26,E2,M28:P28)</f>
        <v>0</v>
      </c>
      <c r="H20" s="2799" t="s">
        <v>2892</v>
      </c>
      <c r="I20" s="934" t="e">
        <f>SUMIF('数据-取费表'!C6:C15,E2,'数据-取费表'!F6:F15)/COUNTIF('数据-取费表'!C6:C15,E2)</f>
        <v>#DIV/0!</v>
      </c>
      <c r="J20" s="935">
        <f>IF(E2="住宅",70,IF(E2="商业",40,50))</f>
        <v>50</v>
      </c>
      <c r="K20" s="1376"/>
      <c r="L20" s="2800" t="s">
        <v>2893</v>
      </c>
      <c r="M20" s="1734">
        <f>ROUND(SUMPRODUCT((地价!A4:A28=YEAR(G19)&amp;"-"&amp;ROUNDUP(MONTH(G19)/3,0))*(地价!B2:F2=E2)*(地价!B4:F28)),0)</f>
        <v>0</v>
      </c>
      <c r="N20" s="2801" t="s">
        <v>2894</v>
      </c>
      <c r="O20" s="2802" t="s">
        <v>2895</v>
      </c>
      <c r="P20" s="2803" t="s">
        <v>2896</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2897</v>
      </c>
      <c r="C21" s="936">
        <f>IF(B21="容积率修正",IF(G3&lt;=10,D22,J22),C23)</f>
        <v>0</v>
      </c>
      <c r="D21" s="2806"/>
      <c r="E21" s="2806"/>
      <c r="F21" s="2806"/>
      <c r="G21" s="2806"/>
      <c r="H21" s="2806"/>
      <c r="I21" s="2806"/>
      <c r="J21" s="2807"/>
      <c r="K21" s="1376"/>
      <c r="N21" s="2808" t="s">
        <v>2898</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2899</v>
      </c>
      <c r="B22" s="2809" t="s">
        <v>2900</v>
      </c>
      <c r="C22" s="1809" t="s">
        <v>2901</v>
      </c>
      <c r="D22" s="1809">
        <f>IF(E22=G22,F22,IF(G3&lt;=10,ROUND(F22+(H22-F22)*(G3-E22)/(G22-E22),4),"——"))</f>
        <v>0</v>
      </c>
      <c r="E22" s="915">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2902</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2903</v>
      </c>
      <c r="B23" s="2810" t="s">
        <v>2904</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2905</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2906</v>
      </c>
      <c r="C24" s="923">
        <f>SUMIF(A45:A88,E2,B45:B88)</f>
        <v>0</v>
      </c>
      <c r="D24" s="2787"/>
      <c r="E24" s="2816"/>
      <c r="F24" s="2816"/>
      <c r="G24" s="2816"/>
      <c r="H24" s="2816"/>
      <c r="I24" s="2816"/>
      <c r="J24" s="2817"/>
      <c r="K24" s="1376"/>
      <c r="N24" s="2818" t="s">
        <v>2907</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2908</v>
      </c>
      <c r="C25" s="929"/>
      <c r="D25" s="2749"/>
      <c r="E25" s="2749"/>
      <c r="F25" s="2820"/>
      <c r="G25" s="2749"/>
      <c r="H25" s="2749"/>
      <c r="I25" s="2749"/>
      <c r="J25" s="2750"/>
      <c r="K25" s="1369"/>
      <c r="N25" s="2821" t="s">
        <v>2909</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2910</v>
      </c>
      <c r="C26" s="205" t="e">
        <f>E29+SUM(E33:E39)</f>
        <v>#DIV/0!</v>
      </c>
      <c r="D26" s="2823"/>
      <c r="E26" s="2774"/>
      <c r="F26" s="2824"/>
      <c r="G26" s="2774"/>
      <c r="H26" s="2774"/>
      <c r="I26" s="2774"/>
      <c r="J26" s="2825"/>
      <c r="K26" s="1369"/>
      <c r="L26" s="2778" t="s">
        <v>2808</v>
      </c>
      <c r="M26" s="919" t="s">
        <v>2873</v>
      </c>
      <c r="N26" s="919" t="s">
        <v>2874</v>
      </c>
      <c r="O26" s="919" t="s">
        <v>2875</v>
      </c>
      <c r="P26" s="2779" t="s">
        <v>2876</v>
      </c>
      <c r="R26" s="1375"/>
      <c r="S26" s="1375"/>
      <c r="T26" s="1370"/>
      <c r="U26" s="1370"/>
      <c r="V26" s="1370"/>
      <c r="W26" s="1369"/>
      <c r="X26" s="1369"/>
      <c r="Y26" s="1369"/>
      <c r="Z26" s="1376"/>
      <c r="AA26" s="1377"/>
      <c r="AB26" s="1377"/>
      <c r="AC26" s="1377"/>
      <c r="AD26" s="1377"/>
    </row>
    <row r="27" spans="1:37" ht="15.75" thickBot="1">
      <c r="A27" s="2822"/>
      <c r="B27" s="2826" t="s">
        <v>2911</v>
      </c>
      <c r="C27" s="930" t="e">
        <f>E30+SUM(I33:I39)</f>
        <v>#DIV/0!</v>
      </c>
      <c r="D27" s="2827"/>
      <c r="E27" s="2828"/>
      <c r="F27" s="2829"/>
      <c r="G27" s="2828"/>
      <c r="H27" s="2828"/>
      <c r="I27" s="2828"/>
      <c r="J27" s="2830"/>
      <c r="K27" s="1369"/>
      <c r="L27" s="2782"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2912</v>
      </c>
      <c r="C28" s="2833" t="s">
        <v>2913</v>
      </c>
      <c r="D28" s="2833" t="s">
        <v>2914</v>
      </c>
      <c r="E28" s="2834" t="s">
        <v>2915</v>
      </c>
      <c r="F28" s="2835"/>
      <c r="G28" s="2762"/>
      <c r="H28" s="2762"/>
      <c r="I28" s="2762"/>
      <c r="J28" s="2763"/>
      <c r="K28" s="1369"/>
      <c r="L28" s="2783"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2916</v>
      </c>
      <c r="C29" s="205" t="e">
        <f>ROUND(C5*C18*C19*C20*C21*C24,0)</f>
        <v>#DIV/0!</v>
      </c>
      <c r="D29" s="2838"/>
      <c r="E29" s="941" t="e">
        <f>ROUND(C29*D29/10000,0)</f>
        <v>#DIV/0!</v>
      </c>
      <c r="F29" s="2839" t="s">
        <v>2917</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2918</v>
      </c>
      <c r="C30" s="228" t="e">
        <f>ROUND(IF(E2="工业",C29*M39,C29*M38),0)</f>
        <v>#DIV/0!</v>
      </c>
      <c r="D30" s="2844"/>
      <c r="E30" s="941" t="e">
        <f>ROUND(C30*D30/10000,0)</f>
        <v>#DIV/0!</v>
      </c>
      <c r="F30" s="2845" t="s">
        <v>2919</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2913</v>
      </c>
      <c r="D32" s="497" t="s">
        <v>2914</v>
      </c>
      <c r="E32" s="497" t="s">
        <v>2915</v>
      </c>
      <c r="F32" s="387" t="s">
        <v>2923</v>
      </c>
      <c r="G32" s="2853" t="s">
        <v>2913</v>
      </c>
      <c r="H32" s="2853" t="s">
        <v>2914</v>
      </c>
      <c r="I32" s="2853" t="s">
        <v>2915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92" t="s">
        <v>2924</v>
      </c>
      <c r="B33" s="2854" t="s">
        <v>2925</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66" t="s">
        <v>2926</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66" t="s">
        <v>2927</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94"/>
      <c r="B36" s="2766" t="s">
        <v>2928</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2929</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2930</v>
      </c>
      <c r="M37" s="2858"/>
      <c r="N37" s="1369"/>
      <c r="O37" s="1369"/>
      <c r="P37" s="1369"/>
      <c r="Q37" s="1369"/>
      <c r="R37" s="1369"/>
      <c r="S37" s="1369"/>
      <c r="T37" s="1369"/>
      <c r="U37" s="1369"/>
      <c r="V37" s="1369"/>
      <c r="W37" s="1369"/>
      <c r="X37" s="1369"/>
      <c r="Y37" s="1369"/>
      <c r="Z37" s="1370"/>
    </row>
    <row r="38" spans="1:37">
      <c r="A38" s="2856"/>
      <c r="B38" s="2766" t="s">
        <v>2931</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2932</v>
      </c>
      <c r="M38" s="2859">
        <v>0.25</v>
      </c>
      <c r="N38" s="1369"/>
      <c r="O38" s="1369"/>
      <c r="P38" s="1369"/>
      <c r="Q38" s="1369"/>
      <c r="R38" s="1369"/>
      <c r="S38" s="1369"/>
      <c r="T38" s="1369"/>
      <c r="U38" s="1369"/>
      <c r="V38" s="1369"/>
      <c r="W38" s="1369"/>
      <c r="X38" s="1369"/>
      <c r="Y38" s="1369"/>
      <c r="Z38" s="1370"/>
    </row>
    <row r="39" spans="1:37" ht="13.5" thickBot="1">
      <c r="A39" s="2842"/>
      <c r="B39" s="2860" t="s">
        <v>2933</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2876</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3044</v>
      </c>
      <c r="C41" s="387" t="e">
        <f>ROUND(POWER(1+E41,H41-G41)*(POWER(1+E41,G41)-1)/(POWER(1+E41,H41)-1),4)</f>
        <v>#DIV/0!</v>
      </c>
      <c r="D41" s="199" t="s">
        <v>2883</v>
      </c>
      <c r="E41" s="2930">
        <f>G20</f>
        <v>0</v>
      </c>
      <c r="F41" s="199" t="s">
        <v>2892</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2934</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2935</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2936</v>
      </c>
      <c r="B47" s="1808" t="s">
        <v>2937</v>
      </c>
      <c r="C47" s="1808" t="s">
        <v>2938</v>
      </c>
      <c r="D47" s="1808" t="s">
        <v>2939</v>
      </c>
      <c r="E47" s="818" t="s">
        <v>2940</v>
      </c>
      <c r="F47" s="2872" t="s">
        <v>2941</v>
      </c>
      <c r="G47" s="1808" t="s">
        <v>754</v>
      </c>
      <c r="H47" s="2873"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71" t="s">
        <v>2944</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2945</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2946</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2947</v>
      </c>
      <c r="B51" s="2876" t="s">
        <v>2948</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2949</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2950</v>
      </c>
      <c r="B53" s="2877" t="s">
        <v>2951</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2952</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2953</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2954</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2955</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2936</v>
      </c>
      <c r="B58" s="1808"/>
      <c r="C58" s="1808" t="s">
        <v>2938</v>
      </c>
      <c r="D58" s="1808" t="s">
        <v>2939</v>
      </c>
      <c r="E58" s="818" t="s">
        <v>2940</v>
      </c>
      <c r="F58" s="2872" t="s">
        <v>2956</v>
      </c>
      <c r="G58" s="1808" t="s">
        <v>754</v>
      </c>
      <c r="H58" s="2873"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71" t="s">
        <v>2957</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2945</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2946</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2947</v>
      </c>
      <c r="B62" s="2876" t="s">
        <v>2948</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2949</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2950</v>
      </c>
      <c r="B64" s="2877" t="s">
        <v>2951</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2952</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2953</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2954</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2958</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2936</v>
      </c>
      <c r="B69" s="1808"/>
      <c r="C69" s="1808" t="s">
        <v>2938</v>
      </c>
      <c r="D69" s="1808" t="s">
        <v>2939</v>
      </c>
      <c r="E69" s="818" t="s">
        <v>2940</v>
      </c>
      <c r="F69" s="2872" t="s">
        <v>2956</v>
      </c>
      <c r="G69" s="1808" t="s">
        <v>754</v>
      </c>
      <c r="H69" s="2873"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71" t="s">
        <v>2959</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2945</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2946</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2960</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2952</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2953</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2950</v>
      </c>
      <c r="B76" s="2877" t="s">
        <v>2951</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2954</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2961</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2962</v>
      </c>
      <c r="B79" s="2868">
        <f>1+E81</f>
        <v>1</v>
      </c>
      <c r="C79" s="813"/>
      <c r="D79" s="813"/>
      <c r="E79" s="814"/>
      <c r="F79" s="2870"/>
      <c r="G79" s="6"/>
      <c r="H79" s="6"/>
      <c r="I79" s="6"/>
      <c r="J79" s="7"/>
      <c r="K79" s="7"/>
      <c r="L79" s="7"/>
      <c r="M79" s="7"/>
      <c r="N79" s="7"/>
      <c r="Z79" s="2721"/>
      <c r="AA79" s="2789"/>
      <c r="AG79" s="1371"/>
      <c r="AK79" s="2789"/>
    </row>
    <row r="80" spans="1:37" ht="24.75">
      <c r="A80" s="2871" t="s">
        <v>2936</v>
      </c>
      <c r="B80" s="1808"/>
      <c r="C80" s="1808" t="s">
        <v>2938</v>
      </c>
      <c r="D80" s="1808" t="s">
        <v>2939</v>
      </c>
      <c r="E80" s="818" t="s">
        <v>2940</v>
      </c>
      <c r="F80" s="2872" t="s">
        <v>2956</v>
      </c>
      <c r="G80" s="1808" t="s">
        <v>754</v>
      </c>
      <c r="H80" s="2873" t="s">
        <v>2942</v>
      </c>
      <c r="I80" s="1808" t="s">
        <v>2943</v>
      </c>
      <c r="J80" s="602" t="s">
        <v>2591</v>
      </c>
      <c r="K80" s="602" t="s">
        <v>2592</v>
      </c>
      <c r="L80" s="602" t="s">
        <v>2593</v>
      </c>
      <c r="M80" s="602" t="s">
        <v>2594</v>
      </c>
      <c r="N80" s="602" t="s">
        <v>2595</v>
      </c>
      <c r="Z80" s="2721"/>
      <c r="AA80" s="2789"/>
      <c r="AG80" s="1371"/>
      <c r="AK80" s="2789"/>
    </row>
    <row r="81" spans="1:37" ht="38.25">
      <c r="A81" s="2871" t="s">
        <v>2963</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2945</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2946</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2960</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2952</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2953</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2950</v>
      </c>
      <c r="B87" s="2877" t="s">
        <v>2964</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2965</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286" t="s">
        <v>2966</v>
      </c>
      <c r="B90" s="3286"/>
      <c r="C90" s="3286"/>
      <c r="D90" s="3286"/>
      <c r="E90" s="3286"/>
      <c r="F90" s="3286"/>
      <c r="G90" s="3286"/>
      <c r="H90" s="3286"/>
      <c r="I90" s="3286"/>
      <c r="J90" s="3286"/>
      <c r="K90" s="2885"/>
      <c r="L90" s="2885"/>
      <c r="M90" s="2885"/>
      <c r="N90" s="2885"/>
    </row>
    <row r="91" spans="1:37">
      <c r="A91" s="3288" t="s">
        <v>2967</v>
      </c>
      <c r="B91" s="3288" t="s">
        <v>2968</v>
      </c>
      <c r="C91" s="2839" t="s">
        <v>2969</v>
      </c>
      <c r="D91" s="2840"/>
      <c r="E91" s="2840"/>
      <c r="F91" s="2840"/>
      <c r="G91" s="2840"/>
      <c r="H91" s="2840"/>
      <c r="I91" s="2840"/>
      <c r="J91" s="2886"/>
      <c r="K91" s="2887"/>
      <c r="L91" s="2887"/>
      <c r="M91" s="2887"/>
      <c r="N91" s="2887"/>
    </row>
    <row r="92" spans="1:37">
      <c r="A92" s="3288"/>
      <c r="B92" s="3288"/>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9"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0"/>
      <c r="B99" s="2888" t="s">
        <v>2851</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9" t="s">
        <v>2971</v>
      </c>
      <c r="B101" s="2892" t="s">
        <v>2972</v>
      </c>
      <c r="C101" s="2893">
        <f>$G$3</f>
        <v>0.86</v>
      </c>
      <c r="D101" s="2893">
        <f t="shared" ref="D101:N101" si="31">$G$3</f>
        <v>0.86</v>
      </c>
      <c r="E101" s="2893">
        <f t="shared" si="31"/>
        <v>0.86</v>
      </c>
      <c r="F101" s="2893">
        <f t="shared" si="31"/>
        <v>0.86</v>
      </c>
      <c r="G101" s="2893">
        <f t="shared" si="31"/>
        <v>0.86</v>
      </c>
      <c r="H101" s="2893">
        <f t="shared" si="31"/>
        <v>0.86</v>
      </c>
      <c r="I101" s="2893">
        <f t="shared" si="31"/>
        <v>0.86</v>
      </c>
      <c r="J101" s="2893">
        <f t="shared" si="31"/>
        <v>0.86</v>
      </c>
      <c r="K101" s="2893">
        <f t="shared" si="31"/>
        <v>0.86</v>
      </c>
      <c r="L101" s="2893">
        <f t="shared" si="31"/>
        <v>0.86</v>
      </c>
      <c r="M101" s="2893">
        <f t="shared" si="31"/>
        <v>0.86</v>
      </c>
      <c r="N101" s="2893">
        <f t="shared" si="31"/>
        <v>0.86</v>
      </c>
    </row>
    <row r="102" spans="1:14">
      <c r="A102" s="3290"/>
      <c r="B102" s="2888">
        <v>1</v>
      </c>
      <c r="C102" s="2889">
        <f>1.9362/C101</f>
        <v>2.2513953488372094</v>
      </c>
      <c r="D102" s="2889">
        <f>1.9362/D101</f>
        <v>2.2513953488372094</v>
      </c>
      <c r="E102" s="2889">
        <f>1.8629/E101</f>
        <v>2.1661627906976744</v>
      </c>
      <c r="F102" s="2889">
        <f>1.8629/F101</f>
        <v>2.1661627906976744</v>
      </c>
      <c r="G102" s="2889">
        <f>1.8629/G101</f>
        <v>2.1661627906976744</v>
      </c>
      <c r="H102" s="2889">
        <f>1.8629/H101</f>
        <v>2.1661627906976744</v>
      </c>
      <c r="I102" s="2889">
        <f>1.8629/I101</f>
        <v>2.1661627906976744</v>
      </c>
      <c r="J102" s="2889">
        <f>1.942/J101</f>
        <v>2.2581395348837208</v>
      </c>
      <c r="K102" s="2889">
        <f>1.942/K101</f>
        <v>2.2581395348837208</v>
      </c>
      <c r="L102" s="2889">
        <f>1.942/L101</f>
        <v>2.2581395348837208</v>
      </c>
      <c r="M102" s="2889">
        <f>1.942/M101</f>
        <v>2.2581395348837208</v>
      </c>
      <c r="N102" s="2889">
        <f>1.942/N101</f>
        <v>2.2581395348837208</v>
      </c>
    </row>
    <row r="103" spans="1:14">
      <c r="A103" s="3290"/>
      <c r="B103" s="2888">
        <v>2</v>
      </c>
      <c r="C103" s="2889">
        <f>1.4198/C101</f>
        <v>1.6509302325581394</v>
      </c>
      <c r="D103" s="2889">
        <f>1.4198/D101</f>
        <v>1.6509302325581394</v>
      </c>
      <c r="E103" s="2889">
        <f>1.3372/E101</f>
        <v>1.5548837209302324</v>
      </c>
      <c r="F103" s="2889">
        <f>1.3372/F101</f>
        <v>1.5548837209302324</v>
      </c>
      <c r="G103" s="2889">
        <f>1.3372/G101</f>
        <v>1.5548837209302324</v>
      </c>
      <c r="H103" s="2889">
        <f>1.3372/H101</f>
        <v>1.5548837209302324</v>
      </c>
      <c r="I103" s="2889">
        <f>1.3372/I101</f>
        <v>1.5548837209302324</v>
      </c>
      <c r="J103" s="2889">
        <f>1.2799/J101</f>
        <v>1.4882558139534885</v>
      </c>
      <c r="K103" s="2889">
        <f>1.2799/K101</f>
        <v>1.4882558139534885</v>
      </c>
      <c r="L103" s="2889">
        <f>1.2799/L101</f>
        <v>1.4882558139534885</v>
      </c>
      <c r="M103" s="2889">
        <f>1.2799/M101</f>
        <v>1.4882558139534885</v>
      </c>
      <c r="N103" s="2889">
        <f>1.2799/N101</f>
        <v>1.4882558139534885</v>
      </c>
    </row>
    <row r="104" spans="1:14">
      <c r="A104" s="3290"/>
      <c r="B104" s="2888">
        <v>3</v>
      </c>
      <c r="C104" s="2889">
        <f>1.1594/C101</f>
        <v>1.3481395348837208</v>
      </c>
      <c r="D104" s="2889">
        <f>1.1594/D101</f>
        <v>1.3481395348837208</v>
      </c>
      <c r="E104" s="2889">
        <f>1.0788/E101</f>
        <v>1.2544186046511627</v>
      </c>
      <c r="F104" s="2889">
        <f>1.0788/F101</f>
        <v>1.2544186046511627</v>
      </c>
      <c r="G104" s="2889">
        <f>1.0788/G101</f>
        <v>1.2544186046511627</v>
      </c>
      <c r="H104" s="2889">
        <f>1.0788/H101</f>
        <v>1.2544186046511627</v>
      </c>
      <c r="I104" s="2889">
        <f>1.0788/I101</f>
        <v>1.2544186046511627</v>
      </c>
      <c r="J104" s="2889">
        <f>1.0072/J101</f>
        <v>1.1711627906976745</v>
      </c>
      <c r="K104" s="2889">
        <f>1.0072/K101</f>
        <v>1.1711627906976745</v>
      </c>
      <c r="L104" s="2889">
        <f>1.0072/L101</f>
        <v>1.1711627906976745</v>
      </c>
      <c r="M104" s="2889">
        <f>1.0072/M101</f>
        <v>1.1711627906976745</v>
      </c>
      <c r="N104" s="2889">
        <f>1.0072/N101</f>
        <v>1.1711627906976745</v>
      </c>
    </row>
    <row r="105" spans="1:14">
      <c r="A105" s="3290"/>
      <c r="B105" s="2888">
        <v>4</v>
      </c>
      <c r="C105" s="2889">
        <f>0.9622/C101</f>
        <v>1.1188372093023256</v>
      </c>
      <c r="D105" s="2889">
        <f>0.9622/D101</f>
        <v>1.1188372093023256</v>
      </c>
      <c r="E105" s="2889">
        <f>0.8656/E101</f>
        <v>1.0065116279069768</v>
      </c>
      <c r="F105" s="2889">
        <f>0.8656/F101</f>
        <v>1.0065116279069768</v>
      </c>
      <c r="G105" s="2889">
        <f>0.8656/G101</f>
        <v>1.0065116279069768</v>
      </c>
      <c r="H105" s="2889">
        <f>0.8656/H101</f>
        <v>1.0065116279069768</v>
      </c>
      <c r="I105" s="2889">
        <f>0.8656/I101</f>
        <v>1.0065116279069768</v>
      </c>
      <c r="J105" s="2889">
        <f>0.7525/J101</f>
        <v>0.875</v>
      </c>
      <c r="K105" s="2889">
        <f>0.7525/K101</f>
        <v>0.875</v>
      </c>
      <c r="L105" s="2889">
        <f>0.7525/L101</f>
        <v>0.875</v>
      </c>
      <c r="M105" s="2889">
        <f>0.7525/M101</f>
        <v>0.875</v>
      </c>
      <c r="N105" s="2889">
        <f>0.7525/N101</f>
        <v>0.875</v>
      </c>
    </row>
    <row r="106" spans="1:14">
      <c r="A106" s="3290"/>
      <c r="B106" s="2888">
        <v>5</v>
      </c>
      <c r="C106" s="2889">
        <f>0.8417/C101</f>
        <v>0.97872093023255813</v>
      </c>
      <c r="D106" s="2889">
        <f>0.8417/D101</f>
        <v>0.97872093023255813</v>
      </c>
      <c r="E106" s="2889">
        <f>0.7371/E101</f>
        <v>0.85709302325581394</v>
      </c>
      <c r="F106" s="2889">
        <f>0.7371/F101</f>
        <v>0.85709302325581394</v>
      </c>
      <c r="G106" s="2889">
        <f>0.7371/G101</f>
        <v>0.85709302325581394</v>
      </c>
      <c r="H106" s="2889">
        <f>0.7371/H101</f>
        <v>0.85709302325581394</v>
      </c>
      <c r="I106" s="2889">
        <f>0.7371/I101</f>
        <v>0.85709302325581394</v>
      </c>
      <c r="J106" s="2889">
        <f>0.5659/J101</f>
        <v>0.65802325581395349</v>
      </c>
      <c r="K106" s="2889">
        <f>0.5659/K101</f>
        <v>0.65802325581395349</v>
      </c>
      <c r="L106" s="2889">
        <f>0.5659/L101</f>
        <v>0.65802325581395349</v>
      </c>
      <c r="M106" s="2889">
        <f>0.5659/M101</f>
        <v>0.65802325581395349</v>
      </c>
      <c r="N106" s="2889">
        <f>0.5659/N101</f>
        <v>0.65802325581395349</v>
      </c>
    </row>
    <row r="107" spans="1:14">
      <c r="A107" s="3290"/>
      <c r="B107" s="2888">
        <v>6</v>
      </c>
      <c r="C107" s="2889">
        <f>0.7608/C101</f>
        <v>0.88465116279069778</v>
      </c>
      <c r="D107" s="2889">
        <f>0.7608/D101</f>
        <v>0.88465116279069778</v>
      </c>
      <c r="E107" s="2889">
        <f>0.6482/E101</f>
        <v>0.75372093023255815</v>
      </c>
      <c r="F107" s="2889">
        <f>0.6482/F101</f>
        <v>0.75372093023255815</v>
      </c>
      <c r="G107" s="2889">
        <f>0.6482/G101</f>
        <v>0.75372093023255815</v>
      </c>
      <c r="H107" s="2889">
        <f>0.6482/H101</f>
        <v>0.75372093023255815</v>
      </c>
      <c r="I107" s="2889">
        <f>0.6482/I101</f>
        <v>0.75372093023255815</v>
      </c>
      <c r="J107" s="2889">
        <f>0.4525/J101</f>
        <v>0.52616279069767447</v>
      </c>
      <c r="K107" s="2889">
        <f>0.4525/K101</f>
        <v>0.52616279069767447</v>
      </c>
      <c r="L107" s="2889">
        <f>0.4525/L101</f>
        <v>0.52616279069767447</v>
      </c>
      <c r="M107" s="2889">
        <f>0.4525/M101</f>
        <v>0.52616279069767447</v>
      </c>
      <c r="N107" s="2889">
        <f>0.4525/N101</f>
        <v>0.52616279069767447</v>
      </c>
    </row>
    <row r="108" spans="1:14">
      <c r="A108" s="3290"/>
      <c r="B108" s="3147"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1"/>
      <c r="B109" s="3148"/>
      <c r="C109" s="2891">
        <f>(-0.163*(C108^2)-0.59*C108+7617)*(10^(-4))/C101</f>
        <v>0.8856976744186047</v>
      </c>
      <c r="D109" s="2891">
        <f>(-0.163*(D108^2)-0.59*D108+7617)*(10^(-4))/D101</f>
        <v>0.8856976744186047</v>
      </c>
      <c r="E109" s="2891">
        <f>(-0.161*(E108^2)-7.509*E108+6533)*(10^(-4))/E101</f>
        <v>0.75965116279069766</v>
      </c>
      <c r="F109" s="2891">
        <f>(-0.161*(F108^2)-7.509*F108+6533)*(10^(-4))/F101</f>
        <v>0.75965116279069766</v>
      </c>
      <c r="G109" s="2891">
        <f>(-0.161*(G108^2)-7.509*G108+6533)*(10^(-4))/G101</f>
        <v>0.75965116279069766</v>
      </c>
      <c r="H109" s="2891">
        <f>(-0.161*(H108^2)-7.509*H108+6533)*(10^(-4))/H101</f>
        <v>0.75965116279069766</v>
      </c>
      <c r="I109" s="2891">
        <f>(-0.161*(I108^2)-7.509*I108+6533)*(10^(-4))/I101</f>
        <v>0.75965116279069766</v>
      </c>
      <c r="J109" s="2891">
        <f>(-0.214*(J108^2)-21.991*J108+4665)*(10^(-4))/J101</f>
        <v>0.54244186046511633</v>
      </c>
      <c r="K109" s="2891">
        <f>(-0.214*(K108^2)-21.991*K108+4665)*(10^(-4))/K101</f>
        <v>0.54244186046511633</v>
      </c>
      <c r="L109" s="2891">
        <f>(-0.214*(L108^2)-21.991*L108+4665)*(10^(-4))/L101</f>
        <v>0.54244186046511633</v>
      </c>
      <c r="M109" s="2891">
        <f>(-0.214*(M108^2)-21.991*M108+4665)*(10^(-4))/M101</f>
        <v>0.54244186046511633</v>
      </c>
      <c r="N109" s="2891">
        <f>(-0.214*(N108^2)-21.991*N108+4665)*(10^(-4))/N101</f>
        <v>0.54244186046511633</v>
      </c>
    </row>
    <row r="110" spans="1:14">
      <c r="A110" s="3287" t="s">
        <v>2974</v>
      </c>
      <c r="B110" s="3287"/>
      <c r="C110" s="3287"/>
      <c r="D110" s="3287"/>
      <c r="E110" s="3287"/>
      <c r="F110" s="3287"/>
      <c r="G110" s="3287"/>
      <c r="H110" s="3287"/>
      <c r="I110" s="3287"/>
      <c r="J110" s="3287"/>
      <c r="K110" s="2894"/>
      <c r="L110" s="2894"/>
      <c r="M110" s="2894"/>
      <c r="N110" s="2894"/>
    </row>
    <row r="112" spans="1:14" ht="13.5" thickBot="1"/>
    <row r="113" spans="1:13" ht="25.5" thickBot="1">
      <c r="A113" s="902" t="s">
        <v>2975</v>
      </c>
      <c r="B113" s="1286">
        <f>G3</f>
        <v>0.86</v>
      </c>
      <c r="C113" s="903" t="s">
        <v>2976</v>
      </c>
      <c r="D113" s="904">
        <f>SUMPRODUCT((A115:A118=F113)*(B114:M114=H113)*B115:M118)</f>
        <v>0</v>
      </c>
      <c r="E113" s="2725" t="s">
        <v>2808</v>
      </c>
      <c r="F113" s="2896">
        <f>E2</f>
        <v>0</v>
      </c>
      <c r="G113" s="2725" t="s">
        <v>2809</v>
      </c>
      <c r="H113" s="2896">
        <f>G2</f>
        <v>0</v>
      </c>
      <c r="I113" s="2725"/>
      <c r="J113" s="2897"/>
      <c r="K113" s="2897"/>
      <c r="L113" s="2897"/>
      <c r="M113" s="2897"/>
    </row>
    <row r="114" spans="1:13">
      <c r="A114" s="907"/>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8" t="s">
        <v>2873</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2874</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2875</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3" t="s">
        <v>2876</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1625</v>
      </c>
      <c r="C4" s="2984"/>
      <c r="D4" s="2984"/>
      <c r="E4" s="1959"/>
    </row>
    <row r="5" spans="1:5" ht="16.5" thickTop="1">
      <c r="A5" s="1957"/>
      <c r="B5" s="2982" t="s">
        <v>1617</v>
      </c>
      <c r="C5" s="1960" t="s">
        <v>1618</v>
      </c>
      <c r="D5" s="1039">
        <f ca="1">结果表!H101</f>
        <v>12978</v>
      </c>
      <c r="E5" s="1957"/>
    </row>
    <row r="6" spans="1:5" ht="15.75">
      <c r="A6" s="1957"/>
      <c r="B6" s="2982"/>
      <c r="C6" s="1960" t="s">
        <v>1619</v>
      </c>
      <c r="D6" s="1039" t="str">
        <f ca="1">NUMBERSTRING(INT(D5*10000),2)&amp;"元整"</f>
        <v>壹亿贰仟玖佰柒拾捌万元整</v>
      </c>
      <c r="E6" s="1957"/>
    </row>
    <row r="7" spans="1:5" ht="15.75">
      <c r="A7" s="1957"/>
      <c r="B7" s="2987"/>
      <c r="C7" s="1961" t="s">
        <v>1620</v>
      </c>
      <c r="D7" s="1040">
        <f ca="1">结果表!H102</f>
        <v>11016</v>
      </c>
      <c r="E7" s="1957"/>
    </row>
    <row r="8" spans="1:5" ht="15.75">
      <c r="A8" s="1957"/>
      <c r="B8" s="2988" t="str">
        <f>结果表!E103</f>
        <v>2.估价师知悉的法定优先受偿款</v>
      </c>
      <c r="C8" s="1962" t="s">
        <v>1621</v>
      </c>
      <c r="D8" s="1040">
        <f>结果表!H103</f>
        <v>0</v>
      </c>
      <c r="E8" s="1957"/>
    </row>
    <row r="9" spans="1:5" ht="15.75">
      <c r="A9" s="1957"/>
      <c r="B9" s="2990"/>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81" t="str">
        <f>结果表!E107</f>
        <v>3.房地产抵押价值</v>
      </c>
      <c r="C13" s="1965" t="s">
        <v>1618</v>
      </c>
      <c r="D13" s="1042">
        <f ca="1">结果表!H107</f>
        <v>12978</v>
      </c>
      <c r="E13" s="1957"/>
    </row>
    <row r="14" spans="1:5" ht="15.75">
      <c r="A14" s="1957"/>
      <c r="B14" s="2982"/>
      <c r="C14" s="1960" t="s">
        <v>1619</v>
      </c>
      <c r="D14" s="1039" t="str">
        <f ca="1">NUMBERSTRING(INT(D13*10000),2)&amp;"元整"</f>
        <v>壹亿贰仟玖佰柒拾捌万元整</v>
      </c>
      <c r="E14" s="1957"/>
    </row>
    <row r="15" spans="1:5" ht="15">
      <c r="A15" s="1957"/>
      <c r="B15" s="2987"/>
      <c r="C15" s="1961" t="s">
        <v>1629</v>
      </c>
      <c r="D15" s="1051">
        <f ca="1">结果表!H108</f>
        <v>11016</v>
      </c>
      <c r="E15" s="1957"/>
    </row>
    <row r="16" spans="1:5" ht="15">
      <c r="A16" s="1957"/>
      <c r="B16" s="2988" t="str">
        <f>结果表!E109</f>
        <v>——</v>
      </c>
      <c r="C16" s="1965" t="s">
        <v>1630</v>
      </c>
      <c r="D16" s="1966" t="str">
        <f>结果表!H109</f>
        <v>——</v>
      </c>
      <c r="E16" s="1957"/>
    </row>
    <row r="17" spans="1:5" ht="15.75">
      <c r="A17" s="1957"/>
      <c r="B17" s="2989"/>
      <c r="C17" s="1960" t="s">
        <v>1631</v>
      </c>
      <c r="D17" s="1039" t="e">
        <f>NUMBERSTRING(INT(D16*10000),2)&amp;"元整"</f>
        <v>#VALUE!</v>
      </c>
      <c r="E17" s="1957"/>
    </row>
    <row r="18" spans="1:5" ht="15">
      <c r="A18" s="1957"/>
      <c r="B18" s="2990"/>
      <c r="C18" s="1961" t="s">
        <v>1620</v>
      </c>
      <c r="D18" s="1051" t="str">
        <f>结果表!H110</f>
        <v>——</v>
      </c>
      <c r="E18" s="1957"/>
    </row>
    <row r="19" spans="1:5" ht="15.75">
      <c r="A19" s="1957"/>
      <c r="B19" s="2981" t="str">
        <f>结果表!E111</f>
        <v>——</v>
      </c>
      <c r="C19" s="1965" t="s">
        <v>1618</v>
      </c>
      <c r="D19" s="1040" t="str">
        <f>结果表!H111</f>
        <v>——</v>
      </c>
      <c r="E19" s="1957"/>
    </row>
    <row r="20" spans="1:5" ht="15.75">
      <c r="A20" s="1957"/>
      <c r="B20" s="2982"/>
      <c r="C20" s="1960" t="s">
        <v>1631</v>
      </c>
      <c r="D20" s="1039" t="e">
        <f>NUMBERSTRING(INT(D19*10000),2)&amp;"元整"</f>
        <v>#VALUE!</v>
      </c>
      <c r="E20" s="1957"/>
    </row>
    <row r="21" spans="1:5" ht="15.75" thickBot="1">
      <c r="A21" s="1957"/>
      <c r="B21" s="2983"/>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t="e">
        <f ca="1">SUMIF(B6:B13,"&lt;&gt;#ref!",B6:B13)</f>
        <v>#DIV/0!</v>
      </c>
      <c r="C2" s="2903" t="s">
        <v>2990</v>
      </c>
      <c r="D2" s="2903" t="s">
        <v>2991</v>
      </c>
      <c r="E2" s="2904">
        <f ca="1">SUMIF(E6:E13,"&lt;&gt;#ref!",E6:E13)</f>
        <v>0</v>
      </c>
    </row>
    <row r="3" spans="1:5" ht="15.75">
      <c r="A3" s="2903" t="s">
        <v>2992</v>
      </c>
      <c r="B3" s="2904" t="e">
        <f ca="1">ROUND(B2*10000/E2,0)</f>
        <v>#DIV/0!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t="e">
        <f ca="1">SUMIF(INDIRECT("'"&amp;A6&amp;"'"&amp;"!A:A"),"总价",INDIRECT("'"&amp;A6&amp;"'"&amp;"!B:B"))</f>
        <v>#DIV/0!</v>
      </c>
      <c r="C6" s="2903" t="s">
        <v>2990</v>
      </c>
      <c r="D6" s="2905"/>
      <c r="E6" s="2576">
        <f ca="1">SUMIF(INDIRECT("'"&amp;A6&amp;"'"&amp;"!C:C"),"建筑面积",INDIRECT("'"&amp;A6&amp;"'"&amp;"!D:D"))</f>
        <v>0</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3032</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3033</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3047</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3045</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3048</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99">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3039</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99"/>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3038</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99"/>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3031</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08"/>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3028</v>
      </c>
      <c r="B13" s="1468">
        <v>439</v>
      </c>
      <c r="C13" s="1468">
        <v>327</v>
      </c>
      <c r="D13" s="1468">
        <f>C13</f>
        <v>327</v>
      </c>
      <c r="E13" s="1468">
        <v>627</v>
      </c>
      <c r="F13" s="1469">
        <v>283</v>
      </c>
      <c r="G13" s="3304">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3029</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99"/>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99"/>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08"/>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04">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99"/>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99"/>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00"/>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98">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99"/>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99"/>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00"/>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98">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99"/>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99"/>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00"/>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05">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6"/>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06"/>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07"/>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98">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99"/>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99"/>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00"/>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98">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99">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99">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00">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98">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99">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99">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00">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98">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99">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99">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00">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98">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99">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99">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00">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98">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99">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99">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00">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98">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99">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99">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00">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98">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99">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99">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00">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98">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99">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99">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00">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98">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99">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99">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00">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98">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99">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99">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00">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2999</v>
      </c>
      <c r="C1" s="3310" t="s">
        <v>3000</v>
      </c>
      <c r="D1" s="3311"/>
      <c r="E1" s="3311"/>
      <c r="F1" s="3311"/>
      <c r="G1" s="3311"/>
      <c r="H1" s="3311"/>
      <c r="I1" s="3311"/>
      <c r="J1" s="3311"/>
      <c r="K1" s="3311"/>
      <c r="L1" s="3311"/>
      <c r="M1" s="3311"/>
      <c r="N1" s="3311"/>
      <c r="O1" s="3311"/>
      <c r="P1" s="3311"/>
      <c r="Q1" s="3311"/>
      <c r="R1" s="3311"/>
      <c r="S1" s="3312"/>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3009</v>
      </c>
      <c r="B17" s="2910"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3011</v>
      </c>
      <c r="E19" s="1791"/>
      <c r="F19" s="1791"/>
      <c r="G19" s="1791"/>
      <c r="H19" s="1279"/>
      <c r="I19" s="167"/>
      <c r="J19" s="167"/>
      <c r="K19" s="167"/>
      <c r="L19" s="167"/>
      <c r="M19" s="167"/>
      <c r="N19" s="167"/>
      <c r="O19" s="167"/>
      <c r="P19" s="167"/>
      <c r="Q19" s="167"/>
      <c r="R19" s="787"/>
      <c r="S19" s="137"/>
    </row>
    <row r="20" spans="1:45" ht="16.5" thickBot="1">
      <c r="A20" s="714" t="s">
        <v>3012</v>
      </c>
      <c r="B20" s="337" t="e">
        <f ca="1">IF(D20="——",S22,S22-F20)</f>
        <v>#REF!</v>
      </c>
      <c r="C20" s="167"/>
      <c r="D20" s="2912" t="s">
        <v>3013</v>
      </c>
      <c r="E20" s="1792"/>
      <c r="F20" s="1203" t="e">
        <f ca="1">SUMIF(INDIRECT("'"&amp;H20&amp;"'"&amp;"!A:A"),"承租人权益价值",INDIRECT("'"&amp;H20&amp;"'"&amp;"!c:c"))</f>
        <v>#REF!</v>
      </c>
      <c r="G20" s="1203" t="s">
        <v>3014</v>
      </c>
      <c r="H20" s="2913"/>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169" t="s">
        <v>33</v>
      </c>
      <c r="D22" s="3170"/>
      <c r="E22" s="3170"/>
      <c r="F22" s="3170"/>
      <c r="G22" s="3170"/>
      <c r="H22" s="3170"/>
      <c r="I22" s="3170"/>
      <c r="J22" s="3170"/>
      <c r="K22" s="3170"/>
      <c r="L22" s="3170"/>
      <c r="M22" s="3170"/>
      <c r="N22" s="3170"/>
      <c r="O22" s="3170"/>
      <c r="P22" s="3170"/>
      <c r="Q22" s="3309"/>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24921</v>
      </c>
      <c r="C2" s="2" t="s">
        <v>133</v>
      </c>
      <c r="D2" s="242"/>
      <c r="E2" s="242"/>
      <c r="F2" s="242"/>
      <c r="G2" s="242"/>
    </row>
    <row r="3" spans="1:7" s="243" customFormat="1" ht="18" customHeight="1" thickBot="1">
      <c r="A3" s="246" t="s">
        <v>85</v>
      </c>
      <c r="B3" s="247">
        <f ca="1">ROUND(B2*10000/'数据-汇总表'!E3,0)</f>
        <v>21154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233</v>
      </c>
      <c r="D9" s="1031">
        <f>'数据-汇总表'!E5</f>
        <v>10595.869999999999</v>
      </c>
      <c r="E9" s="268">
        <f>'数据-取费表'!B27</f>
        <v>220</v>
      </c>
      <c r="F9" s="264"/>
      <c r="G9" s="269"/>
    </row>
    <row r="10" spans="1:7" s="257" customFormat="1" ht="13.5" customHeight="1">
      <c r="A10" s="949" t="s">
        <v>801</v>
      </c>
      <c r="B10" s="267" t="s">
        <v>94</v>
      </c>
      <c r="C10" s="268">
        <f>ROUND(D10*E10/10000,0)</f>
        <v>26</v>
      </c>
      <c r="D10" s="1031">
        <f>'数据-汇总表'!E6</f>
        <v>1185.130000000001</v>
      </c>
      <c r="E10" s="268">
        <f>'数据-取费表'!B28</f>
        <v>220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118</v>
      </c>
      <c r="D19" s="1035">
        <f>'数据-汇总表'!E3</f>
        <v>11781</v>
      </c>
      <c r="E19" s="254">
        <f>'数据-取费表'!B31</f>
        <v>100</v>
      </c>
      <c r="F19" s="274"/>
      <c r="G19" s="1" t="s">
        <v>1071</v>
      </c>
    </row>
    <row r="20" spans="1:7" s="257" customFormat="1" ht="13.5" customHeight="1">
      <c r="A20" s="947" t="s">
        <v>1054</v>
      </c>
      <c r="B20" s="253" t="s">
        <v>104</v>
      </c>
      <c r="C20" s="275">
        <f>ROUND((C5+C19)*F20,0)</f>
        <v>415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195</v>
      </c>
      <c r="D22" s="278">
        <f ca="1">C26</f>
        <v>1E-4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192</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v>
      </c>
      <c r="D25" s="281"/>
      <c r="E25" s="284"/>
      <c r="F25" s="282"/>
      <c r="G25" s="285" t="s">
        <v>110</v>
      </c>
    </row>
    <row r="26" spans="1:7" s="257" customFormat="1">
      <c r="A26" s="950" t="s">
        <v>795</v>
      </c>
      <c r="B26" s="258" t="s">
        <v>1057</v>
      </c>
      <c r="C26" s="281">
        <f ca="1">ROUND(IF('数据-取费表'!B22&lt;=1,F21*F22*'数据-取费表'!B23/2,F21*(POWER((1+F22),'数据-取费表'!B23/2)-1)),4)</f>
        <v>1E-4</v>
      </c>
      <c r="D26" s="281"/>
      <c r="E26" s="284"/>
      <c r="F26" s="282"/>
      <c r="G26" s="286"/>
    </row>
    <row r="27" spans="1:7" s="257" customFormat="1" ht="24.75">
      <c r="A27" s="947" t="s">
        <v>787</v>
      </c>
      <c r="B27" s="287" t="s">
        <v>112</v>
      </c>
      <c r="C27" s="288">
        <f>C28</f>
        <v>994</v>
      </c>
      <c r="D27" s="278">
        <f>C29</f>
        <v>8.9999999999999998E-4</v>
      </c>
      <c r="E27" s="279" t="s">
        <v>126</v>
      </c>
      <c r="F27" s="289">
        <f>'数据-取费表'!Q16</f>
        <v>0.47</v>
      </c>
      <c r="G27" s="290" t="s">
        <v>1066</v>
      </c>
    </row>
    <row r="28" spans="1:7" s="257" customFormat="1" ht="13.5" customHeight="1">
      <c r="A28" s="950" t="s">
        <v>794</v>
      </c>
      <c r="B28" s="291" t="s">
        <v>1059</v>
      </c>
      <c r="C28" s="292">
        <f>ROUND((C5+C19+C20)*F27*'数据-取费表'!B21/'数据-取费表'!B20,0)</f>
        <v>994</v>
      </c>
      <c r="D28" s="278"/>
      <c r="E28" s="279"/>
      <c r="F28" s="289"/>
      <c r="G28" s="290"/>
    </row>
    <row r="29" spans="1:7" s="257" customFormat="1" ht="13.5" customHeight="1">
      <c r="A29" s="950" t="s">
        <v>792</v>
      </c>
      <c r="B29" s="291" t="s">
        <v>1060</v>
      </c>
      <c r="C29" s="281">
        <f>ROUND(C21*F27*'数据-取费表'!B21/'数据-取费表'!B20,4)</f>
        <v>8.9999999999999998E-4</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24125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485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414</v>
      </c>
      <c r="D34" s="260"/>
      <c r="E34" s="263"/>
      <c r="F34" s="300">
        <f>IF('数据-取费表'!B24=0,1,'数据-取费表'!N16)</f>
        <v>0.113</v>
      </c>
      <c r="G34" s="262" t="s">
        <v>116</v>
      </c>
    </row>
    <row r="35" spans="1:7" ht="13.5" customHeight="1">
      <c r="A35" s="950" t="s">
        <v>796</v>
      </c>
      <c r="B35" s="258" t="s">
        <v>60</v>
      </c>
      <c r="C35" s="263">
        <f>ROUND(C34*F35,0)</f>
        <v>17</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21</v>
      </c>
      <c r="D36" s="263"/>
      <c r="E36" s="263"/>
      <c r="F36" s="302">
        <f>'数据-取费表'!B34</f>
        <v>0.05</v>
      </c>
      <c r="G36" s="303" t="s">
        <v>62</v>
      </c>
    </row>
    <row r="37" spans="1:7" s="301" customFormat="1" ht="13.5" customHeight="1">
      <c r="A37" s="950" t="s">
        <v>798</v>
      </c>
      <c r="B37" s="258" t="s">
        <v>118</v>
      </c>
      <c r="C37" s="292">
        <f>ROUND(E37*D37*F34/10000,0)</f>
        <v>27</v>
      </c>
      <c r="D37" s="260">
        <f>'数据-汇总表'!E3</f>
        <v>11781</v>
      </c>
      <c r="E37" s="292">
        <f>'数据-取费表'!B35</f>
        <v>200</v>
      </c>
      <c r="F37" s="302"/>
      <c r="G37" s="304" t="s">
        <v>119</v>
      </c>
    </row>
    <row r="38" spans="1:7" ht="13.5" customHeight="1">
      <c r="A38" s="950" t="s">
        <v>799</v>
      </c>
      <c r="B38" s="258" t="s">
        <v>63</v>
      </c>
      <c r="C38" s="263">
        <f>ROUND(C34*F38,0)</f>
        <v>6</v>
      </c>
      <c r="D38" s="263"/>
      <c r="E38" s="263"/>
      <c r="F38" s="302">
        <f>'数据-取费表'!B36</f>
        <v>1.4999999999999999E-2</v>
      </c>
      <c r="G38" s="262" t="s">
        <v>117</v>
      </c>
    </row>
    <row r="39" spans="1:7" s="257" customFormat="1" ht="13.5" customHeight="1">
      <c r="A39" s="947" t="s">
        <v>783</v>
      </c>
      <c r="B39" s="253" t="s">
        <v>104</v>
      </c>
      <c r="C39" s="275">
        <f>ROUND(C33*F20,0)</f>
        <v>10</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v>
      </c>
      <c r="D42" s="281"/>
      <c r="E42" s="281"/>
      <c r="F42" s="282"/>
      <c r="G42" s="3174" t="s">
        <v>121</v>
      </c>
    </row>
    <row r="43" spans="1:7" ht="13.5" customHeight="1">
      <c r="A43" s="950" t="s">
        <v>792</v>
      </c>
      <c r="B43" s="258" t="s">
        <v>1061</v>
      </c>
      <c r="C43" s="281">
        <f ca="1">ROUND(IF('数据-取费表'!B22&lt;=1,C39*F22*'数据-取费表'!B21/2,C39*(POWER((1+F22),'数据-取费表'!B21/2)-1)),0)</f>
        <v>0</v>
      </c>
      <c r="D43" s="281"/>
      <c r="E43" s="281"/>
      <c r="F43" s="282"/>
      <c r="G43" s="3175"/>
    </row>
    <row r="44" spans="1:7" ht="13.5" customHeight="1">
      <c r="A44" s="950" t="s">
        <v>793</v>
      </c>
      <c r="B44" s="258" t="s">
        <v>1063</v>
      </c>
      <c r="C44" s="281">
        <f ca="1">ROUND(IF('数据-取费表'!B22&lt;=1,C40*F22*'数据-取费表'!B21/2,C40*(POWER((1+F22),'数据-取费表'!B21/2)-1)),4)</f>
        <v>1E-4</v>
      </c>
      <c r="D44" s="281"/>
      <c r="E44" s="281"/>
      <c r="F44" s="282"/>
      <c r="G44" s="3176"/>
    </row>
    <row r="45" spans="1:7" s="257" customFormat="1" ht="13.5" customHeight="1">
      <c r="A45" s="947" t="s">
        <v>786</v>
      </c>
      <c r="B45" s="287" t="s">
        <v>112</v>
      </c>
      <c r="C45" s="288">
        <f>C46</f>
        <v>233</v>
      </c>
      <c r="D45" s="278">
        <f>C47</f>
        <v>9.4000000000000004E-3</v>
      </c>
      <c r="E45" s="279" t="s">
        <v>129</v>
      </c>
      <c r="F45" s="289"/>
      <c r="G45" s="290" t="s">
        <v>1069</v>
      </c>
    </row>
    <row r="46" spans="1:7" s="257" customFormat="1" ht="13.5" customHeight="1">
      <c r="A46" s="950" t="s">
        <v>794</v>
      </c>
      <c r="B46" s="291" t="s">
        <v>1062</v>
      </c>
      <c r="C46" s="292">
        <f>ROUND((C33+C39)*F27,0)</f>
        <v>233</v>
      </c>
      <c r="D46" s="306"/>
      <c r="E46" s="279"/>
      <c r="F46" s="289"/>
      <c r="G46" s="290"/>
    </row>
    <row r="47" spans="1:7" s="257" customFormat="1" ht="13.5" customHeight="1">
      <c r="A47" s="950" t="s">
        <v>792</v>
      </c>
      <c r="B47" s="291" t="s">
        <v>1064</v>
      </c>
      <c r="C47" s="281">
        <f>ROUND(C40*F27,4)</f>
        <v>9.4000000000000004E-3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796</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796</v>
      </c>
      <c r="D51" s="275"/>
      <c r="E51" s="275"/>
      <c r="F51" s="307"/>
      <c r="G51" s="277" t="s">
        <v>64</v>
      </c>
    </row>
    <row r="52" spans="1:7" s="251" customFormat="1" ht="16.5" thickBot="1">
      <c r="A52" s="308" t="s">
        <v>65</v>
      </c>
      <c r="B52" s="309"/>
      <c r="C52" s="310">
        <f ca="1">C31+C51</f>
        <v>24921</v>
      </c>
      <c r="D52" s="309"/>
      <c r="E52" s="309"/>
      <c r="F52" s="309"/>
      <c r="G52" s="311"/>
    </row>
    <row r="55" spans="1:7" ht="15">
      <c r="B55" s="313" t="s">
        <v>66</v>
      </c>
      <c r="C55" s="314"/>
    </row>
    <row r="56" spans="1:7">
      <c r="B56" s="316" t="s">
        <v>67</v>
      </c>
      <c r="C56" s="317">
        <f ca="1">ROUND(C51/C52,3)</f>
        <v>3.2000000000000001E-2</v>
      </c>
    </row>
    <row r="57" spans="1:7">
      <c r="B57" s="316" t="s">
        <v>68</v>
      </c>
      <c r="C57" s="318">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868</v>
      </c>
      <c r="B1" s="331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1636</v>
      </c>
      <c r="B2" s="3001" t="s">
        <v>1637</v>
      </c>
      <c r="C2" s="3001" t="s">
        <v>1638</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3" t="s">
        <v>1633</v>
      </c>
      <c r="E3" s="1043" t="s">
        <v>1639</v>
      </c>
      <c r="F3" s="1043" t="s">
        <v>1633</v>
      </c>
      <c r="G3" s="1043" t="s">
        <v>1634</v>
      </c>
      <c r="H3" s="1043" t="s">
        <v>1633</v>
      </c>
      <c r="I3" s="1043" t="s">
        <v>1634</v>
      </c>
    </row>
    <row r="4" spans="1:9" ht="30">
      <c r="A4" s="1971" t="str">
        <f>项目基本情况!S2</f>
        <v>出让国有建设用地使用权及在建建筑物房地产</v>
      </c>
      <c r="B4" s="1043">
        <f>项目基本情况!C17</f>
        <v>11781</v>
      </c>
      <c r="C4" s="1043">
        <f>项目基本情况!C18</f>
        <v>13641.1</v>
      </c>
      <c r="D4" s="1043" t="e">
        <f ca="1">结果表!D118</f>
        <v>#REF!</v>
      </c>
      <c r="E4" s="1043" t="e">
        <f ca="1">结果表!E118</f>
        <v>#REF!</v>
      </c>
      <c r="F4" s="1043" t="e">
        <f ca="1">结果表!F118</f>
        <v>#REF!</v>
      </c>
      <c r="G4" s="1043" t="e">
        <f ca="1">结果表!G118</f>
        <v>#REF!</v>
      </c>
      <c r="H4" s="1043">
        <f ca="1">结果表!H118</f>
        <v>12978</v>
      </c>
      <c r="I4" s="1043">
        <f ca="1">结果表!I118</f>
        <v>11016</v>
      </c>
    </row>
    <row r="5" spans="1:9" ht="30" customHeight="1">
      <c r="A5" s="2995" t="s">
        <v>1635</v>
      </c>
      <c r="B5" s="2995"/>
      <c r="C5" s="2995"/>
      <c r="D5" s="2996" t="e">
        <f ca="1">结果表!D119</f>
        <v>#REF!</v>
      </c>
      <c r="E5" s="2996"/>
      <c r="F5" s="2996" t="e">
        <f ca="1">结果表!F119</f>
        <v>#REF!</v>
      </c>
      <c r="G5" s="2996"/>
      <c r="H5" s="2996" t="str">
        <f ca="1">结果表!H119</f>
        <v>壹亿贰仟玖佰柒拾捌万元整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1635</v>
      </c>
      <c r="B7" s="2995"/>
      <c r="C7" s="2995"/>
      <c r="D7" s="2997" t="str">
        <f>结果表!D121</f>
        <v>零元整</v>
      </c>
      <c r="E7" s="2998"/>
      <c r="F7" s="2998"/>
      <c r="G7" s="2998"/>
      <c r="H7" s="2998"/>
      <c r="I7" s="2999"/>
    </row>
    <row r="8" spans="1:9" ht="15.75">
      <c r="A8" s="2994" t="str">
        <f>结果表!A122</f>
        <v>房地产抵押价值</v>
      </c>
      <c r="B8" s="2994"/>
      <c r="C8" s="2994"/>
      <c r="D8" s="2994">
        <f ca="1">结果表!D122</f>
        <v>12978</v>
      </c>
      <c r="E8" s="2994"/>
      <c r="F8" s="2994"/>
      <c r="G8" s="2994"/>
      <c r="H8" s="2994"/>
      <c r="I8" s="2994"/>
    </row>
    <row r="9" spans="1:9" ht="15">
      <c r="A9" s="2995" t="s">
        <v>1635</v>
      </c>
      <c r="B9" s="2995"/>
      <c r="C9" s="2995"/>
      <c r="D9" s="2996" t="str">
        <f ca="1">结果表!D123</f>
        <v>壹亿贰仟玖佰柒拾捌万元整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1635</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1635</v>
      </c>
      <c r="B13" s="2991"/>
      <c r="C13" s="2991"/>
      <c r="D13" s="2992" t="e">
        <f>结果表!D127</f>
        <v>#VALUE!</v>
      </c>
      <c r="E13" s="2992"/>
      <c r="F13" s="2992"/>
      <c r="G13" s="2992"/>
      <c r="H13" s="2992"/>
      <c r="I13" s="2992"/>
    </row>
    <row r="14" spans="1:9" ht="15" thickTop="1">
      <c r="A14" s="2993" t="s">
        <v>1640</v>
      </c>
      <c r="B14" s="2993"/>
      <c r="C14" s="2993"/>
      <c r="D14" s="2993"/>
      <c r="E14" s="2993"/>
      <c r="F14" s="2993"/>
      <c r="G14" s="2993"/>
      <c r="H14" s="2993"/>
      <c r="I14" s="2993"/>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8" t="s">
        <v>1657</v>
      </c>
      <c r="B1" s="3008"/>
      <c r="C1" s="3008"/>
      <c r="D1" s="3008"/>
    </row>
    <row r="2" spans="1:4" ht="18">
      <c r="A2" s="3009" t="s">
        <v>1641</v>
      </c>
      <c r="B2" s="3009"/>
      <c r="C2" s="3009"/>
      <c r="D2" s="3009"/>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09" t="s">
        <v>1647</v>
      </c>
      <c r="B6" s="3009"/>
      <c r="C6" s="3009"/>
      <c r="D6" s="3009"/>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10" t="s">
        <v>1650</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1651</v>
      </c>
      <c r="B16" s="3004"/>
      <c r="C16" s="3004"/>
      <c r="D16" s="3004"/>
    </row>
    <row r="17" spans="1:4" ht="144" customHeight="1">
      <c r="A17" s="3004" t="s">
        <v>1652</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1653</v>
      </c>
      <c r="B22" s="3006"/>
      <c r="C22" s="3006"/>
      <c r="D22" s="3006"/>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6" t="s">
        <v>1664</v>
      </c>
      <c r="B15" s="3011" t="s">
        <v>136</v>
      </c>
      <c r="C15" s="3012"/>
    </row>
    <row r="16" spans="1:7" ht="13.5">
      <c r="A16" s="3017"/>
      <c r="B16" s="3011" t="s">
        <v>69</v>
      </c>
      <c r="C16" s="3012"/>
    </row>
    <row r="17" spans="1:3" ht="13.5">
      <c r="A17" s="3017"/>
      <c r="B17" s="3014" t="s">
        <v>1665</v>
      </c>
      <c r="C17" s="1998" t="s">
        <v>1664</v>
      </c>
    </row>
    <row r="18" spans="1:3" ht="13.5">
      <c r="A18" s="3017"/>
      <c r="B18" s="3014"/>
      <c r="C18" s="1998" t="s">
        <v>1666</v>
      </c>
    </row>
    <row r="19" spans="1:3" ht="13.5">
      <c r="A19" s="3017"/>
      <c r="B19" s="3014"/>
      <c r="C19" s="1998" t="s">
        <v>1667</v>
      </c>
    </row>
    <row r="20" spans="1:3" ht="13.5">
      <c r="A20" s="3018"/>
      <c r="B20" s="3013" t="s">
        <v>1668</v>
      </c>
      <c r="C20" s="3012"/>
    </row>
    <row r="21" spans="1:3" ht="13.5">
      <c r="A21" s="1999" t="s">
        <v>1669</v>
      </c>
      <c r="B21" s="2000"/>
      <c r="C21" s="2001"/>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8" t="s">
        <v>1675</v>
      </c>
    </row>
    <row r="26" spans="1:3" ht="13.5">
      <c r="A26" s="3015"/>
      <c r="B26" s="3014"/>
      <c r="C26" s="1998" t="s">
        <v>1676</v>
      </c>
    </row>
    <row r="27" spans="1:3" ht="13.5">
      <c r="A27" s="3015"/>
      <c r="B27" s="3014"/>
      <c r="C27" s="1998" t="s">
        <v>1677</v>
      </c>
    </row>
    <row r="28" spans="1:3" ht="13.5">
      <c r="A28" s="3015"/>
      <c r="B28" s="3014"/>
      <c r="C28" s="1998" t="s">
        <v>1678</v>
      </c>
    </row>
    <row r="29" spans="1:3" ht="13.5">
      <c r="A29" s="3015"/>
      <c r="B29" s="3014"/>
      <c r="C29" s="1998" t="s">
        <v>1679</v>
      </c>
    </row>
    <row r="30" spans="1:3" ht="13.5">
      <c r="A30" s="3015"/>
      <c r="B30" s="3014"/>
      <c r="C30" s="1998" t="s">
        <v>1680</v>
      </c>
    </row>
    <row r="31" spans="1:3" ht="13.5">
      <c r="A31" s="3015"/>
      <c r="B31" s="3014"/>
      <c r="C31" s="1998" t="s">
        <v>1681</v>
      </c>
    </row>
    <row r="32" spans="1:3" ht="13.5">
      <c r="A32" s="3015"/>
      <c r="B32" s="3014"/>
      <c r="C32" s="1998" t="s">
        <v>1682</v>
      </c>
    </row>
    <row r="33" spans="1:3" ht="13.5">
      <c r="A33" s="3015"/>
      <c r="B33" s="3014"/>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43771</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3040</v>
      </c>
      <c r="B14" s="1021">
        <f ca="1">IF(C14&lt;B2,"已过期",1120040230)</f>
        <v>1120040230</v>
      </c>
      <c r="C14" s="2347">
        <v>43835</v>
      </c>
      <c r="D14" s="2350" t="s">
        <v>3040</v>
      </c>
      <c r="E14" s="1021">
        <f ca="1">IF(F14&lt;B2,"已过期",98030020)</f>
        <v>98030020</v>
      </c>
      <c r="F14" s="1029">
        <v>47118</v>
      </c>
    </row>
    <row r="15" spans="1:6" ht="24" customHeight="1">
      <c r="A15" s="1702" t="s">
        <v>3041</v>
      </c>
      <c r="B15" s="1021">
        <f ca="1">IF(C15&lt;B2,"已过期",1120070085)</f>
        <v>1120070085</v>
      </c>
      <c r="C15" s="2347">
        <v>43814</v>
      </c>
      <c r="D15" s="2351" t="s">
        <v>3041</v>
      </c>
      <c r="E15" s="1021">
        <f ca="1">IF(F15&lt;B2,"已过期",2004110128)</f>
        <v>2004110128</v>
      </c>
      <c r="F15" s="1022">
        <v>47118</v>
      </c>
    </row>
    <row r="16" spans="1:6" ht="24" customHeight="1">
      <c r="A16" s="1701" t="s">
        <v>3042</v>
      </c>
      <c r="B16" s="1021">
        <f ca="1">IF(C16&lt;B2,"已过期",1120140022)</f>
        <v>1120140022</v>
      </c>
      <c r="C16" s="2929">
        <v>44029</v>
      </c>
      <c r="D16" s="2350" t="s">
        <v>3042</v>
      </c>
      <c r="E16" s="1021">
        <f ca="1">IF(F16&lt;B2,"已过期",2008110059)</f>
        <v>2008110059</v>
      </c>
      <c r="F16" s="1029">
        <v>47177</v>
      </c>
    </row>
    <row r="17" spans="1:7" ht="24" customHeight="1">
      <c r="A17" s="1701"/>
      <c r="B17" s="1021"/>
      <c r="C17" s="2347"/>
      <c r="D17" s="2350" t="s">
        <v>3043</v>
      </c>
      <c r="E17" s="1021">
        <f ca="1">IF(F17&lt;B2,"已过期",2014110076)</f>
        <v>2014110076</v>
      </c>
      <c r="F17" s="1029">
        <v>49302</v>
      </c>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9">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19" t="s">
        <v>843</v>
      </c>
      <c r="B25" s="3019"/>
      <c r="C25" s="3019"/>
      <c r="D25" s="3019"/>
      <c r="E25" s="3019"/>
      <c r="F25" s="3019"/>
      <c r="G25" s="3019"/>
    </row>
    <row r="26" spans="1:7" s="1024" customFormat="1" ht="24" customHeight="1">
      <c r="A26" s="3020" t="s">
        <v>844</v>
      </c>
      <c r="B26" s="3020"/>
      <c r="C26" s="3021"/>
      <c r="D26" s="3022" t="s">
        <v>845</v>
      </c>
      <c r="E26" s="3020"/>
      <c r="F26" s="3020"/>
    </row>
    <row r="27" spans="1:7" s="1026" customFormat="1" ht="24" customHeight="1">
      <c r="A27" s="1025" t="s">
        <v>846</v>
      </c>
      <c r="B27" s="1020" t="s">
        <v>847</v>
      </c>
      <c r="C27" s="2346" t="s">
        <v>848</v>
      </c>
      <c r="D27" s="2353" t="s">
        <v>846</v>
      </c>
      <c r="E27" s="1020" t="s">
        <v>847</v>
      </c>
      <c r="F27" s="1020" t="s">
        <v>848</v>
      </c>
    </row>
    <row r="28" spans="1:7" s="1026" customFormat="1" ht="24" customHeight="1">
      <c r="A28" s="1027" t="s">
        <v>849</v>
      </c>
      <c r="B28" s="1028" t="s">
        <v>850</v>
      </c>
      <c r="C28" s="1029">
        <v>44820</v>
      </c>
      <c r="D28" s="2354" t="s">
        <v>851</v>
      </c>
      <c r="E28" s="1027" t="s">
        <v>852</v>
      </c>
      <c r="F28" s="1057">
        <v>44377</v>
      </c>
    </row>
    <row r="29" spans="1:7" s="1026" customFormat="1" ht="24" customHeight="1">
      <c r="A29" s="1027"/>
      <c r="B29" s="1027"/>
      <c r="C29" s="2352"/>
      <c r="D29" s="2354" t="s">
        <v>853</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比较法-洋房</vt:lpstr>
      <vt:lpstr>洋房案例</vt:lpstr>
      <vt:lpstr>叠墅案例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'比较法-洋房'!住宅房型</vt:lpstr>
      <vt:lpstr>'比较法-洋房'!住宅公共部分装修</vt:lpstr>
      <vt:lpstr>'比较法-洋房'!住宅基础设施水平</vt:lpstr>
      <vt:lpstr>'比较法-洋房'!住宅建筑结构</vt:lpstr>
      <vt:lpstr>'比较法-洋房'!住宅建筑类型</vt:lpstr>
      <vt:lpstr>'比较法-洋房'!住宅建筑品质</vt:lpstr>
      <vt:lpstr>'比较法-洋房'!住宅交易情况</vt:lpstr>
      <vt:lpstr>'比较法-洋房'!住宅楼层</vt:lpstr>
      <vt:lpstr>'比较法-洋房'!住宅内部装修</vt:lpstr>
      <vt:lpstr>'比较法-洋房'!住宅物业管理</vt:lpstr>
      <vt:lpstr>'比较法-洋房'!住宅用途</vt:lpstr>
      <vt:lpstr>'比较法-洋房'!住宅主力户型面积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2019-11-02T07:58:12Z</dcterms:modified>
</cp:coreProperties>
</file>