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388" windowHeight="10764"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进度" sheetId="80"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假设开发法" sheetId="12" r:id="rId24"/>
    <sheet name="收益法" sheetId="15" r:id="rId25"/>
    <sheet name="收益法(车库)" sheetId="81" r:id="rId26"/>
    <sheet name="收益法 (元)" sheetId="67" state="hidden"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5">'收益法(车库)'!$A$1:$F$43,'收益法(车库)'!$H$3:$M$29,'收益法(车库)'!$A$46:$F$71,'收益法(车库)'!$I$46:$N$65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'土地比较法-住宅、综合'!$A$1:$K$65,'土地比较法-住宅、综合'!$A$68:$M$131</definedName>
    <definedName name="_xlnm.Print_Area" localSheetId="17">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7" i="39" l="1"/>
  <c r="I46" i="39"/>
  <c r="G46" i="39"/>
  <c r="E46" i="39"/>
  <c r="I38" i="39"/>
  <c r="G38" i="39"/>
  <c r="E38" i="39"/>
  <c r="C38" i="39"/>
  <c r="C11" i="39"/>
  <c r="G6" i="78"/>
  <c r="B6" i="78"/>
  <c r="C22" i="78"/>
  <c r="C10" i="39"/>
  <c r="E70" i="39"/>
  <c r="F70" i="39" s="1"/>
  <c r="G70" i="39" s="1"/>
  <c r="H70" i="39" s="1"/>
  <c r="I70" i="39" s="1"/>
  <c r="J70" i="39" s="1"/>
  <c r="K70" i="39" s="1"/>
  <c r="L70" i="39" s="1"/>
  <c r="M70" i="39" s="1"/>
  <c r="N70" i="39" s="1"/>
  <c r="O70" i="39" s="1"/>
  <c r="D70" i="39"/>
  <c r="I7" i="39"/>
  <c r="G7" i="39"/>
  <c r="E7" i="39"/>
  <c r="I5" i="39"/>
  <c r="G5" i="39"/>
  <c r="E5" i="39"/>
  <c r="E34" i="77"/>
  <c r="D34" i="77"/>
  <c r="C36" i="77"/>
  <c r="C34" i="77"/>
  <c r="B5" i="77"/>
  <c r="B4" i="77"/>
  <c r="Q72" i="81"/>
  <c r="F62" i="81"/>
  <c r="Q59" i="81"/>
  <c r="K59" i="81"/>
  <c r="P61" i="81" s="1"/>
  <c r="F59" i="81"/>
  <c r="Q58" i="81"/>
  <c r="Q51" i="81"/>
  <c r="J50" i="81"/>
  <c r="J51" i="81" s="1"/>
  <c r="M47" i="81"/>
  <c r="D46" i="81"/>
  <c r="F34" i="81"/>
  <c r="F33" i="81"/>
  <c r="F61" i="81" s="1"/>
  <c r="F32" i="81"/>
  <c r="F60" i="81" s="1"/>
  <c r="F31" i="81"/>
  <c r="F28" i="81"/>
  <c r="C28" i="81"/>
  <c r="F23" i="81"/>
  <c r="D22" i="81" s="1"/>
  <c r="D23" i="81"/>
  <c r="F21" i="81"/>
  <c r="M20" i="81"/>
  <c r="F20" i="81"/>
  <c r="M19" i="81"/>
  <c r="M18" i="81"/>
  <c r="F18" i="81"/>
  <c r="M17" i="81"/>
  <c r="F17" i="81"/>
  <c r="F15" i="81"/>
  <c r="G1" i="81"/>
  <c r="AM8" i="1"/>
  <c r="AL8" i="1"/>
  <c r="AK8" i="1"/>
  <c r="B59" i="1"/>
  <c r="G21" i="6"/>
  <c r="F20" i="6"/>
  <c r="G19" i="6"/>
  <c r="F19" i="6"/>
  <c r="AT16" i="3"/>
  <c r="AN16" i="3"/>
  <c r="M16" i="3"/>
  <c r="O16" i="3"/>
  <c r="K15" i="3"/>
  <c r="F13" i="4"/>
  <c r="M22" i="81"/>
  <c r="M9" i="81"/>
  <c r="P74" i="81" l="1"/>
  <c r="D24" i="81"/>
  <c r="F37" i="81"/>
  <c r="L47" i="81"/>
  <c r="F9" i="81"/>
  <c r="F6" i="81"/>
  <c r="J15" i="81"/>
  <c r="F42" i="81"/>
  <c r="M23" i="81"/>
  <c r="F36" i="81"/>
  <c r="M26" i="81"/>
  <c r="F13" i="81"/>
  <c r="F8" i="81"/>
  <c r="L48" i="81"/>
  <c r="F43" i="81"/>
  <c r="F38" i="81"/>
  <c r="C76" i="81"/>
  <c r="M6" i="81"/>
  <c r="M29" i="81"/>
  <c r="M24" i="81"/>
  <c r="M27" i="81"/>
  <c r="M28" i="81"/>
  <c r="F40" i="81"/>
  <c r="F16" i="81"/>
  <c r="M8" i="81"/>
  <c r="F7" i="81"/>
  <c r="F26" i="81"/>
  <c r="F71" i="81" l="1"/>
  <c r="F51" i="81"/>
  <c r="L58" i="81"/>
  <c r="N59" i="81"/>
  <c r="F68" i="81"/>
  <c r="C27" i="81"/>
  <c r="C6" i="81"/>
  <c r="F66" i="81"/>
  <c r="L56" i="81"/>
  <c r="L57" i="81"/>
  <c r="J59" i="81"/>
  <c r="J60" i="81"/>
  <c r="Q48" i="81" s="1"/>
  <c r="J57" i="81"/>
  <c r="J55" i="81" s="1"/>
  <c r="J58" i="81" s="1"/>
  <c r="Q50" i="81" s="1"/>
  <c r="L60" i="81"/>
  <c r="I54" i="81"/>
  <c r="F65" i="81"/>
  <c r="F64" i="81"/>
  <c r="F50" i="81"/>
  <c r="M7" i="81"/>
  <c r="J6" i="81" s="1"/>
  <c r="Q71" i="81"/>
  <c r="C17" i="81"/>
  <c r="C33" i="81" l="1"/>
  <c r="C32" i="81"/>
  <c r="Q60" i="81"/>
  <c r="Q73" i="81"/>
  <c r="Q57" i="81"/>
  <c r="Q66" i="81"/>
  <c r="C49" i="81"/>
  <c r="J18" i="81"/>
  <c r="J19" i="81"/>
  <c r="L46" i="81"/>
  <c r="C61" i="81"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10" i="74"/>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N14" i="77"/>
  <c r="M14" i="77"/>
  <c r="D14" i="77"/>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D6" i="77"/>
  <c r="V12" i="71"/>
  <c r="U12" i="71"/>
  <c r="T12" i="71"/>
  <c r="S12" i="71"/>
  <c r="D18" i="77" l="1"/>
  <c r="D10" i="77"/>
  <c r="D17" i="77"/>
  <c r="D9" i="77"/>
  <c r="D16" i="77"/>
  <c r="C23" i="77"/>
  <c r="D15" i="77"/>
  <c r="E24" i="43"/>
  <c r="D23" i="77" l="1"/>
  <c r="C29" i="77"/>
  <c r="Q32" i="43"/>
  <c r="P32" i="43"/>
  <c r="O32" i="43"/>
  <c r="N32" i="43"/>
  <c r="M32" i="43"/>
  <c r="AH11" i="71"/>
  <c r="AG11" i="71"/>
  <c r="AE11" i="71"/>
  <c r="AF11" i="71" s="1"/>
  <c r="AD11" i="71"/>
  <c r="Q11" i="71"/>
  <c r="AB10" i="71" s="1"/>
  <c r="P11" i="71"/>
  <c r="AA10" i="71" s="1"/>
  <c r="O11" i="71"/>
  <c r="Y10" i="71" s="1"/>
  <c r="Z10" i="71" s="1"/>
  <c r="N11" i="71"/>
  <c r="X10" i="71" s="1"/>
  <c r="E23" i="77" l="1"/>
  <c r="D26" i="77"/>
  <c r="D29" i="77"/>
  <c r="AH12" i="71"/>
  <c r="AG12" i="71"/>
  <c r="AE12" i="71"/>
  <c r="AF12" i="71" s="1"/>
  <c r="AD12" i="71"/>
  <c r="Q12" i="71"/>
  <c r="P12" i="71"/>
  <c r="O12" i="71"/>
  <c r="N12" i="71"/>
  <c r="D32" i="77" l="1"/>
  <c r="D38" i="77" s="1"/>
  <c r="D39" i="77" s="1"/>
  <c r="E26" i="77"/>
  <c r="E29" i="77"/>
  <c r="E32" i="77" s="1"/>
  <c r="E38" i="77" s="1"/>
  <c r="E39"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5" i="3" s="1"/>
  <c r="BS15" i="3"/>
  <c r="BS16" i="3"/>
  <c r="BS17" i="3"/>
  <c r="BR14" i="3"/>
  <c r="BR15" i="3"/>
  <c r="BR16" i="3"/>
  <c r="BR17" i="3"/>
  <c r="BT13" i="3"/>
  <c r="BT14" i="3"/>
  <c r="BT15" i="3"/>
  <c r="BT5" i="3" s="1"/>
  <c r="BT16" i="3"/>
  <c r="BT17" i="3"/>
  <c r="BM14" i="3"/>
  <c r="BM15" i="3"/>
  <c r="BL15" i="3" s="1"/>
  <c r="BM16" i="3"/>
  <c r="BM17" i="3"/>
  <c r="BO13" i="3"/>
  <c r="BO14" i="3"/>
  <c r="BO15" i="3"/>
  <c r="BO16" i="3"/>
  <c r="BO17" i="3"/>
  <c r="BN13" i="3"/>
  <c r="BN14" i="3"/>
  <c r="BL14" i="3"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A13" i="3" s="1"/>
  <c r="BH13" i="3"/>
  <c r="BI13" i="3"/>
  <c r="BJ13" i="3"/>
  <c r="BK13" i="3"/>
  <c r="BB14" i="3"/>
  <c r="BC14" i="3"/>
  <c r="BD14" i="3"/>
  <c r="BE14" i="3"/>
  <c r="BF14" i="3"/>
  <c r="BG14" i="3"/>
  <c r="BH14" i="3"/>
  <c r="BI14" i="3"/>
  <c r="BI5" i="3" s="1"/>
  <c r="BJ14" i="3"/>
  <c r="BK14" i="3"/>
  <c r="BB15" i="3"/>
  <c r="BC15" i="3"/>
  <c r="BD15" i="3"/>
  <c r="BE15" i="3"/>
  <c r="BF15" i="3"/>
  <c r="BG15" i="3"/>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W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27" i="39"/>
  <c r="W27" i="39" s="1"/>
  <c r="F27" i="39"/>
  <c r="AA27" i="39" s="1"/>
  <c r="F11" i="21"/>
  <c r="S11" i="21" s="1"/>
  <c r="S40" i="21"/>
  <c r="U34" i="21"/>
  <c r="S34"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AB43" i="39" s="1"/>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H37" i="39"/>
  <c r="AB37" i="39"/>
  <c r="AC37" i="39"/>
  <c r="W37" i="39"/>
  <c r="H25" i="39"/>
  <c r="U25" i="39" s="1"/>
  <c r="J25" i="39"/>
  <c r="W25" i="39" s="1"/>
  <c r="F25" i="39"/>
  <c r="AA25" i="39" s="1"/>
  <c r="F15" i="39"/>
  <c r="AA15" i="39" s="1"/>
  <c r="H15" i="39"/>
  <c r="U15" i="39" s="1"/>
  <c r="J15" i="39"/>
  <c r="W15" i="39" s="1"/>
  <c r="AB34"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P5" i="3"/>
  <c r="AZ343" i="3"/>
  <c r="BE5" i="3"/>
  <c r="BC5" i="3"/>
  <c r="G17" i="3"/>
  <c r="BA17"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J21" i="39"/>
  <c r="W21" i="39" s="1"/>
  <c r="F21" i="39"/>
  <c r="AA21" i="39" s="1"/>
  <c r="H21" i="39"/>
  <c r="AB21" i="39" s="1"/>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H83" i="43"/>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AB11" i="39"/>
  <c r="U11" i="39"/>
  <c r="S27" i="39"/>
  <c r="AA45"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D21" i="53" s="1"/>
  <c r="B39" i="72"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67"/>
  <c r="F40" i="15"/>
  <c r="D35" i="9"/>
  <c r="F38" i="67"/>
  <c r="C76" i="67"/>
  <c r="F16" i="67"/>
  <c r="L47" i="67"/>
  <c r="M9" i="67"/>
  <c r="L47" i="15"/>
  <c r="F16" i="15"/>
  <c r="D5" i="73"/>
  <c r="F36" i="67"/>
  <c r="D6" i="73"/>
  <c r="B11" i="76"/>
  <c r="F42" i="67"/>
  <c r="F6" i="15"/>
  <c r="B10" i="76"/>
  <c r="F13" i="15"/>
  <c r="B12" i="76"/>
  <c r="M6" i="67"/>
  <c r="F8" i="15"/>
  <c r="M22" i="67"/>
  <c r="D7" i="73"/>
  <c r="B8" i="76"/>
  <c r="F8" i="67"/>
  <c r="B9" i="76"/>
  <c r="F42" i="15"/>
  <c r="E10" i="76"/>
  <c r="M29" i="15"/>
  <c r="E12" i="76"/>
  <c r="F43" i="67"/>
  <c r="M26" i="15"/>
  <c r="D4" i="73"/>
  <c r="F9" i="67"/>
  <c r="M29" i="67"/>
  <c r="F26" i="15"/>
  <c r="F6" i="67"/>
  <c r="E7" i="76"/>
  <c r="F4" i="73"/>
  <c r="J15" i="15"/>
  <c r="M9" i="15"/>
  <c r="J15" i="67"/>
  <c r="F3" i="73"/>
  <c r="B7" i="76"/>
  <c r="F7" i="15"/>
  <c r="F7" i="67"/>
  <c r="M6" i="15"/>
  <c r="F40" i="67"/>
  <c r="L48" i="15"/>
  <c r="M23" i="15"/>
  <c r="M8" i="67"/>
  <c r="M26" i="67"/>
  <c r="F43" i="15"/>
  <c r="M23" i="67"/>
  <c r="M22" i="15"/>
  <c r="E11" i="76"/>
  <c r="F9" i="15"/>
  <c r="E13" i="76"/>
  <c r="F37" i="67"/>
  <c r="F37" i="15"/>
  <c r="F5" i="73"/>
  <c r="F7" i="73"/>
  <c r="M28" i="15"/>
  <c r="M24" i="67"/>
  <c r="M24" i="15"/>
  <c r="F26" i="67"/>
  <c r="E8" i="76"/>
  <c r="F6" i="73"/>
  <c r="C76" i="15"/>
  <c r="E9" i="76"/>
  <c r="L48" i="67"/>
  <c r="F36" i="15"/>
  <c r="B13" i="76"/>
  <c r="D34" i="9"/>
  <c r="D3" i="73"/>
  <c r="C16" i="81"/>
  <c r="F38" i="15"/>
  <c r="E2" i="69"/>
  <c r="AO13" i="1"/>
  <c r="M28" i="67"/>
  <c r="F20" i="31"/>
  <c r="M8" i="15"/>
  <c r="E2" i="68"/>
  <c r="AC11" i="39" l="1"/>
  <c r="U43" i="39"/>
  <c r="S44" i="39"/>
  <c r="H123" i="39"/>
  <c r="I123" i="39" s="1"/>
  <c r="J123" i="39" s="1"/>
  <c r="K123" i="39" s="1"/>
  <c r="L123" i="39" s="1"/>
  <c r="M123" i="39" s="1"/>
  <c r="J41" i="39"/>
  <c r="W41" i="39" s="1"/>
  <c r="H41" i="39"/>
  <c r="AB41" i="39" s="1"/>
  <c r="S40" i="39"/>
  <c r="U42" i="39"/>
  <c r="S42" i="39"/>
  <c r="AA41" i="39"/>
  <c r="U40" i="39"/>
  <c r="AA39" i="39"/>
  <c r="AB39" i="39"/>
  <c r="S31" i="39"/>
  <c r="W31" i="39"/>
  <c r="AC32" i="39"/>
  <c r="U31" i="39"/>
  <c r="U32" i="39"/>
  <c r="S32" i="39"/>
  <c r="W34" i="39"/>
  <c r="U29" i="39"/>
  <c r="AC27" i="39"/>
  <c r="AB27" i="39"/>
  <c r="AC25" i="39"/>
  <c r="AB25" i="39"/>
  <c r="AA23" i="39"/>
  <c r="S21" i="39"/>
  <c r="U21" i="39"/>
  <c r="F92" i="39"/>
  <c r="G92" i="39" s="1"/>
  <c r="H19" i="39"/>
  <c r="AB19" i="39" s="1"/>
  <c r="F19" i="39"/>
  <c r="AA19" i="39" s="1"/>
  <c r="J19" i="39"/>
  <c r="AC19" i="39" s="1"/>
  <c r="F90" i="39"/>
  <c r="G90" i="39" s="1"/>
  <c r="H17" i="39"/>
  <c r="AB17" i="39" s="1"/>
  <c r="F17" i="39"/>
  <c r="AA17" i="39" s="1"/>
  <c r="J17" i="39"/>
  <c r="W17" i="39" s="1"/>
  <c r="S15" i="39"/>
  <c r="S11" i="39"/>
  <c r="S9" i="39"/>
  <c r="AC9" i="39"/>
  <c r="U9" i="39"/>
  <c r="C40" i="68"/>
  <c r="C40" i="69"/>
  <c r="C21" i="68"/>
  <c r="D22" i="15"/>
  <c r="D23" i="15"/>
  <c r="BA15" i="3"/>
  <c r="AZ15" i="3" s="1"/>
  <c r="BA14" i="3"/>
  <c r="G5" i="3"/>
  <c r="B3" i="3" s="1"/>
  <c r="AZ14" i="3"/>
  <c r="BA5" i="3"/>
  <c r="F28" i="6"/>
  <c r="BN5" i="3"/>
  <c r="G29" i="6" s="1"/>
  <c r="BL5" i="3"/>
  <c r="BG5" i="3"/>
  <c r="G28" i="6"/>
  <c r="G30" i="6" s="1"/>
  <c r="G31" i="6" s="1"/>
  <c r="D19" i="53"/>
  <c r="B38" i="72" s="1"/>
  <c r="K56" i="9"/>
  <c r="N56"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366" i="3"/>
  <c r="O6" i="3"/>
  <c r="E574" i="3"/>
  <c r="E151" i="3"/>
  <c r="E358" i="3"/>
  <c r="V6" i="3"/>
  <c r="E418" i="3"/>
  <c r="E215" i="3"/>
  <c r="E130" i="3"/>
  <c r="E185" i="3"/>
  <c r="E563" i="3"/>
  <c r="E565" i="3"/>
  <c r="E17" i="3"/>
  <c r="E550" i="3"/>
  <c r="E161" i="3"/>
  <c r="E221" i="3"/>
  <c r="E159" i="3"/>
  <c r="E245" i="3"/>
  <c r="E402" i="3"/>
  <c r="E578" i="3"/>
  <c r="E385" i="3"/>
  <c r="E353" i="3"/>
  <c r="E336" i="3"/>
  <c r="E399"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C16" i="15"/>
  <c r="G1" i="73"/>
  <c r="AC41" i="39" l="1"/>
  <c r="U41" i="39"/>
  <c r="W19" i="39"/>
  <c r="S19" i="39"/>
  <c r="U19" i="39"/>
  <c r="AC17" i="39"/>
  <c r="U17" i="39"/>
  <c r="S17" i="39"/>
  <c r="M11" i="81"/>
  <c r="J10" i="81" s="1"/>
  <c r="J5" i="81" s="1"/>
  <c r="F11" i="81"/>
  <c r="E235" i="3"/>
  <c r="AT6" i="3"/>
  <c r="E294" i="3"/>
  <c r="AA6" i="3"/>
  <c r="AN6" i="3"/>
  <c r="E254" i="3"/>
  <c r="E183" i="3"/>
  <c r="E216" i="3"/>
  <c r="E559" i="3"/>
  <c r="E282" i="3"/>
  <c r="E164" i="3"/>
  <c r="X6" i="3"/>
  <c r="E586" i="3"/>
  <c r="E135" i="3"/>
  <c r="E395" i="3"/>
  <c r="E298" i="3"/>
  <c r="S6" i="3"/>
  <c r="E553" i="3"/>
  <c r="E433" i="3"/>
  <c r="E280" i="3"/>
  <c r="E423" i="3"/>
  <c r="E180" i="3"/>
  <c r="E415" i="3"/>
  <c r="E320" i="3"/>
  <c r="E201" i="3"/>
  <c r="E246" i="3"/>
  <c r="E303" i="3"/>
  <c r="E117" i="3"/>
  <c r="E304" i="3"/>
  <c r="E338" i="3"/>
  <c r="E396" i="3"/>
  <c r="E124" i="3"/>
  <c r="E263" i="3"/>
  <c r="E302" i="3"/>
  <c r="E278" i="3"/>
  <c r="E387" i="3"/>
  <c r="E359" i="3"/>
  <c r="E293" i="3"/>
  <c r="E301" i="3"/>
  <c r="E503" i="3"/>
  <c r="E261" i="3"/>
  <c r="E407" i="3"/>
  <c r="E410" i="3"/>
  <c r="E347" i="3"/>
  <c r="E495" i="3"/>
  <c r="E134" i="3"/>
  <c r="E445" i="3"/>
  <c r="E169" i="3"/>
  <c r="E561" i="3"/>
  <c r="E508" i="3"/>
  <c r="E572" i="3"/>
  <c r="E583" i="3"/>
  <c r="E518" i="3"/>
  <c r="E61" i="3"/>
  <c r="E213" i="3"/>
  <c r="E189" i="3"/>
  <c r="E570" i="3"/>
  <c r="E322" i="3"/>
  <c r="E71" i="3"/>
  <c r="E477" i="3"/>
  <c r="E253" i="3"/>
  <c r="E432" i="3"/>
  <c r="U6" i="3"/>
  <c r="E514" i="3"/>
  <c r="E569" i="3"/>
  <c r="E530" i="3"/>
  <c r="E107" i="3"/>
  <c r="E67" i="3"/>
  <c r="AI6" i="3"/>
  <c r="E191" i="3"/>
  <c r="E535" i="3"/>
  <c r="E528" i="3"/>
  <c r="E230" i="3"/>
  <c r="AB6" i="3"/>
  <c r="E390" i="3"/>
  <c r="E579" i="3"/>
  <c r="E319" i="3"/>
  <c r="E331" i="3"/>
  <c r="I6" i="3"/>
  <c r="E538" i="3"/>
  <c r="E270" i="3"/>
  <c r="E516" i="3"/>
  <c r="E217" i="3"/>
  <c r="E316" i="3"/>
  <c r="E14" i="3"/>
  <c r="E291" i="3"/>
  <c r="E362" i="3"/>
  <c r="E231" i="3"/>
  <c r="E506" i="3"/>
  <c r="E97" i="3"/>
  <c r="E239" i="3"/>
  <c r="E126" i="3"/>
  <c r="E171" i="3"/>
  <c r="E350" i="3"/>
  <c r="E91" i="3"/>
  <c r="E361" i="3"/>
  <c r="E114" i="3"/>
  <c r="E321" i="3"/>
  <c r="E551" i="3"/>
  <c r="E229" i="3"/>
  <c r="N6" i="3"/>
  <c r="E28" i="6"/>
  <c r="K14" i="1" s="1"/>
  <c r="K16" i="1" s="1"/>
  <c r="E28" i="3"/>
  <c r="E438" i="3"/>
  <c r="E382" i="3"/>
  <c r="E290" i="3"/>
  <c r="E260" i="3"/>
  <c r="E237" i="3"/>
  <c r="E380" i="3"/>
  <c r="E523" i="3"/>
  <c r="E285" i="3"/>
  <c r="E426" i="3"/>
  <c r="E547" i="3"/>
  <c r="E532" i="3"/>
  <c r="E317" i="3"/>
  <c r="E88" i="3"/>
  <c r="E558" i="3"/>
  <c r="E327" i="3"/>
  <c r="E580" i="3"/>
  <c r="E106" i="3"/>
  <c r="E474" i="3"/>
  <c r="E299" i="3"/>
  <c r="E55" i="3"/>
  <c r="E529" i="3"/>
  <c r="E541" i="3"/>
  <c r="E447" i="3"/>
  <c r="P6" i="3"/>
  <c r="E271" i="3"/>
  <c r="E318" i="3"/>
  <c r="E471" i="3"/>
  <c r="E313" i="3"/>
  <c r="E16" i="3"/>
  <c r="E439" i="3"/>
  <c r="AR6" i="3"/>
  <c r="E143" i="3"/>
  <c r="E555" i="3"/>
  <c r="E305" i="3"/>
  <c r="E175" i="3"/>
  <c r="E441" i="3"/>
  <c r="E295" i="3"/>
  <c r="E404" i="3"/>
  <c r="E548" i="3"/>
  <c r="E207" i="3"/>
  <c r="E394" i="3"/>
  <c r="E429" i="3"/>
  <c r="E133" i="3"/>
  <c r="E125" i="3"/>
  <c r="E480" i="3"/>
  <c r="E272" i="3"/>
  <c r="E546" i="3"/>
  <c r="E485" i="3"/>
  <c r="E236" i="3"/>
  <c r="E351" i="3"/>
  <c r="E537" i="3"/>
  <c r="E228" i="3"/>
  <c r="E153" i="3"/>
  <c r="E53" i="3"/>
  <c r="E29" i="3"/>
  <c r="E211" i="3"/>
  <c r="E476" i="3"/>
  <c r="E478" i="3"/>
  <c r="E196" i="3"/>
  <c r="E257" i="3"/>
  <c r="E577" i="3"/>
  <c r="AK6" i="3"/>
  <c r="E247" i="3"/>
  <c r="E509" i="3"/>
  <c r="E268" i="3"/>
  <c r="E30" i="3"/>
  <c r="E186" i="3"/>
  <c r="E403" i="3"/>
  <c r="E448" i="3"/>
  <c r="E368" i="3"/>
  <c r="E256" i="3"/>
  <c r="W6" i="3"/>
  <c r="E136" i="3"/>
  <c r="E533" i="3"/>
  <c r="E337" i="3"/>
  <c r="E388" i="3"/>
  <c r="E343" i="3"/>
  <c r="AM6" i="3"/>
  <c r="E166" i="3"/>
  <c r="E581" i="3"/>
  <c r="E515" i="3"/>
  <c r="E549" i="3"/>
  <c r="E208" i="3"/>
  <c r="E562" i="3"/>
  <c r="E181" i="3"/>
  <c r="E328" i="3"/>
  <c r="E501" i="3"/>
  <c r="E384" i="3"/>
  <c r="E162" i="3"/>
  <c r="E557" i="3"/>
  <c r="E576" i="3"/>
  <c r="E567" i="3"/>
  <c r="E150" i="3"/>
  <c r="E406" i="3"/>
  <c r="E172" i="3"/>
  <c r="E69" i="3"/>
  <c r="E335" i="3"/>
  <c r="M6" i="3"/>
  <c r="E311" i="3"/>
  <c r="E431" i="3"/>
  <c r="AJ6" i="3"/>
  <c r="E526" i="3"/>
  <c r="E334" i="3"/>
  <c r="E92" i="3"/>
  <c r="E505" i="3"/>
  <c r="E379" i="3"/>
  <c r="E93" i="3"/>
  <c r="E168" i="3"/>
  <c r="E527" i="3"/>
  <c r="E330" i="3"/>
  <c r="E545" i="3"/>
  <c r="E40" i="3"/>
  <c r="E198" i="3"/>
  <c r="E242" i="3"/>
  <c r="E462" i="3"/>
  <c r="E481" i="3"/>
  <c r="E193" i="3"/>
  <c r="E238" i="3"/>
  <c r="E62" i="3"/>
  <c r="E296" i="3"/>
  <c r="E224" i="3"/>
  <c r="E453" i="3"/>
  <c r="E333" i="3"/>
  <c r="E367" i="3"/>
  <c r="E411" i="3"/>
  <c r="E145" i="3"/>
  <c r="E397" i="3"/>
  <c r="E357" i="3"/>
  <c r="E73" i="3"/>
  <c r="E571" i="3"/>
  <c r="E472" i="3"/>
  <c r="E120" i="3"/>
  <c r="E122" i="3"/>
  <c r="E79" i="3"/>
  <c r="E377" i="3"/>
  <c r="E182" i="3"/>
  <c r="E489" i="3"/>
  <c r="E345" i="3"/>
  <c r="AO6" i="3"/>
  <c r="E204" i="3"/>
  <c r="E227" i="3"/>
  <c r="E315" i="3"/>
  <c r="E54" i="3"/>
  <c r="AE6" i="3"/>
  <c r="E458" i="3"/>
  <c r="E157" i="3"/>
  <c r="E77" i="3"/>
  <c r="E112" i="3"/>
  <c r="E121" i="3"/>
  <c r="E444" i="3"/>
  <c r="E443" i="3"/>
  <c r="AG6" i="3"/>
  <c r="E252" i="3"/>
  <c r="E32" i="3"/>
  <c r="E274" i="3"/>
  <c r="E72" i="3"/>
  <c r="E587" i="3"/>
  <c r="Q6" i="3"/>
  <c r="E262" i="3"/>
  <c r="E544" i="3"/>
  <c r="E109" i="3"/>
  <c r="E273" i="3"/>
  <c r="E70" i="3"/>
  <c r="E531" i="3"/>
  <c r="E400" i="3"/>
  <c r="Z6" i="3"/>
  <c r="E89" i="3"/>
  <c r="E74" i="3"/>
  <c r="E214" i="3"/>
  <c r="E475" i="3"/>
  <c r="E288" i="3"/>
  <c r="K6" i="3"/>
  <c r="E511" i="3"/>
  <c r="J6" i="3"/>
  <c r="E512" i="3"/>
  <c r="E44" i="3"/>
  <c r="E210" i="3"/>
  <c r="E27" i="3"/>
  <c r="AS6" i="3"/>
  <c r="E414" i="3"/>
  <c r="E585" i="3"/>
  <c r="E269" i="3"/>
  <c r="E31" i="3"/>
  <c r="E279" i="3"/>
  <c r="E454" i="3"/>
  <c r="E424" i="3"/>
  <c r="E519" i="3"/>
  <c r="E128" i="3"/>
  <c r="E483" i="3"/>
  <c r="E13" i="3"/>
  <c r="E219" i="3"/>
  <c r="E57" i="3"/>
  <c r="E129" i="3"/>
  <c r="E20" i="3"/>
  <c r="E306" i="3"/>
  <c r="E156" i="3"/>
  <c r="E346" i="3"/>
  <c r="E255" i="3"/>
  <c r="E232" i="3"/>
  <c r="L6" i="3"/>
  <c r="E491" i="3"/>
  <c r="E427" i="3"/>
  <c r="E100" i="3"/>
  <c r="E152" i="3"/>
  <c r="E165" i="3"/>
  <c r="E203" i="3"/>
  <c r="E496" i="3"/>
  <c r="E344" i="3"/>
  <c r="E437" i="3"/>
  <c r="E177" i="3"/>
  <c r="E352" i="3"/>
  <c r="E147" i="3"/>
  <c r="E200" i="3"/>
  <c r="E250" i="3"/>
  <c r="E146" i="3"/>
  <c r="E468" i="3"/>
  <c r="E465" i="3"/>
  <c r="E560" i="3"/>
  <c r="E277" i="3"/>
  <c r="E314" i="3"/>
  <c r="E329" i="3"/>
  <c r="E101" i="3"/>
  <c r="E184" i="3"/>
  <c r="E76" i="3"/>
  <c r="E111" i="3"/>
  <c r="E450" i="3"/>
  <c r="E457" i="3"/>
  <c r="E573" i="3"/>
  <c r="E45" i="3"/>
  <c r="E434" i="3"/>
  <c r="E543" i="3"/>
  <c r="E401" i="3"/>
  <c r="E81" i="3"/>
  <c r="E267" i="3"/>
  <c r="E391" i="3"/>
  <c r="E167" i="3"/>
  <c r="E116" i="3"/>
  <c r="E408" i="3"/>
  <c r="E425" i="3"/>
  <c r="E554" i="3"/>
  <c r="E381" i="3"/>
  <c r="E428" i="3"/>
  <c r="E421" i="3"/>
  <c r="E376" i="3"/>
  <c r="E482" i="3"/>
  <c r="E26" i="3"/>
  <c r="E90" i="3"/>
  <c r="E339" i="3"/>
  <c r="E275" i="3"/>
  <c r="E332" i="3"/>
  <c r="E119" i="3"/>
  <c r="E56" i="3"/>
  <c r="E21" i="3"/>
  <c r="E220" i="3"/>
  <c r="E297" i="3"/>
  <c r="E536" i="3"/>
  <c r="E102" i="3"/>
  <c r="E197" i="3"/>
  <c r="E324" i="3"/>
  <c r="E378" i="3"/>
  <c r="E499" i="3"/>
  <c r="AH6" i="3"/>
  <c r="E455" i="3"/>
  <c r="E60" i="3"/>
  <c r="E258" i="3"/>
  <c r="E405" i="3"/>
  <c r="E522" i="3"/>
  <c r="E58" i="3"/>
  <c r="E442" i="3"/>
  <c r="E202" i="3"/>
  <c r="E99" i="3"/>
  <c r="E85" i="3"/>
  <c r="E393" i="3"/>
  <c r="E194" i="3"/>
  <c r="AQ6" i="3"/>
  <c r="E467" i="3"/>
  <c r="E360" i="3"/>
  <c r="AF6" i="3"/>
  <c r="E138" i="3"/>
  <c r="E64" i="3"/>
  <c r="E566" i="3"/>
  <c r="E461" i="3"/>
  <c r="E507" i="3"/>
  <c r="E392" i="3"/>
  <c r="E539" i="3"/>
  <c r="E300" i="3"/>
  <c r="E470" i="3"/>
  <c r="E234" i="3"/>
  <c r="E154" i="3"/>
  <c r="E371" i="3"/>
  <c r="E521" i="3"/>
  <c r="E568" i="3"/>
  <c r="E490" i="3"/>
  <c r="E36" i="3"/>
  <c r="E575" i="3"/>
  <c r="E492" i="3"/>
  <c r="E104" i="3"/>
  <c r="E176" i="3"/>
  <c r="E323" i="3"/>
  <c r="E142" i="3"/>
  <c r="E15" i="3"/>
  <c r="E199" i="3"/>
  <c r="E160" i="3"/>
  <c r="E173" i="3"/>
  <c r="E35" i="3"/>
  <c r="E43" i="3"/>
  <c r="E155" i="3"/>
  <c r="E148" i="3"/>
  <c r="E174" i="3"/>
  <c r="E534" i="3"/>
  <c r="E251" i="3"/>
  <c r="E38" i="3"/>
  <c r="E375" i="3"/>
  <c r="E449" i="3"/>
  <c r="E342" i="3"/>
  <c r="E206" i="3"/>
  <c r="E34" i="3"/>
  <c r="AD6" i="3"/>
  <c r="E47" i="3"/>
  <c r="E493" i="3"/>
  <c r="E430" i="3"/>
  <c r="E23" i="3"/>
  <c r="E494" i="3"/>
  <c r="E158" i="3"/>
  <c r="E52" i="3"/>
  <c r="E195" i="3"/>
  <c r="E372" i="3"/>
  <c r="E80" i="3"/>
  <c r="I3" i="6"/>
  <c r="E33" i="3"/>
  <c r="E41" i="3"/>
  <c r="E326" i="3"/>
  <c r="E340" i="3"/>
  <c r="E386" i="3"/>
  <c r="AP6" i="3"/>
  <c r="E398" i="3"/>
  <c r="E248" i="3"/>
  <c r="E498" i="3"/>
  <c r="E517" i="3"/>
  <c r="E68" i="3"/>
  <c r="E139" i="3"/>
  <c r="E51" i="3"/>
  <c r="E524" i="3"/>
  <c r="E66" i="3"/>
  <c r="E192" i="3"/>
  <c r="E178" i="3"/>
  <c r="E364" i="3"/>
  <c r="E50" i="3"/>
  <c r="E363" i="3"/>
  <c r="E283" i="3"/>
  <c r="E281" i="3"/>
  <c r="E113" i="3"/>
  <c r="E374" i="3"/>
  <c r="E307" i="3"/>
  <c r="E25" i="3"/>
  <c r="E417" i="3"/>
  <c r="E309" i="3"/>
  <c r="E243" i="3"/>
  <c r="E373" i="3"/>
  <c r="E141" i="3"/>
  <c r="E284" i="3"/>
  <c r="E389" i="3"/>
  <c r="E308" i="3"/>
  <c r="E582" i="3"/>
  <c r="E584" i="3"/>
  <c r="E226" i="3"/>
  <c r="E132" i="3"/>
  <c r="E95" i="3"/>
  <c r="E356" i="3"/>
  <c r="E188" i="3"/>
  <c r="E464" i="3"/>
  <c r="E179" i="3"/>
  <c r="E469" i="3"/>
  <c r="E265" i="3"/>
  <c r="E212" i="3"/>
  <c r="E409" i="3"/>
  <c r="E205" i="3"/>
  <c r="E42" i="3"/>
  <c r="E83" i="3"/>
  <c r="E520" i="3"/>
  <c r="E48" i="3"/>
  <c r="E473" i="3"/>
  <c r="E349" i="3"/>
  <c r="E59" i="3"/>
  <c r="E94" i="3"/>
  <c r="E486" i="3"/>
  <c r="E416" i="3"/>
  <c r="E463" i="3"/>
  <c r="E497" i="3"/>
  <c r="E223" i="3"/>
  <c r="E540" i="3"/>
  <c r="E422" i="3"/>
  <c r="E502" i="3"/>
  <c r="E103" i="3"/>
  <c r="E525" i="3"/>
  <c r="E18" i="3"/>
  <c r="E170" i="3"/>
  <c r="E187" i="3"/>
  <c r="Y6" i="3"/>
  <c r="E289" i="3"/>
  <c r="E484" i="3"/>
  <c r="E310" i="3"/>
  <c r="E96" i="3"/>
  <c r="E108" i="3"/>
  <c r="E413" i="3"/>
  <c r="E325" i="3"/>
  <c r="E225" i="3"/>
  <c r="E209" i="3"/>
  <c r="E123" i="3"/>
  <c r="E435" i="3"/>
  <c r="E115" i="3"/>
  <c r="E370" i="3"/>
  <c r="E287" i="3"/>
  <c r="E436" i="3"/>
  <c r="E87" i="3"/>
  <c r="E466" i="3"/>
  <c r="E46" i="3"/>
  <c r="AL6" i="3"/>
  <c r="E22" i="3"/>
  <c r="E140" i="3"/>
  <c r="E75" i="3"/>
  <c r="E479" i="3"/>
  <c r="E369" i="3"/>
  <c r="E412" i="3"/>
  <c r="E37" i="3"/>
  <c r="E233" i="3"/>
  <c r="E456" i="3"/>
  <c r="E190" i="3"/>
  <c r="E564" i="3"/>
  <c r="E218" i="3"/>
  <c r="E259" i="3"/>
  <c r="E105" i="3"/>
  <c r="E292" i="3"/>
  <c r="T6" i="3"/>
  <c r="E78" i="3"/>
  <c r="E241" i="3"/>
  <c r="E118" i="3"/>
  <c r="E556" i="3"/>
  <c r="E383" i="3"/>
  <c r="E440" i="3"/>
  <c r="E244" i="3"/>
  <c r="E110" i="3"/>
  <c r="E276" i="3"/>
  <c r="E249" i="3"/>
  <c r="E451" i="3"/>
  <c r="E510" i="3"/>
  <c r="E149" i="3"/>
  <c r="E488" i="3"/>
  <c r="E63" i="3"/>
  <c r="E446" i="3"/>
  <c r="E163" i="3"/>
  <c r="E312" i="3"/>
  <c r="E19" i="3"/>
  <c r="E222" i="3"/>
  <c r="E354" i="3"/>
  <c r="E552" i="3"/>
  <c r="E65" i="3"/>
  <c r="E264" i="3"/>
  <c r="E487" i="3"/>
  <c r="E513" i="3"/>
  <c r="E459" i="3"/>
  <c r="E266" i="3"/>
  <c r="E365" i="3"/>
  <c r="E500" i="3"/>
  <c r="E460" i="3"/>
  <c r="E84" i="3"/>
  <c r="E82" i="3"/>
  <c r="E39" i="3"/>
  <c r="E24" i="3"/>
  <c r="E131" i="3"/>
  <c r="E144" i="3"/>
  <c r="E341" i="3"/>
  <c r="E240" i="3"/>
  <c r="E127" i="3"/>
  <c r="E348" i="3"/>
  <c r="E355" i="3"/>
  <c r="E504" i="3"/>
  <c r="E286" i="3"/>
  <c r="E420" i="3"/>
  <c r="E49" i="3"/>
  <c r="E419" i="3"/>
  <c r="E542" i="3"/>
  <c r="E98" i="3"/>
  <c r="E137" i="3"/>
  <c r="R6" i="3"/>
  <c r="E452" i="3"/>
  <c r="E86" i="3"/>
  <c r="N94" i="46"/>
  <c r="H26" i="43"/>
  <c r="P6" i="1"/>
  <c r="C13" i="12" s="1"/>
  <c r="E59" i="40"/>
  <c r="N370" i="46"/>
  <c r="E26" i="43"/>
  <c r="G26" i="43"/>
  <c r="J26" i="43"/>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E3" i="6"/>
  <c r="D5" i="43"/>
  <c r="J10" i="40"/>
  <c r="AC10" i="40" s="1"/>
  <c r="U10" i="39"/>
  <c r="F10" i="40"/>
  <c r="S10" i="40" s="1"/>
  <c r="J10" i="39"/>
  <c r="W10" i="39" s="1"/>
  <c r="H10" i="40"/>
  <c r="AB10" i="40" s="1"/>
  <c r="C7" i="43"/>
  <c r="C5" i="43" s="1"/>
  <c r="D10" i="52"/>
  <c r="D125" i="9"/>
  <c r="D11" i="52" s="1"/>
  <c r="B7" i="74"/>
  <c r="F59" i="67"/>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12" i="1"/>
  <c r="AE10" i="1"/>
  <c r="F41" i="67"/>
  <c r="C24" i="81" l="1"/>
  <c r="C53" i="81"/>
  <c r="C48" i="81" s="1"/>
  <c r="C10" i="81"/>
  <c r="C5" i="81" s="1"/>
  <c r="J24" i="81"/>
  <c r="J26" i="81"/>
  <c r="M14" i="1"/>
  <c r="AC6" i="3"/>
  <c r="E6" i="3" s="1"/>
  <c r="D26" i="43"/>
  <c r="C25" i="43" s="1"/>
  <c r="C33" i="43" s="1"/>
  <c r="E65" i="39"/>
  <c r="E69"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C8"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C38" i="81" l="1"/>
  <c r="C66" i="81"/>
  <c r="C60" i="81"/>
  <c r="D116" i="43"/>
  <c r="C7" i="74"/>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4" i="67"/>
  <c r="C17" i="15"/>
  <c r="C14" i="81"/>
  <c r="C15" i="81" l="1"/>
  <c r="C18" i="81"/>
  <c r="B24" i="1"/>
  <c r="F50" i="69" s="1"/>
  <c r="B23" i="1"/>
  <c r="C29" i="11"/>
  <c r="D27" i="11" s="1"/>
  <c r="C29" i="68"/>
  <c r="D27" i="68" s="1"/>
  <c r="C24" i="11"/>
  <c r="C44" i="11"/>
  <c r="D41" i="11" s="1"/>
  <c r="C44" i="68"/>
  <c r="D41" i="68" s="1"/>
  <c r="C28" i="11"/>
  <c r="C27" i="11" s="1"/>
  <c r="H24" i="6"/>
  <c r="D30" i="6"/>
  <c r="H22" i="6"/>
  <c r="R22" i="6" s="1"/>
  <c r="R9" i="1" s="1"/>
  <c r="H25" i="6"/>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M21" i="81"/>
  <c r="E6" i="76"/>
  <c r="F35" i="81"/>
  <c r="C14" i="15"/>
  <c r="B6" i="76"/>
  <c r="C18" i="12" l="1"/>
  <c r="C19" i="81"/>
  <c r="C20" i="81" s="1"/>
  <c r="C26" i="81" s="1"/>
  <c r="F34" i="11"/>
  <c r="F50" i="68"/>
  <c r="F50" i="11"/>
  <c r="F11" i="12"/>
  <c r="J53" i="81"/>
  <c r="M59" i="81"/>
  <c r="L59" i="81" s="1"/>
  <c r="J53" i="15"/>
  <c r="C34" i="81"/>
  <c r="C31" i="81" s="1"/>
  <c r="F63" i="81"/>
  <c r="C62" i="81" s="1"/>
  <c r="C59" i="81" s="1"/>
  <c r="J20" i="81"/>
  <c r="J17" i="81" s="1"/>
  <c r="C23" i="11"/>
  <c r="C26" i="11"/>
  <c r="D22" i="11" s="1"/>
  <c r="C26" i="68"/>
  <c r="D22" i="68" s="1"/>
  <c r="C25" i="11"/>
  <c r="F34" i="68"/>
  <c r="M59" i="67"/>
  <c r="M59" i="15"/>
  <c r="L59" i="15" s="1"/>
  <c r="C29" i="12"/>
  <c r="D28" i="12" s="1"/>
  <c r="C26" i="12"/>
  <c r="D25" i="12" s="1"/>
  <c r="E2" i="70"/>
  <c r="D8" i="71"/>
  <c r="C7" i="7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23" i="81" l="1"/>
  <c r="C29" i="81" s="1"/>
  <c r="C36" i="81" s="1"/>
  <c r="L56" i="15"/>
  <c r="F1" i="15"/>
  <c r="Q52" i="15"/>
  <c r="Q74" i="81"/>
  <c r="Q61" i="81"/>
  <c r="F1" i="81"/>
  <c r="Q52" i="81"/>
  <c r="Q74" i="15"/>
  <c r="Q61" i="15"/>
  <c r="C37" i="68"/>
  <c r="C36" i="68"/>
  <c r="C34" i="68"/>
  <c r="C22" i="11"/>
  <c r="C31" i="1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AE7" i="1"/>
  <c r="F41" i="15"/>
  <c r="AE8" i="1"/>
  <c r="F41" i="81"/>
  <c r="C57" i="81" l="1"/>
  <c r="C64" i="81" s="1"/>
  <c r="Q49" i="81"/>
  <c r="C13" i="81"/>
  <c r="C56" i="81" s="1"/>
  <c r="C65" i="81" s="1"/>
  <c r="C58" i="81" s="1"/>
  <c r="C67" i="81" s="1"/>
  <c r="J14" i="81"/>
  <c r="Q70" i="81"/>
  <c r="C75" i="81"/>
  <c r="J22" i="81"/>
  <c r="J13" i="81"/>
  <c r="J23" i="81" s="1"/>
  <c r="F69" i="81"/>
  <c r="J29" i="81"/>
  <c r="F69" i="15"/>
  <c r="C38" i="68"/>
  <c r="C35" i="68"/>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7" i="81" l="1"/>
  <c r="C30" i="81" s="1"/>
  <c r="C39" i="81" s="1"/>
  <c r="C80" i="81" s="1"/>
  <c r="C79" i="81" s="1"/>
  <c r="C68" i="81"/>
  <c r="J16" i="81"/>
  <c r="J25" i="81" s="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1"/>
  <c r="C40" i="81" l="1"/>
  <c r="C44" i="81" s="1"/>
  <c r="Q69" i="81"/>
  <c r="Q68" i="81" s="1"/>
  <c r="Q67" i="81"/>
  <c r="C71" i="81"/>
  <c r="C46" i="81"/>
  <c r="B2" i="81"/>
  <c r="Q65" i="81"/>
  <c r="Q75" i="81" s="1"/>
  <c r="Q56" i="81"/>
  <c r="Q62" i="81" s="1"/>
  <c r="C43" i="81"/>
  <c r="Q47" i="81"/>
  <c r="Q53" i="81" s="1"/>
  <c r="C83" i="81"/>
  <c r="C82" i="81" s="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B3" i="81" l="1"/>
  <c r="E6" i="12" s="1"/>
  <c r="E8" i="12"/>
  <c r="C41" i="68"/>
  <c r="C46" i="68"/>
  <c r="C45" i="68"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D13" i="77"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5"/>
  <c r="D2" i="36"/>
  <c r="D2" i="37"/>
  <c r="C51" i="68" l="1"/>
  <c r="D12" i="77"/>
  <c r="D11" i="77"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9" i="1"/>
  <c r="AO8" i="1"/>
  <c r="AO6" i="1"/>
  <c r="AO11" i="1"/>
  <c r="AO10" i="1"/>
  <c r="R48" i="39" l="1"/>
  <c r="E11" i="77"/>
  <c r="E7" i="77" s="1"/>
  <c r="C27" i="77" s="1"/>
  <c r="D7" i="77"/>
  <c r="C26" i="77" s="1"/>
  <c r="C32" i="77" s="1"/>
  <c r="C38" i="77" s="1"/>
  <c r="C39" i="77" s="1"/>
  <c r="C40" i="77" s="1"/>
  <c r="L46" i="15"/>
  <c r="B2" i="15"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B2" i="77" l="1"/>
  <c r="C41" i="77"/>
  <c r="B3" i="15"/>
  <c r="D6" i="12" s="1"/>
  <c r="D8" i="12"/>
  <c r="B7" i="70"/>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77" l="1"/>
  <c r="C6" i="12" s="1"/>
  <c r="C8" i="12"/>
  <c r="C4" i="12" s="1"/>
  <c r="F65" i="39"/>
  <c r="B2" i="39" s="1"/>
  <c r="C42" i="40"/>
  <c r="C43" i="40"/>
  <c r="E47" i="40"/>
  <c r="F47" i="40" s="1"/>
  <c r="E46" i="40"/>
  <c r="F46" i="40" s="1"/>
  <c r="I47" i="40"/>
  <c r="J47" i="40" s="1"/>
  <c r="B3" i="39" l="1"/>
  <c r="C6" i="68"/>
  <c r="C23" i="12"/>
  <c r="C31" i="12"/>
  <c r="C27" i="12"/>
  <c r="C25" i="12" s="1"/>
  <c r="C30" i="12"/>
  <c r="C28" i="12"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C32" i="12"/>
  <c r="B2" i="12" s="1"/>
  <c r="E14" i="74"/>
  <c r="F14" i="74"/>
  <c r="B5" i="74"/>
  <c r="D5" i="74" s="1"/>
  <c r="D19" i="9"/>
  <c r="C23" i="68" l="1"/>
  <c r="C20" i="68"/>
  <c r="D102" i="9"/>
  <c r="D21" i="9"/>
  <c r="B3" i="12"/>
  <c r="C5" i="74"/>
  <c r="B6" i="74"/>
  <c r="D6" i="74" s="1"/>
  <c r="D20" i="9"/>
  <c r="C28" i="68" l="1"/>
  <c r="C27" i="68" s="1"/>
  <c r="C25" i="68"/>
  <c r="C22" i="68" s="1"/>
  <c r="C31" i="68" s="1"/>
  <c r="C52" i="68" s="1"/>
  <c r="D103" i="9"/>
  <c r="C6" i="74"/>
  <c r="B2" i="68" l="1"/>
  <c r="C57" i="68"/>
  <c r="C56" i="68" s="1"/>
  <c r="C19" i="9"/>
  <c r="C102" i="9" l="1"/>
  <c r="C21" i="9"/>
  <c r="G19" i="9"/>
  <c r="G21" i="9" s="1"/>
  <c r="D22" i="9"/>
  <c r="B3" i="68"/>
  <c r="C20" i="9"/>
  <c r="C103" i="9" l="1"/>
  <c r="G20" i="9"/>
  <c r="C32" i="9" s="1"/>
  <c r="C35" i="9" s="1"/>
  <c r="C34" i="9" s="1"/>
  <c r="B20" i="72" l="1"/>
  <c r="M54" i="9"/>
  <c r="C81" i="9"/>
  <c r="B21" i="72"/>
  <c r="C104" i="9"/>
  <c r="H4" i="52"/>
  <c r="B51" i="72"/>
  <c r="D9" i="52"/>
  <c r="L64" i="9"/>
  <c r="M64" i="9"/>
  <c r="M48" i="9"/>
  <c r="D53" i="9"/>
  <c r="D52" i="9"/>
  <c r="F4" i="52"/>
  <c r="I4" i="52"/>
  <c r="C105" i="9"/>
  <c r="H108" i="9"/>
  <c r="D15" i="53"/>
  <c r="B31" i="72"/>
  <c r="B30" i="72"/>
  <c r="C80" i="9"/>
  <c r="E80" i="9"/>
  <c r="E81" i="9"/>
  <c r="D59" i="9"/>
  <c r="M55" i="9"/>
  <c r="G4" i="52"/>
  <c r="B52" i="72"/>
  <c r="D8" i="52"/>
  <c r="D122" i="9"/>
  <c r="D123" i="9"/>
  <c r="B53" i="72"/>
  <c r="L65" i="9"/>
  <c r="M65" i="9"/>
  <c r="L68" i="9"/>
  <c r="M68" i="9"/>
  <c r="M69" i="9"/>
  <c r="N69" i="9"/>
  <c r="D5" i="53"/>
  <c r="D6" i="53"/>
  <c r="B22" i="72"/>
  <c r="P57" i="9"/>
  <c r="D55" i="9"/>
  <c r="M53" i="9"/>
  <c r="N57" i="9"/>
  <c r="N58" i="9"/>
  <c r="C72" i="9"/>
  <c r="C79" i="9"/>
  <c r="L66" i="9"/>
  <c r="M66" i="9"/>
  <c r="C78" i="9"/>
  <c r="C73" i="9"/>
  <c r="N61" i="9"/>
  <c r="N59" i="9"/>
  <c r="N60" i="9"/>
  <c r="L67" i="9"/>
  <c r="M67" i="9"/>
  <c r="G118" i="9"/>
  <c r="F118" i="9"/>
  <c r="F119" i="9"/>
  <c r="F5" i="52"/>
  <c r="M49" i="9"/>
  <c r="L63" i="9"/>
  <c r="M63" i="9"/>
  <c r="C67" i="9"/>
  <c r="C68" i="9"/>
  <c r="D54" i="9"/>
  <c r="C93" i="9"/>
  <c r="C86" i="9"/>
  <c r="E97" i="9"/>
  <c r="H102" i="9"/>
  <c r="D7" i="53"/>
  <c r="D119" i="9"/>
  <c r="D5" i="52"/>
  <c r="B49" i="72"/>
  <c r="H107" i="9"/>
  <c r="D13" i="53"/>
  <c r="D14" i="53"/>
  <c r="B32" i="72"/>
  <c r="C96" i="9"/>
  <c r="E96" i="9"/>
  <c r="H119" i="9"/>
  <c r="H5" i="52"/>
  <c r="E4" i="52"/>
  <c r="B48" i="72"/>
  <c r="E118" i="9"/>
  <c r="D118" i="9"/>
  <c r="D4" i="52"/>
  <c r="B47" i="72"/>
  <c r="C85" i="9"/>
  <c r="C95" i="9"/>
  <c r="C97" i="9"/>
  <c r="D58" i="9"/>
  <c r="D56"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<sst xmlns="http://schemas.openxmlformats.org/spreadsheetml/2006/main" count="8376" uniqueCount="3496">
  <si>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</si>
  <si>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</si>
  <si>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</si>
  <si>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</si>
  <si>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</si>
  <si>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</si>
  <si>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</si>
  <si>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</si>
  <si>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</si>
  <si>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</si>
  <si>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</si>
  <si>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</si>
  <si>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</si>
  <si>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</si>
  <si>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</si>
  <si>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</si>
  <si>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</si>
  <si>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</si>
  <si>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</si>
  <si>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</si>
  <si>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</si>
  <si>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</si>
  <si>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</si>
  <si>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</si>
  <si>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</si>
  <si>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</si>
  <si>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</si>
  <si>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</si>
  <si>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</si>
  <si>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</si>
  <si>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</si>
  <si>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</si>
  <si>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</si>
  <si>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</si>
  <si>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</si>
  <si>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</si>
  <si>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</si>
  <si>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</si>
  <si>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</si>
  <si>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</si>
  <si>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</si>
  <si>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</si>
  <si>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</si>
  <si>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</si>
  <si>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</si>
  <si>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</si>
  <si>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</si>
  <si>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</si>
  <si>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</si>
  <si>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</si>
  <si>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</si>
  <si>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</si>
  <si>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</si>
  <si>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</si>
  <si>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</si>
  <si>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</si>
  <si>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</si>
  <si>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</si>
  <si>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</si>
  <si>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</si>
  <si>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</si>
  <si>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</si>
  <si>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</si>
  <si>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</si>
  <si>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</si>
  <si>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</si>
  <si>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</si>
  <si>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</si>
  <si>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</si>
  <si>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</si>
  <si>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</si>
  <si>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</si>
  <si>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</si>
  <si>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</si>
  <si>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</si>
  <si>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</si>
  <si>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</si>
  <si>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</si>
  <si>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</si>
  <si>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</si>
  <si>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</si>
  <si>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</si>
  <si>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</si>
  <si>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</si>
  <si>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</si>
  <si>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</si>
  <si>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</si>
  <si>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</si>
  <si>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</si>
  <si>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</si>
  <si>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</si>
  <si>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</si>
  <si>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</si>
  <si>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</si>
  <si>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</si>
  <si>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</si>
  <si>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</si>
  <si>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</si>
  <si>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</si>
  <si>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</si>
  <si>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</si>
  <si>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</si>
  <si>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</si>
  <si>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</si>
  <si>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</si>
  <si>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</si>
  <si>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</si>
  <si>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</si>
  <si>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</si>
  <si>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</si>
  <si>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</si>
  <si>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</si>
  <si>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</si>
  <si>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</si>
  <si>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</si>
  <si>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</si>
  <si>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</si>
  <si>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</si>
  <si>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</si>
  <si>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</si>
  <si>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</si>
  <si>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</si>
  <si>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</si>
  <si>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</si>
  <si>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</si>
  <si>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</si>
  <si>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</si>
  <si>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</si>
  <si>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</si>
  <si>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</si>
  <si>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</si>
  <si>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</si>
  <si>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</si>
  <si>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</si>
  <si>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</si>
  <si>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</si>
  <si>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</si>
  <si>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</si>
  <si>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</si>
  <si>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</si>
  <si>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</si>
  <si>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</si>
  <si>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</si>
  <si>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</si>
  <si>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</si>
  <si>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</si>
  <si>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</si>
  <si>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</si>
  <si>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</si>
  <si>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</si>
  <si>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</si>
  <si>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</si>
  <si>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</si>
  <si>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</si>
  <si>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</si>
  <si>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</si>
  <si>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</si>
  <si>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</si>
  <si>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</si>
  <si>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</si>
  <si>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</si>
  <si>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</si>
  <si>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</si>
  <si>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</si>
  <si>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</si>
  <si>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</si>
  <si>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</si>
  <si>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</si>
  <si>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</si>
  <si>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</si>
  <si>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</si>
  <si>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</si>
  <si>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</si>
  <si>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</si>
  <si>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</si>
  <si>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</si>
  <si>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</si>
  <si>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</si>
  <si>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</si>
  <si>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</si>
  <si>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</si>
  <si>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</si>
  <si>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</si>
  <si>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</si>
  <si>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</si>
  <si>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</si>
  <si>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</si>
  <si>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</si>
  <si>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</si>
  <si>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</si>
  <si>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</si>
  <si>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</si>
  <si>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</si>
  <si>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</si>
  <si>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</si>
  <si>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</si>
  <si>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</si>
  <si>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</si>
  <si>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</si>
  <si>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</si>
  <si>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</si>
  <si>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</si>
  <si>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</si>
  <si>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</si>
  <si>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</si>
  <si>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</si>
  <si>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</si>
  <si>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</si>
  <si>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</si>
  <si>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</si>
  <si>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</si>
  <si>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</si>
  <si>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</si>
  <si>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</si>
  <si>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</si>
  <si>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</si>
  <si>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</si>
  <si>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</si>
  <si>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</si>
  <si>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</si>
  <si>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</si>
  <si>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</si>
  <si>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</si>
  <si>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</si>
  <si>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</si>
  <si>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</si>
  <si>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</si>
  <si>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</si>
  <si>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</si>
  <si>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</si>
  <si>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</si>
  <si>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</si>
  <si>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</si>
  <si>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</si>
  <si>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</si>
  <si>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</si>
  <si>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</si>
  <si>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</si>
  <si>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</si>
  <si>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</si>
  <si>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</si>
  <si>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</si>
  <si>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</si>
  <si>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</si>
  <si>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</si>
  <si>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</si>
  <si>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</si>
  <si>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</si>
  <si>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</si>
  <si>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</si>
  <si>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</si>
  <si>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</si>
  <si>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</si>
  <si>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</si>
  <si>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</si>
  <si>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</si>
  <si>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</si>
  <si>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</si>
  <si>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</si>
  <si>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</si>
  <si>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</si>
  <si>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</si>
  <si>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</si>
  <si>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</si>
  <si>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</si>
  <si>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</si>
  <si>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</si>
  <si>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</si>
  <si>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</si>
  <si>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</si>
  <si>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</si>
  <si>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</si>
  <si>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</si>
  <si>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</si>
  <si>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</si>
  <si>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</si>
  <si>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</si>
  <si>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</si>
  <si>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</si>
  <si>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</si>
  <si>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</si>
  <si>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</si>
  <si>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</si>
  <si>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</si>
  <si>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</si>
  <si>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</si>
  <si>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</si>
  <si>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</si>
  <si>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</si>
  <si>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</si>
  <si>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</si>
  <si>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</si>
  <si>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</si>
  <si>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</si>
  <si>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</si>
  <si>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</si>
  <si>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</si>
  <si>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</si>
  <si>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</si>
  <si>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</si>
  <si>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</si>
  <si>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</si>
  <si>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</si>
  <si>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</si>
  <si>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</si>
  <si>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</si>
  <si>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</si>
  <si>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</si>
  <si>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</si>
  <si>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</si>
  <si>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</si>
  <si>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</si>
  <si>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</si>
  <si>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</si>
  <si>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</si>
  <si>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</si>
  <si>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</si>
  <si>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</si>
  <si>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</si>
  <si>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</si>
  <si>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</si>
  <si>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</si>
  <si>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</si>
  <si>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</si>
  <si>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</si>
  <si>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</si>
  <si>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</si>
  <si>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</si>
  <si>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</si>
  <si>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</si>
  <si>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</si>
  <si>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</si>
  <si>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</si>
  <si>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</si>
  <si>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</si>
  <si>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</si>
  <si>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</si>
  <si>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</si>
  <si>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</si>
  <si>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</si>
  <si>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</si>
  <si>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</si>
  <si>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</si>
  <si>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</si>
  <si>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</si>
  <si>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</si>
  <si>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</si>
  <si>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</si>
  <si>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</si>
  <si>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</si>
  <si>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</si>
  <si>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</si>
  <si>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</si>
  <si>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</si>
  <si>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</si>
  <si>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</si>
  <si>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</si>
  <si>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</si>
  <si>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</si>
  <si>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</si>
  <si>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</si>
  <si>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</si>
  <si>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</si>
  <si>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</si>
  <si>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</si>
  <si>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</si>
  <si>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</si>
  <si>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</si>
  <si>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</si>
  <si>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</si>
  <si>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</si>
  <si>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</si>
  <si>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</si>
  <si>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</si>
  <si>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</si>
  <si>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</si>
  <si>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</si>
  <si>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</si>
  <si>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</si>
  <si>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</si>
  <si>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</si>
  <si>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</si>
  <si>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</si>
  <si>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</si>
  <si>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</si>
  <si>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</si>
  <si>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</si>
  <si>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</si>
  <si>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</si>
  <si>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</si>
  <si>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</si>
  <si>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</si>
  <si>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</si>
  <si>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</si>
  <si>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</si>
  <si>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</si>
  <si>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</si>
  <si>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</si>
  <si>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</si>
  <si>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</si>
  <si>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</si>
  <si>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</si>
  <si>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</si>
  <si>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</si>
  <si>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</si>
  <si>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</si>
  <si>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</si>
  <si>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</si>
  <si>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</si>
  <si>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</si>
  <si>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</si>
  <si>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</si>
  <si>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</si>
  <si>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</si>
  <si>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</si>
  <si>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</si>
  <si>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</si>
  <si>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</si>
  <si>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</si>
  <si>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</si>
  <si>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</si>
  <si>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</si>
  <si>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</si>
  <si>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</si>
  <si>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</si>
  <si>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</si>
  <si>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</si>
  <si>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</si>
  <si>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</si>
  <si>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</si>
  <si>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</si>
  <si>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</si>
  <si>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</si>
  <si>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</si>
  <si>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</si>
  <si>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</si>
  <si>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</si>
  <si>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</si>
  <si>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</si>
  <si>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</si>
  <si>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</si>
  <si>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</si>
  <si>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</si>
  <si>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</si>
  <si>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</si>
  <si>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</si>
  <si>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</si>
  <si>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</si>
  <si>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</si>
  <si>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</si>
  <si>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</si>
  <si>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</si>
  <si>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</si>
  <si>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</si>
  <si>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</si>
  <si>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</si>
  <si>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</si>
  <si>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</si>
  <si>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</si>
  <si>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</si>
  <si>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</si>
  <si>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</si>
  <si>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</si>
  <si>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</si>
  <si>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</si>
  <si>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</si>
  <si>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</si>
  <si>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</si>
  <si>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</si>
  <si>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</si>
  <si>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</si>
  <si>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</si>
  <si>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</si>
  <si>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</si>
  <si>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</si>
  <si>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</si>
  <si>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</si>
  <si>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</si>
  <si>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</si>
  <si>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</si>
  <si>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</si>
  <si>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</si>
  <si>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</si>
  <si>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</si>
  <si>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</si>
  <si>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</si>
  <si>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</si>
  <si>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</si>
  <si>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</si>
  <si>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</si>
  <si>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</si>
  <si>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</si>
  <si>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</si>
  <si>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</si>
  <si>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</si>
  <si>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</si>
  <si>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</si>
  <si>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</si>
  <si>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</si>
  <si>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</si>
  <si>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</si>
  <si>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</si>
  <si>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</si>
  <si>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</si>
  <si>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</si>
  <si>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</si>
  <si>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</si>
  <si>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</si>
  <si>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</si>
  <si>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</si>
  <si>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</si>
  <si>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</si>
  <si>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</si>
  <si>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</si>
  <si>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</si>
  <si>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</si>
  <si>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</si>
  <si>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</si>
  <si>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</si>
  <si>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</si>
  <si>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</si>
  <si>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</si>
  <si>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</si>
  <si>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</si>
  <si>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</si>
  <si>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</si>
  <si>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</si>
  <si>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</si>
  <si>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</si>
  <si>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</si>
  <si>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</si>
  <si>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</si>
  <si>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</si>
  <si>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</si>
  <si>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</si>
  <si>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</si>
  <si>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</si>
  <si>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</si>
  <si>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</si>
  <si>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</si>
  <si>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</si>
  <si>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</si>
  <si>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</si>
  <si>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</si>
  <si>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</si>
  <si>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</si>
  <si>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</si>
  <si>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</si>
  <si>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</si>
  <si>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</si>
  <si>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</si>
  <si>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</si>
  <si>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</si>
  <si>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</si>
  <si>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</si>
  <si>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</si>
  <si>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</si>
  <si>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</si>
  <si>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</si>
  <si>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</si>
  <si>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</si>
  <si>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</si>
  <si>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</si>
  <si>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</si>
  <si>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</si>
  <si>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</si>
  <si>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</si>
  <si>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</si>
  <si>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</si>
  <si>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</si>
  <si>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</si>
  <si>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</si>
  <si>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</si>
  <si>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</si>
  <si>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</si>
  <si>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</si>
  <si>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</si>
  <si>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</si>
  <si>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</si>
  <si>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</si>
  <si>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</si>
  <si>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</si>
  <si>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</si>
  <si>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</si>
  <si>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</si>
  <si>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</si>
  <si>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</si>
  <si>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</si>
  <si>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</si>
  <si>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</si>
  <si>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</si>
  <si>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</si>
  <si>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</si>
  <si>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</si>
  <si>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</si>
  <si>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</si>
  <si>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</si>
  <si>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</si>
  <si>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</si>
  <si>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</si>
  <si>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</si>
  <si>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</si>
  <si>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</si>
  <si>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</si>
  <si>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</si>
  <si>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</si>
  <si>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</si>
  <si>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</si>
  <si>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</si>
  <si>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</si>
  <si>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</si>
  <si>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</si>
  <si>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</si>
  <si>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</si>
  <si>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</si>
  <si>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</si>
  <si>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</si>
  <si>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</si>
  <si>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</si>
  <si>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</si>
  <si>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</si>
  <si>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</si>
  <si>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</si>
  <si>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</si>
  <si>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</si>
  <si>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</si>
  <si>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</si>
  <si>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</si>
  <si>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</si>
  <si>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</si>
  <si>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</si>
  <si>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</si>
  <si>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</si>
  <si>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</si>
  <si>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</si>
  <si>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</si>
  <si>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</si>
  <si>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</si>
  <si>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</si>
  <si>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</si>
  <si>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</si>
  <si>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</si>
  <si>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</si>
  <si>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</si>
  <si>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</si>
  <si>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</si>
  <si>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</si>
  <si>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</si>
  <si>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</si>
  <si>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</si>
  <si>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</si>
  <si>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</si>
  <si>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</si>
  <si>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</si>
  <si>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</si>
  <si>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</si>
  <si>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</si>
  <si>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</si>
  <si>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</si>
  <si>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</si>
  <si>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</si>
  <si>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</si>
  <si>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</si>
  <si>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</si>
  <si>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</si>
  <si>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</si>
  <si>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</si>
  <si>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</si>
  <si>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</si>
  <si>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</si>
  <si>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</si>
  <si>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</si>
  <si>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</si>
  <si>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</si>
  <si>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</si>
  <si>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</si>
  <si>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</si>
  <si>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</si>
  <si>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</si>
  <si>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</si>
  <si>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</si>
  <si>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</si>
  <si>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</si>
  <si>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</si>
  <si>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</si>
  <si>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</si>
  <si>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</si>
  <si>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</si>
  <si>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</si>
  <si>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</si>
  <si>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</si>
  <si>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</si>
  <si>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</si>
  <si>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</si>
  <si>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</si>
  <si>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</si>
  <si>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</si>
  <si>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</si>
  <si>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</si>
  <si>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</si>
  <si>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</si>
  <si>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</si>
  <si>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</si>
  <si>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</si>
  <si>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</si>
  <si>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</si>
  <si>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</si>
  <si>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</si>
  <si>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</si>
  <si>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</si>
  <si>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</si>
  <si>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</si>
  <si>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</si>
  <si>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</si>
  <si>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</si>
  <si>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</si>
  <si>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</si>
  <si>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</si>
  <si>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</si>
  <si>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</si>
  <si>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</si>
  <si>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</si>
  <si>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</si>
  <si>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</si>
  <si>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</si>
  <si>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</si>
  <si>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</si>
  <si>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</si>
  <si>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</si>
  <si>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</si>
  <si>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</si>
  <si>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</si>
  <si>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</si>
  <si>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</si>
  <si>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</si>
  <si>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</si>
  <si>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</si>
  <si>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</si>
  <si>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</si>
  <si>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</si>
  <si>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</si>
  <si>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</si>
  <si>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</si>
  <si>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</si>
  <si>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</si>
  <si>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</si>
  <si>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</si>
  <si>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</si>
  <si>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</si>
  <si>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</si>
  <si>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</si>
  <si>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</si>
  <si>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</si>
  <si>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</si>
  <si>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</si>
  <si>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</si>
  <si>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</si>
  <si>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</si>
  <si>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</si>
  <si>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</si>
  <si>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</si>
  <si>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</si>
  <si>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</si>
  <si>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</si>
  <si>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</si>
  <si>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</si>
  <si>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</si>
  <si>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</si>
  <si>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</si>
  <si>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</si>
  <si>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</si>
  <si>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</si>
  <si>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</si>
  <si>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</si>
  <si>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</si>
  <si>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</si>
  <si>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</si>
  <si>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</si>
  <si>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</si>
  <si>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</si>
  <si>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</si>
  <si>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</si>
  <si>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</si>
  <si>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</si>
  <si>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</si>
  <si>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</si>
  <si>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</si>
  <si>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</si>
  <si>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</si>
  <si>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</si>
  <si>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</si>
  <si>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</si>
  <si>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</si>
  <si>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</si>
  <si>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</si>
  <si>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</si>
  <si>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</si>
  <si>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</si>
  <si>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</si>
  <si>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</si>
  <si>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</si>
  <si>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</si>
  <si>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</si>
  <si>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</si>
  <si>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</si>
  <si>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</si>
  <si>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</si>
  <si>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</si>
  <si>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</si>
  <si>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</si>
  <si>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</si>
  <si>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</si>
  <si>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</si>
  <si>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</si>
  <si>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</si>
  <si>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</si>
  <si>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</si>
  <si>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</si>
  <si>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</si>
  <si>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</si>
  <si>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</si>
  <si>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</si>
  <si>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</si>
  <si>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</si>
  <si>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</si>
  <si>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</si>
  <si>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</si>
  <si>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</si>
  <si>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</si>
  <si>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</si>
  <si>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</si>
  <si>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</si>
  <si>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</si>
  <si>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</si>
  <si>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</si>
  <si>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</si>
  <si>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</si>
  <si>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</si>
  <si>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</si>
  <si>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</si>
  <si>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</si>
  <si>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</si>
  <si>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</si>
  <si>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</si>
  <si>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</si>
  <si>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</si>
  <si>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</si>
  <si>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</si>
  <si>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</si>
  <si>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</si>
  <si>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</si>
  <si>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</si>
  <si>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</si>
  <si>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</si>
  <si>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</si>
  <si>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</si>
  <si>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</si>
  <si>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</si>
  <si>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</si>
  <si>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</si>
  <si>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</si>
  <si>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</si>
  <si>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</si>
  <si>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</si>
  <si>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</si>
  <si>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</si>
  <si>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</si>
  <si>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</si>
  <si>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</si>
  <si>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</si>
  <si>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</si>
  <si>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</si>
  <si>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</si>
  <si>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</si>
  <si>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</si>
  <si>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</si>
  <si>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</si>
  <si>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</si>
  <si>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</si>
  <si>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</si>
  <si>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</si>
  <si>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</si>
  <si>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</si>
  <si>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</si>
  <si>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</si>
  <si>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</si>
  <si>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</si>
  <si>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</si>
  <si>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</si>
  <si>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</si>
  <si>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</si>
  <si>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</si>
  <si>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</si>
  <si>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</si>
  <si>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</si>
  <si>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</si>
  <si>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</si>
  <si>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</si>
  <si>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</si>
  <si>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</si>
  <si>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</si>
  <si>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</si>
  <si>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</si>
  <si>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</si>
  <si>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</si>
  <si>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</si>
  <si>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</si>
  <si>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</si>
  <si>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</si>
  <si>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</si>
  <si>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</si>
  <si>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</si>
  <si>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</si>
  <si>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</si>
  <si>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</si>
  <si>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</si>
  <si>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</si>
  <si>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</si>
  <si>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</si>
  <si>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</si>
  <si>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</si>
  <si>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</si>
  <si>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</si>
  <si>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</si>
  <si>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</si>
  <si>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</si>
  <si>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</si>
  <si>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</si>
  <si>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</si>
  <si>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</si>
  <si>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</si>
  <si>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</si>
  <si>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</si>
  <si>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</si>
  <si>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</si>
  <si>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</si>
  <si>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</si>
  <si>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</si>
  <si>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</si>
  <si>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</si>
  <si>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</si>
  <si>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</si>
  <si>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</si>
  <si>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</si>
  <si>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</si>
  <si>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</si>
  <si>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</si>
  <si>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</si>
  <si>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</si>
  <si>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</si>
  <si>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</si>
  <si>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</si>
  <si>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</si>
  <si>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</si>
  <si>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</si>
  <si>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</si>
  <si>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</si>
  <si>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</si>
  <si>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</si>
  <si>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</si>
  <si>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</si>
  <si>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</si>
  <si>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</si>
  <si>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</si>
  <si>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</si>
  <si>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</si>
  <si>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</si>
  <si>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</si>
  <si>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</si>
  <si>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</si>
  <si>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</si>
  <si>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</si>
  <si>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</si>
  <si>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</si>
  <si>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</si>
  <si>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</si>
  <si>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</si>
  <si>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</si>
  <si>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</si>
  <si>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</si>
  <si>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</si>
  <si>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</si>
  <si>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</si>
  <si>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</si>
  <si>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</si>
  <si>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</si>
  <si>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</si>
  <si>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</si>
  <si>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</si>
  <si>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</si>
  <si>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</si>
  <si>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</si>
  <si>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</si>
  <si>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</si>
  <si>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</si>
  <si>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</si>
  <si>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</si>
  <si>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</si>
  <si>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</si>
  <si>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</si>
  <si>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</si>
  <si>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</si>
  <si>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</si>
  <si>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</si>
  <si>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</si>
  <si>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</si>
  <si>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</si>
  <si>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</si>
  <si>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</si>
  <si>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</si>
  <si>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</si>
  <si>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</si>
  <si>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</si>
  <si>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</si>
  <si>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</si>
  <si>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</si>
  <si>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</si>
  <si>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</si>
  <si>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</si>
  <si>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</si>
  <si>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</si>
  <si>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</si>
  <si>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</si>
  <si>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</si>
  <si>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</si>
  <si>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</si>
  <si>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</si>
  <si>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</si>
  <si>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</si>
  <si>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</si>
  <si>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</si>
  <si>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</si>
  <si>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</si>
  <si>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</si>
  <si>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</si>
  <si>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</si>
  <si>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</si>
  <si>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</si>
  <si>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</si>
  <si>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</si>
  <si>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</si>
  <si>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</si>
  <si>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</si>
  <si>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</si>
  <si>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</si>
  <si>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</si>
  <si>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</si>
  <si>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</si>
  <si>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</si>
  <si>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</si>
  <si>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</si>
  <si>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</si>
  <si>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</si>
  <si>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</si>
  <si>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</si>
  <si>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</si>
  <si>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</si>
  <si>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</si>
  <si>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</si>
  <si>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</si>
  <si>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</si>
  <si>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</si>
  <si>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</si>
  <si>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</si>
  <si>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</si>
  <si>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</si>
  <si>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</si>
  <si>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</si>
  <si>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</si>
  <si>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</si>
  <si>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</si>
  <si>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</si>
  <si>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</si>
  <si>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</si>
  <si>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</si>
  <si>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</si>
  <si>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</si>
  <si>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</si>
  <si>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</si>
  <si>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</si>
  <si>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</si>
  <si>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</si>
  <si>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</si>
  <si>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</si>
  <si>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</si>
  <si>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</si>
  <si>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</si>
  <si>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</si>
  <si>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</si>
  <si>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</si>
  <si>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</si>
  <si>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</si>
  <si>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</si>
  <si>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</si>
  <si>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</si>
  <si>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</si>
  <si>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</si>
  <si>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</si>
  <si>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</si>
  <si>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</si>
  <si>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</si>
  <si>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</si>
  <si>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</si>
  <si>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</si>
  <si>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</si>
  <si>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</si>
  <si>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</si>
  <si>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</si>
  <si>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</si>
  <si>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</si>
  <si>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</si>
  <si>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</si>
  <si>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</si>
  <si>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</si>
  <si>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</si>
  <si>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</si>
  <si>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</si>
  <si>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</si>
  <si>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</si>
  <si>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</si>
  <si>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</si>
  <si>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</si>
  <si>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</si>
  <si>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</si>
  <si>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</si>
  <si>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</si>
  <si>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</si>
  <si>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</si>
  <si>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</si>
  <si>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</si>
  <si>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</si>
  <si>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</si>
  <si>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</si>
  <si>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</si>
  <si>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</si>
  <si>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</si>
  <si>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</si>
  <si>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</si>
  <si>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</si>
  <si>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</si>
  <si>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</si>
  <si>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</si>
  <si>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</si>
  <si>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</si>
  <si>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</si>
  <si>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</si>
  <si>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</si>
  <si>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</si>
  <si>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</si>
  <si>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</si>
  <si>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</si>
  <si>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</si>
  <si>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</si>
  <si>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</si>
  <si>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</si>
  <si>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</si>
  <si>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</si>
  <si>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</si>
  <si>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</si>
  <si>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</si>
  <si>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</si>
  <si>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</si>
  <si>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</si>
  <si>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</si>
  <si>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</si>
  <si>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</si>
  <si>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</si>
  <si>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</si>
  <si>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</si>
  <si>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</si>
  <si>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</si>
  <si>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</si>
  <si>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</si>
  <si>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</si>
  <si>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</si>
  <si>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</si>
  <si>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</si>
  <si>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</si>
  <si>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</si>
  <si>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</si>
  <si>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</si>
  <si>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</si>
  <si>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</si>
  <si>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</si>
  <si>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</si>
  <si>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</si>
  <si>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</si>
  <si>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</si>
  <si>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</si>
  <si>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</si>
  <si>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</si>
  <si>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</si>
  <si>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</si>
  <si>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</si>
  <si>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</si>
  <si>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</si>
  <si>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</si>
  <si>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</si>
  <si>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</si>
  <si>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</si>
  <si>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</si>
  <si>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</si>
  <si>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</si>
  <si>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</si>
  <si>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</si>
  <si>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</si>
  <si>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</si>
  <si>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</si>
  <si>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</si>
  <si>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</si>
  <si>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</si>
  <si>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</si>
  <si>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</si>
  <si>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</si>
  <si>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</si>
  <si>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</si>
  <si>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</si>
  <si>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</si>
  <si>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</si>
  <si>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</si>
  <si>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</si>
  <si>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</si>
  <si>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</si>
  <si>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</si>
  <si>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</si>
  <si>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</si>
  <si>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</si>
  <si>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</si>
  <si>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</si>
  <si>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</si>
  <si>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</si>
  <si>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</si>
  <si>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</si>
  <si>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</si>
  <si>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</si>
  <si>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</si>
  <si>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</si>
  <si>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</si>
  <si>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</si>
  <si>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</si>
  <si>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</si>
  <si>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</si>
  <si>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</si>
  <si>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</si>
  <si>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</si>
  <si>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</si>
  <si>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</si>
  <si>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</si>
  <si>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</si>
  <si>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</si>
  <si>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</si>
  <si>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</si>
  <si>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</si>
  <si>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</si>
  <si>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</si>
  <si>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</si>
  <si>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</si>
  <si>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</si>
  <si>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</si>
  <si>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</si>
  <si>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</si>
  <si>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</si>
  <si>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</si>
  <si>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</si>
  <si>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</si>
  <si>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</si>
  <si>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</si>
  <si>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</si>
  <si>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</si>
  <si>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</si>
  <si>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</si>
  <si>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</si>
  <si>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</si>
  <si>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</si>
  <si>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</si>
  <si>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</si>
  <si>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</si>
  <si>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</si>
  <si>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</si>
  <si>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</si>
  <si>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</si>
  <si>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</si>
  <si>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</si>
  <si>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</si>
  <si>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</si>
  <si>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</si>
  <si>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</si>
  <si>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</si>
  <si>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</si>
  <si>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</si>
  <si>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</si>
  <si>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</si>
  <si>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</si>
  <si>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</si>
  <si>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</si>
  <si>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</si>
  <si>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</si>
  <si>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</si>
  <si>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</si>
  <si>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</si>
  <si>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</si>
  <si>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</si>
  <si>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</si>
  <si>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</si>
  <si>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</si>
  <si>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</si>
  <si>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</si>
  <si>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</si>
  <si>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</si>
  <si>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</si>
  <si>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</si>
  <si>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</si>
  <si>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</si>
  <si>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</si>
  <si>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</si>
  <si>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</si>
  <si>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</si>
  <si>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</si>
  <si>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</si>
  <si>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</si>
  <si>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</si>
  <si>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</si>
  <si>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</si>
  <si>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</si>
  <si>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</si>
  <si>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</si>
  <si>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</si>
  <si>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</si>
  <si>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</si>
  <si>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</si>
  <si>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</si>
  <si>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</si>
  <si>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</si>
  <si>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</si>
  <si>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</si>
  <si>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</si>
  <si>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</si>
  <si>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</si>
  <si>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</si>
  <si>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</si>
  <si>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</si>
  <si>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</si>
  <si>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</si>
  <si>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</si>
  <si>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</si>
  <si>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</si>
  <si>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</si>
  <si>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</si>
  <si>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</si>
  <si>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</si>
  <si>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</si>
  <si>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</si>
  <si>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</si>
  <si>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</si>
  <si>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</si>
  <si>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</si>
  <si>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</si>
  <si>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</si>
  <si>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</si>
  <si>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</si>
  <si>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</si>
  <si>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</si>
  <si>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</si>
  <si>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</si>
  <si>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</si>
  <si>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</si>
  <si>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</si>
  <si>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</si>
  <si>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</si>
  <si>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</si>
  <si>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</si>
  <si>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</si>
  <si>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</si>
  <si>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</si>
  <si>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</si>
  <si>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</si>
  <si>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</si>
  <si>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</si>
  <si>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</si>
  <si>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</si>
  <si>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</si>
  <si>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</si>
  <si>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</si>
  <si>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</si>
  <si>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</si>
  <si>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</si>
  <si>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</si>
  <si>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</si>
  <si>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</si>
  <si>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</si>
  <si>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</si>
  <si>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</si>
  <si>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</si>
  <si>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</si>
  <si>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</si>
  <si>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</si>
  <si>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</si>
  <si>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</si>
  <si>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</si>
  <si>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</si>
  <si>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</si>
  <si>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</si>
  <si>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</si>
  <si>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</si>
  <si>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</si>
  <si>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</si>
  <si>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</si>
  <si>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</si>
  <si>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</si>
  <si>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</si>
  <si>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</si>
  <si>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</si>
  <si>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</si>
  <si>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</si>
  <si>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</si>
  <si>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</si>
  <si>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</si>
  <si>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</si>
  <si>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</si>
  <si>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</si>
  <si>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</si>
  <si>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</si>
  <si>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</si>
  <si>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</si>
  <si>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</si>
  <si>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</si>
  <si>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</si>
  <si>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</si>
  <si>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</si>
  <si>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</si>
  <si>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</si>
  <si>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</si>
  <si>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</si>
  <si>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</si>
  <si>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</si>
  <si>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</si>
  <si>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</si>
  <si>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</si>
  <si>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</si>
  <si>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</si>
  <si>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</si>
  <si>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</si>
  <si>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</si>
  <si>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</si>
  <si>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</si>
  <si>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</si>
  <si>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</si>
  <si>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</si>
  <si>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</si>
  <si>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</si>
  <si>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</si>
  <si>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</si>
  <si>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</si>
  <si>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</si>
  <si>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</si>
  <si>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</si>
  <si>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</si>
  <si>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</si>
  <si>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</si>
  <si>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</si>
  <si>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</si>
  <si>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</si>
  <si>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</si>
  <si>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</si>
  <si>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</si>
  <si>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</si>
  <si>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</si>
  <si>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</si>
  <si>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</si>
  <si>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</si>
  <si>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</si>
  <si>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</si>
  <si>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</si>
  <si>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</si>
  <si>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</si>
  <si>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</si>
  <si>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</si>
  <si>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</si>
  <si>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</si>
  <si>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</si>
  <si>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</si>
  <si>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</si>
  <si>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</si>
  <si>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</si>
  <si>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</si>
  <si>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</si>
  <si>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</si>
  <si>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</si>
  <si>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</si>
  <si>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</si>
  <si>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</si>
  <si>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</si>
  <si>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</si>
  <si>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</si>
  <si>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</si>
  <si>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</si>
  <si>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</si>
  <si>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</si>
  <si>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</si>
  <si>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</si>
  <si>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</si>
  <si>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</si>
  <si>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</si>
  <si>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</si>
  <si>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</si>
  <si>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</si>
  <si>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</si>
  <si>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</si>
  <si>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</si>
  <si>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</si>
  <si>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</si>
  <si>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</si>
  <si>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</si>
  <si>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</si>
  <si>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</si>
  <si>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</si>
  <si>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</si>
  <si>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</si>
  <si>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</si>
  <si>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</si>
  <si>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</si>
  <si>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</si>
  <si>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</si>
  <si>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</si>
  <si>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</si>
  <si>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</si>
  <si>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</si>
  <si>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</si>
  <si>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</si>
  <si>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</si>
  <si>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</si>
  <si>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</si>
  <si>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</si>
  <si>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</si>
  <si>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</si>
  <si>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</si>
  <si>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</si>
  <si>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</si>
  <si>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</si>
  <si>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</si>
  <si>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</si>
  <si>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</si>
  <si>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</si>
  <si>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</si>
  <si>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</si>
  <si>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</si>
  <si>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</si>
  <si>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</si>
  <si>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</si>
  <si>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</si>
  <si>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</si>
  <si>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</si>
  <si>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</si>
  <si>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</si>
  <si>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</si>
  <si>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</si>
  <si>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</si>
  <si>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</si>
  <si>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</si>
  <si>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</si>
  <si>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</si>
  <si>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</si>
  <si>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</si>
  <si>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</si>
  <si>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</si>
  <si>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</si>
  <si>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</si>
  <si>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</si>
  <si>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</si>
  <si>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</si>
  <si>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</si>
  <si>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</si>
  <si>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</si>
  <si>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</si>
  <si>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</si>
  <si>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</si>
  <si>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</si>
  <si>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</si>
  <si>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</si>
  <si>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</si>
  <si>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</si>
  <si>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</si>
  <si>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</si>
  <si>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</si>
  <si>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</si>
  <si>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</si>
  <si>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</si>
  <si>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</si>
  <si>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</si>
  <si>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</si>
  <si>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</si>
  <si>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</si>
  <si>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</si>
  <si>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</si>
  <si>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</si>
  <si>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</si>
  <si>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</si>
  <si>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</si>
  <si>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</si>
  <si>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</si>
  <si>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</si>
  <si>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</si>
  <si>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</si>
  <si>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</si>
  <si>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</si>
  <si>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</si>
  <si>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</si>
  <si>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</si>
  <si>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</si>
  <si>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</si>
  <si>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</si>
  <si>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</si>
  <si>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</si>
  <si>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</si>
  <si>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</si>
  <si>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</si>
  <si>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</si>
  <si>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</si>
  <si>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</si>
  <si>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</si>
  <si>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</si>
  <si>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</si>
  <si>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</si>
  <si>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</si>
  <si>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</si>
  <si>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</si>
  <si>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</si>
  <si>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</si>
  <si>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</si>
  <si>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</si>
  <si>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</si>
  <si>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</si>
  <si>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</si>
  <si>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</si>
  <si>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</si>
  <si>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</si>
  <si>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</si>
  <si>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</si>
  <si>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</si>
  <si>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</si>
  <si>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</si>
  <si>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</si>
  <si>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</si>
  <si>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</si>
  <si>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</si>
  <si>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</si>
  <si>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</si>
  <si>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</si>
  <si>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</si>
  <si>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</si>
  <si>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</si>
  <si>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</si>
  <si>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</si>
  <si>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</si>
  <si>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</si>
  <si>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</si>
  <si>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</si>
  <si>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</si>
  <si>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</si>
  <si>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</si>
  <si>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</si>
  <si>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</si>
  <si>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</si>
  <si>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</si>
  <si>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</si>
  <si>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</si>
  <si>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</si>
  <si>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</si>
  <si>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</si>
  <si>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</si>
  <si>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</si>
  <si>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</si>
  <si>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</si>
  <si>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</si>
  <si>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</si>
  <si>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</si>
  <si>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</si>
  <si>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</si>
  <si>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</si>
  <si>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</si>
  <si>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</si>
  <si>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</si>
  <si>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</si>
  <si>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</si>
  <si>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</si>
  <si>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</si>
  <si>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</si>
  <si>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</si>
  <si>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</si>
  <si>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</si>
  <si>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</si>
  <si>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</si>
  <si>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</si>
  <si>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</si>
  <si>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</si>
  <si>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</si>
  <si>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</si>
  <si>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</si>
  <si>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</si>
  <si>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</si>
  <si>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</si>
  <si>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</si>
  <si>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</si>
  <si>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</si>
  <si>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</si>
  <si>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</si>
  <si>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</si>
  <si>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</si>
  <si>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</si>
  <si>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</si>
  <si>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</si>
  <si>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</si>
  <si>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</si>
  <si>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</si>
  <si>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</si>
  <si>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</si>
  <si>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</si>
  <si>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</si>
  <si>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</si>
  <si>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</si>
  <si>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</si>
  <si>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</si>
  <si>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</si>
  <si>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</si>
  <si>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</si>
  <si>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</si>
  <si>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</si>
  <si>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</si>
  <si>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</si>
  <si>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</si>
  <si>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</si>
  <si>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</si>
  <si>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</si>
  <si>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</si>
  <si>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</si>
  <si>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</si>
  <si>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</si>
  <si>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</si>
  <si>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</si>
  <si>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</si>
  <si>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</si>
  <si>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</si>
  <si>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</si>
  <si>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</si>
  <si>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</si>
  <si>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</si>
  <si>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</si>
  <si>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</si>
  <si>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</si>
  <si>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</si>
  <si>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</si>
  <si>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</si>
  <si>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</si>
  <si>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</si>
  <si>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</si>
  <si>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</si>
  <si>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</si>
  <si>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</si>
  <si>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</si>
  <si>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</si>
  <si>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</si>
  <si>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</si>
  <si>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</si>
  <si>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</si>
  <si>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</si>
  <si>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</si>
  <si>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</si>
  <si>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</si>
  <si>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</si>
  <si>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</si>
  <si>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</si>
  <si>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</si>
  <si>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</si>
  <si>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</si>
  <si>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</si>
  <si>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</si>
  <si>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</si>
  <si>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</si>
  <si>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</si>
  <si>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</si>
  <si>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</si>
  <si>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</si>
  <si>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</si>
  <si>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</si>
  <si>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</si>
  <si>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</si>
  <si>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</si>
  <si>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</si>
  <si>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</si>
  <si>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</si>
  <si>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</si>
  <si>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</si>
  <si>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</si>
  <si>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</si>
  <si>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</si>
  <si>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</si>
  <si>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</si>
  <si>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</si>
  <si>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</si>
  <si>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</si>
  <si>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</si>
  <si>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</si>
  <si>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</si>
  <si>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</si>
  <si>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</si>
  <si>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</si>
  <si>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</si>
  <si>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</si>
  <si>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</si>
  <si>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</si>
  <si>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</si>
  <si>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</si>
  <si>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</si>
  <si>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</si>
  <si>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</si>
  <si>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</si>
  <si>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</si>
  <si>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</si>
  <si>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</si>
  <si>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</si>
  <si>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</si>
  <si>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</si>
  <si>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</si>
  <si>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</si>
  <si>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</si>
  <si>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</si>
  <si>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</si>
  <si>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</si>
  <si>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</si>
  <si>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</si>
  <si>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</si>
  <si>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</si>
  <si>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</si>
  <si>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</si>
  <si>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</si>
  <si>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</si>
  <si>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</si>
  <si>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</si>
  <si>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</si>
  <si>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</si>
  <si>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</si>
  <si>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</si>
  <si>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</si>
  <si>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</si>
  <si>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</si>
  <si>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</si>
  <si>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</si>
  <si>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</si>
  <si>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</si>
  <si>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</si>
  <si>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</si>
  <si>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</si>
  <si>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</si>
  <si>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</si>
  <si>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</si>
  <si>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</si>
  <si>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</si>
  <si>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</si>
  <si>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</si>
  <si>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</si>
  <si>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</si>
  <si>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</si>
  <si>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</si>
  <si>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</si>
  <si>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</si>
  <si>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</si>
  <si>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</si>
  <si>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</si>
  <si>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</si>
  <si>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</si>
  <si>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</si>
  <si>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</si>
  <si>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</si>
  <si>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</si>
  <si>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</si>
  <si>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</si>
  <si>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</si>
  <si>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</si>
  <si>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</si>
  <si>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</si>
  <si>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</si>
  <si>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</si>
  <si>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</si>
  <si>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</si>
  <si>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</si>
  <si>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</si>
  <si>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</si>
  <si>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</si>
  <si>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</si>
  <si>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</si>
  <si>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</si>
  <si>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</si>
  <si>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</si>
  <si>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</si>
  <si>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</si>
  <si>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</si>
  <si>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</si>
  <si>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</si>
  <si>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</si>
  <si>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</si>
  <si>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</si>
  <si>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</si>
  <si>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</si>
  <si>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</si>
  <si>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</si>
  <si>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</si>
  <si>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</si>
  <si>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</si>
  <si>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</si>
  <si>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</si>
  <si>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</si>
  <si>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</si>
  <si>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</si>
  <si>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</si>
  <si>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</si>
  <si>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</si>
  <si>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</si>
  <si>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</si>
  <si>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</si>
  <si>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</si>
  <si>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</si>
  <si>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</si>
  <si>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</si>
  <si>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</si>
  <si>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</si>
  <si>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</si>
  <si>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</si>
  <si>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</si>
  <si>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</si>
  <si>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</si>
  <si>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</si>
  <si>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</si>
  <si>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</si>
  <si>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</si>
  <si>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</si>
  <si>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</si>
  <si>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</si>
  <si>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</si>
  <si>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</si>
  <si>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</si>
  <si>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</si>
  <si>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</si>
  <si>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</si>
  <si>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</si>
  <si>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</si>
  <si>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</si>
  <si>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</si>
  <si>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</si>
  <si>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</si>
  <si>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</si>
  <si>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</si>
  <si>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</si>
  <si>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</si>
  <si>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</si>
  <si>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</si>
  <si>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</si>
  <si>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</si>
  <si>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</si>
  <si>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</si>
  <si>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</si>
  <si>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</si>
  <si>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</si>
  <si>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</si>
  <si>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</si>
  <si>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</si>
  <si>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</si>
  <si>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</si>
  <si>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</si>
  <si>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</si>
  <si>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</si>
  <si>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</si>
  <si>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</si>
  <si>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</si>
  <si>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</si>
  <si>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</si>
  <si>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</si>
  <si>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</si>
  <si>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</si>
  <si>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</si>
  <si>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</si>
  <si>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</si>
  <si>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</si>
  <si>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</si>
  <si>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</si>
  <si>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</si>
  <si>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</si>
  <si>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</si>
  <si>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</si>
  <si>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</si>
  <si>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</si>
  <si>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</si>
  <si>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</si>
  <si>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</si>
  <si>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</si>
  <si>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</si>
  <si>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</si>
  <si>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</si>
  <si>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</si>
  <si>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</si>
  <si>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</si>
  <si>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</si>
  <si>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</si>
  <si>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</si>
  <si>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</si>
  <si>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</si>
  <si>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</si>
  <si>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</si>
  <si>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</si>
  <si>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</si>
  <si>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</si>
  <si>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</si>
  <si>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</si>
  <si>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</si>
  <si>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</si>
  <si>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</si>
  <si>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</si>
  <si>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</si>
  <si>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</si>
  <si>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</si>
  <si>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</si>
  <si>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</si>
  <si>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</si>
  <si>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</si>
  <si>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</si>
  <si>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</si>
  <si>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</si>
  <si>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</si>
  <si>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</si>
  <si>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</si>
  <si>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</si>
  <si>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</si>
  <si>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</si>
  <si>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</si>
  <si>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</si>
  <si>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</si>
  <si>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</si>
  <si>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</si>
  <si>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</si>
  <si>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</si>
  <si>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</si>
  <si>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</si>
  <si>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</si>
  <si>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</si>
  <si>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</si>
  <si>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</si>
  <si>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</si>
  <si>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</si>
  <si>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</si>
  <si>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</si>
  <si>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</si>
  <si>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</si>
  <si>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</si>
  <si>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</si>
  <si>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</si>
  <si>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</si>
  <si>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</si>
  <si>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</si>
  <si>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</si>
  <si>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</si>
  <si>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</si>
  <si>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</si>
  <si>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</si>
  <si>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</si>
  <si>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</si>
  <si>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</si>
  <si>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</si>
  <si>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</si>
  <si>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</si>
  <si>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</si>
  <si>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</si>
  <si>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</si>
  <si>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</si>
  <si>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</si>
  <si>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</si>
  <si>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</si>
  <si>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</si>
  <si>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</si>
  <si>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</si>
  <si>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</si>
  <si>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</si>
  <si>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</si>
  <si>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</si>
  <si>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</si>
  <si>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</si>
  <si>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</si>
  <si>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</si>
  <si>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</si>
  <si>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</si>
  <si>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</si>
  <si>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</si>
  <si>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</si>
  <si>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</si>
  <si>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</si>
  <si>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</si>
  <si>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</si>
  <si>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</si>
  <si>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</si>
  <si>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</si>
  <si>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</si>
  <si>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</si>
  <si>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</si>
  <si>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</si>
  <si>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</si>
  <si>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</si>
  <si>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</si>
  <si>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</si>
  <si>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</si>
  <si>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</si>
  <si>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</si>
  <si>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</si>
  <si>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</si>
  <si>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</si>
  <si>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</si>
  <si>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</si>
  <si>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</si>
  <si>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</si>
  <si>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</si>
  <si>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</si>
  <si>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</si>
  <si>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</si>
  <si>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</si>
  <si>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</si>
  <si>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</si>
  <si>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</si>
  <si>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</si>
  <si>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</si>
  <si>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</si>
  <si>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</si>
  <si>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</si>
  <si>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</si>
  <si>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</si>
  <si>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</si>
  <si>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</si>
  <si>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</si>
  <si>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</si>
  <si>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</si>
  <si>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</si>
  <si>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</si>
  <si>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</si>
  <si>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</si>
  <si>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</si>
  <si>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</si>
  <si>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</si>
  <si>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</si>
  <si>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</si>
  <si>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</si>
  <si>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</si>
  <si>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</si>
  <si>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</si>
  <si>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</si>
  <si>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</si>
  <si>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</si>
  <si>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</si>
  <si>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</si>
  <si>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</si>
  <si>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</si>
  <si>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</si>
  <si>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</si>
  <si>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</si>
  <si>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</si>
  <si>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</si>
  <si>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</si>
  <si>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</si>
  <si>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</si>
  <si>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</si>
  <si>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</si>
  <si>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</si>
  <si>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</si>
  <si>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</si>
  <si>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</si>
  <si>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</si>
  <si>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</si>
  <si>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</si>
  <si>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</si>
  <si>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</si>
  <si>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</si>
  <si>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</si>
  <si>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</si>
  <si>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</si>
  <si>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</si>
  <si>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</si>
  <si>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</si>
  <si>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</si>
  <si>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</si>
  <si>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</si>
  <si>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</si>
  <si>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</si>
  <si>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</si>
  <si>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</si>
  <si>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</si>
  <si>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</si>
  <si>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</si>
  <si>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</si>
  <si>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</si>
  <si>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</si>
  <si>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</si>
  <si>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</si>
  <si>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</si>
  <si>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</si>
  <si>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</si>
  <si>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</si>
  <si>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</si>
  <si>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</si>
  <si>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</si>
  <si>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</si>
  <si>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</si>
  <si>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</si>
  <si>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</si>
  <si>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</si>
  <si>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</si>
  <si>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</si>
  <si>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</si>
  <si>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</si>
  <si>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</si>
  <si>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</si>
  <si>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</si>
  <si>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</si>
  <si>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</si>
  <si>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</si>
  <si>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</si>
  <si>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</si>
  <si>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</si>
  <si>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</si>
  <si>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</si>
  <si>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</si>
  <si>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</si>
  <si>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</si>
  <si>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</si>
  <si>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</si>
  <si>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</si>
  <si>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</si>
  <si>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</si>
  <si>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</si>
  <si>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</si>
  <si>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</si>
  <si>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</si>
  <si>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</si>
  <si>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</si>
  <si>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</si>
  <si>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</si>
  <si>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</si>
  <si>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</si>
  <si>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</si>
  <si>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</si>
  <si>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</si>
  <si>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</si>
  <si>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</si>
  <si>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</si>
  <si>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</si>
  <si>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</si>
  <si>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</si>
  <si>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</si>
  <si>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</si>
  <si>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</si>
  <si>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</si>
  <si>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</si>
  <si>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</si>
  <si>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</si>
  <si>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</si>
  <si>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</si>
  <si>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</si>
  <si>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</si>
  <si>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</si>
  <si>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</si>
  <si>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</si>
  <si>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</si>
  <si>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</si>
  <si>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</si>
  <si>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</si>
  <si>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</si>
  <si>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</si>
  <si>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</si>
  <si>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</si>
  <si>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</si>
  <si>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</si>
  <si>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</si>
  <si>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</si>
  <si>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</si>
  <si>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</si>
  <si>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</si>
  <si>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</si>
  <si>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</si>
  <si>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</si>
  <si>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</si>
  <si>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</si>
  <si>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</si>
  <si>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</si>
  <si>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</si>
  <si>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</si>
  <si>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</si>
  <si>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</si>
  <si>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</si>
  <si>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</si>
  <si>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</si>
  <si>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</si>
  <si>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</si>
  <si>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</si>
  <si>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</si>
  <si>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</si>
  <si>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</si>
  <si>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</si>
  <si>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</si>
  <si>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</si>
  <si>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</si>
  <si>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</si>
  <si>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</si>
  <si>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</si>
  <si>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</si>
  <si>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</si>
  <si>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</si>
  <si>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</si>
  <si>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</si>
  <si>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</si>
  <si>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</si>
  <si>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</si>
  <si>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</si>
  <si>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</si>
  <si>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</si>
  <si>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</si>
  <si>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</si>
  <si>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</si>
  <si>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</si>
  <si>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</si>
  <si>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</si>
  <si>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</si>
  <si>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</si>
  <si>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</si>
  <si>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</si>
  <si>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</si>
  <si>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</si>
  <si>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</si>
  <si>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</si>
  <si>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</si>
  <si>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</si>
  <si>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</si>
  <si>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</si>
  <si>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</si>
  <si>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</si>
  <si>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</si>
  <si>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</si>
  <si>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</si>
  <si>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</si>
  <si>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</si>
  <si>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</si>
  <si>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</si>
  <si>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</si>
  <si>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</si>
  <si>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</si>
  <si>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</si>
  <si>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</si>
  <si>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</si>
  <si>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</si>
  <si>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</si>
  <si>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</si>
  <si>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</si>
  <si>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</si>
  <si>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</si>
  <si>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</si>
  <si>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</si>
  <si>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</si>
  <si>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</si>
  <si>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</si>
  <si>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</si>
  <si>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</si>
  <si>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</si>
  <si>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</si>
  <si>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</si>
  <si>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</si>
  <si>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</si>
  <si>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</si>
  <si>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</si>
  <si>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</si>
  <si>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</si>
  <si>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</si>
  <si>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</si>
  <si>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</si>
  <si>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</si>
  <si>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</si>
  <si>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</si>
  <si>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</si>
  <si>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</si>
  <si>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</si>
  <si>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</si>
  <si>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</si>
  <si>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</si>
  <si>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</si>
  <si>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</si>
  <si>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</si>
  <si>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</si>
  <si>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</si>
  <si>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</si>
  <si>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</si>
  <si>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</si>
  <si>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</si>
  <si>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</si>
  <si>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</si>
  <si>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</si>
  <si>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</si>
  <si>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</si>
  <si>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</si>
  <si>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</si>
  <si>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</si>
  <si>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</si>
  <si>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</si>
  <si>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</si>
  <si>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</si>
  <si>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</si>
  <si>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</si>
  <si>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</si>
  <si>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</si>
  <si>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</si>
  <si>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</si>
  <si>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</si>
  <si>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</si>
  <si>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</si>
  <si>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</si>
  <si>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</si>
  <si>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</si>
  <si>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</si>
  <si>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</si>
  <si>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</si>
  <si>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</si>
  <si>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</si>
  <si>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</si>
  <si>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</si>
  <si>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</si>
  <si>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</si>
  <si>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</si>
  <si>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</si>
  <si>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</si>
  <si>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</si>
  <si>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</si>
  <si>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</si>
  <si>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</si>
  <si>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</si>
  <si>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</si>
  <si>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</si>
  <si>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</si>
  <si>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</si>
  <si>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</si>
  <si>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</si>
  <si>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</si>
  <si>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</si>
  <si>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</si>
  <si>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</si>
  <si>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</si>
  <si>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</si>
  <si>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</si>
  <si>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</si>
  <si>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</si>
  <si>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</si>
  <si>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</si>
  <si>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</si>
  <si>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</si>
  <si>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</si>
  <si>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</si>
  <si>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</si>
  <si>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</si>
  <si>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</si>
  <si>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</si>
  <si>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</si>
  <si>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</si>
  <si>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</si>
  <si>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</si>
  <si>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</si>
  <si>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</si>
  <si>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</si>
  <si>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</si>
  <si>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</si>
  <si>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</si>
  <si>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</si>
  <si>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</si>
  <si>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</si>
  <si>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</si>
  <si>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</si>
  <si>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</si>
  <si>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</si>
  <si>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</si>
  <si>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</si>
  <si>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</si>
  <si>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</si>
  <si>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</si>
  <si>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</si>
  <si>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</si>
  <si>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</si>
  <si>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</si>
  <si>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</si>
  <si>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</si>
  <si>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</si>
  <si>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</si>
  <si>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</si>
  <si>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</si>
  <si>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</si>
  <si>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</si>
  <si>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</si>
  <si>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</si>
  <si>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</si>
  <si>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</si>
  <si>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</si>
  <si>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</si>
  <si>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</si>
  <si>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</si>
  <si>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</si>
  <si>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</si>
  <si>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</si>
  <si>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</si>
  <si>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</si>
  <si>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</si>
  <si>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</si>
  <si>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</si>
  <si>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</si>
  <si>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</si>
  <si>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</si>
  <si>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</si>
  <si>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</si>
  <si>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</si>
  <si>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</si>
  <si>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</si>
  <si>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</si>
  <si>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</si>
  <si>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</si>
  <si>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</si>
  <si>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</si>
  <si>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</si>
  <si>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</si>
  <si>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</si>
  <si>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</si>
  <si>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</si>
  <si>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</si>
  <si>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</si>
  <si>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</si>
  <si>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</si>
  <si>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</si>
  <si>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</si>
  <si>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</si>
  <si>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</si>
  <si>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</si>
  <si>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</si>
  <si>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</si>
  <si>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</si>
  <si>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</si>
  <si>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</si>
  <si>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</si>
  <si>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</si>
  <si>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</si>
  <si>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</si>
  <si>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</si>
  <si>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</si>
  <si>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</si>
  <si>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</si>
  <si>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</si>
  <si>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</si>
  <si>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</si>
  <si>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</si>
  <si>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</si>
  <si>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</si>
  <si>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</si>
  <si>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</si>
  <si>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</si>
  <si>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</si>
  <si>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</si>
  <si>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</si>
  <si>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</si>
  <si>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</si>
  <si>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</si>
  <si>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</si>
  <si>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</si>
  <si>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</si>
  <si>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</si>
  <si>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</si>
  <si>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</si>
  <si>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</si>
  <si>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</si>
  <si>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</si>
  <si>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</si>
  <si>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</si>
  <si>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</si>
  <si>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</si>
  <si>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</si>
  <si>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</si>
  <si>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</si>
  <si>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</si>
  <si>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</si>
  <si>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</si>
  <si>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</si>
  <si>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</si>
  <si>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</si>
  <si>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</si>
  <si>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</si>
  <si>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</si>
  <si>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</si>
  <si>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</si>
  <si>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</si>
  <si>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</si>
  <si>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</si>
  <si>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</si>
  <si>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</si>
  <si>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</si>
  <si>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</si>
  <si>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</si>
  <si>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</si>
  <si>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</si>
  <si>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</si>
  <si>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</si>
  <si>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</si>
  <si>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</si>
  <si>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</si>
  <si>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</si>
  <si>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</si>
  <si>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</si>
  <si>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</si>
  <si>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</si>
  <si>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</si>
  <si>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</si>
  <si>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</si>
  <si>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</si>
  <si>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</si>
  <si>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</si>
  <si>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</si>
  <si>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</si>
  <si>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</si>
  <si>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</si>
  <si>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</si>
  <si>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</si>
  <si>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</si>
  <si>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</si>
  <si>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</si>
  <si>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</si>
  <si>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</si>
  <si>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</si>
  <si>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</si>
  <si>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</si>
  <si>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</si>
  <si>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</si>
  <si>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</si>
  <si>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</si>
  <si>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</si>
  <si>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</si>
  <si>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</si>
  <si>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</si>
  <si>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</si>
  <si>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</si>
  <si>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</si>
  <si>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</si>
  <si>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</si>
  <si>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</si>
  <si>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</si>
  <si>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</si>
  <si>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</si>
  <si>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</si>
  <si>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</si>
  <si>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</si>
  <si>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</si>
  <si>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</si>
  <si>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</si>
  <si>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</si>
  <si>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</si>
  <si>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</si>
  <si>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</si>
  <si>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</si>
  <si>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</si>
  <si>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</si>
  <si>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</si>
  <si>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</si>
  <si>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</si>
  <si>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</si>
  <si>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</si>
  <si>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</si>
  <si>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</si>
  <si>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</si>
  <si>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</si>
  <si>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</si>
  <si>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</si>
  <si>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</si>
  <si>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</si>
  <si>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</si>
  <si>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</si>
  <si>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</si>
  <si>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</si>
  <si>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</si>
  <si>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</si>
  <si>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</si>
  <si>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</si>
  <si>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</si>
  <si>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</si>
  <si>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</si>
  <si>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</si>
  <si>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</si>
  <si>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</si>
  <si>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</si>
  <si>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</si>
  <si>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</si>
  <si>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</si>
  <si>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</si>
  <si>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</si>
  <si>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</si>
  <si>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</si>
  <si>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</si>
  <si>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</si>
  <si>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</si>
  <si>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</si>
  <si>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</si>
  <si>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</si>
  <si>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</si>
  <si>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</si>
  <si>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</si>
  <si>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</si>
  <si>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</si>
  <si>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</si>
  <si>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</si>
  <si>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</si>
  <si>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</si>
  <si>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</si>
  <si>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</si>
  <si>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</si>
  <si>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</si>
  <si>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</si>
  <si>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</si>
  <si>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</si>
  <si>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</si>
  <si>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</si>
  <si>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</si>
  <si>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</si>
  <si>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</si>
  <si>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</si>
  <si>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</si>
  <si>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</si>
  <si>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</si>
  <si>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</si>
  <si>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</si>
  <si>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</si>
  <si>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</si>
  <si>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</si>
  <si>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</si>
  <si>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</si>
  <si>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</si>
  <si>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</si>
  <si>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</si>
  <si>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</si>
  <si>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</si>
  <si>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</si>
  <si>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</si>
  <si>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</si>
  <si>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</si>
  <si>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</si>
  <si>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</si>
  <si>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</si>
  <si>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</si>
  <si>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</si>
  <si>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</si>
  <si>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</si>
  <si>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</si>
  <si>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</si>
  <si>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</si>
  <si>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</si>
  <si>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</si>
  <si>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</si>
  <si>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</si>
  <si>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</si>
  <si>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</si>
  <si>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</si>
  <si>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</si>
  <si>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</si>
  <si>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</si>
  <si>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</si>
  <si>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</si>
  <si>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</si>
  <si>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</si>
  <si>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</si>
  <si>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</si>
  <si>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</si>
  <si>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</si>
  <si>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</si>
  <si>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</si>
  <si>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</si>
  <si>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</si>
  <si>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</si>
  <si>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</si>
  <si>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</si>
  <si>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</si>
  <si>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</si>
  <si>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</si>
  <si>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</si>
  <si>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</si>
  <si>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</si>
  <si>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</si>
  <si>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</si>
  <si>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</si>
  <si>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</si>
  <si>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</si>
  <si>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</si>
  <si>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</si>
  <si>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</si>
  <si>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</si>
  <si>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</si>
  <si>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</si>
  <si>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</si>
  <si>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</si>
  <si>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</si>
  <si>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</si>
  <si>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</si>
  <si>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</si>
  <si>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</si>
  <si>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</si>
  <si>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</si>
  <si>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</si>
  <si>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</si>
  <si>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</si>
  <si>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</si>
  <si>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</si>
  <si>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</si>
  <si>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</si>
  <si>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</si>
  <si>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</si>
  <si>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</si>
  <si>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</si>
  <si>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</si>
  <si>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</si>
  <si>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</si>
  <si>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</si>
  <si>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</si>
  <si>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</si>
  <si>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</si>
  <si>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</si>
  <si>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</si>
  <si>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</si>
  <si>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</si>
  <si>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</si>
  <si>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</si>
  <si>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</si>
  <si>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</si>
  <si>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</si>
  <si>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</si>
  <si>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</si>
  <si>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</si>
  <si>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</si>
  <si>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</si>
  <si>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</si>
  <si>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</si>
  <si>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</si>
  <si>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</si>
  <si>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</si>
  <si>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</si>
  <si>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</si>
  <si>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</si>
  <si>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</si>
  <si>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</si>
  <si>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</si>
  <si>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</si>
  <si>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</si>
  <si>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</si>
  <si>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</si>
  <si>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</si>
  <si>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</si>
  <si>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</si>
  <si>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</si>
  <si>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</si>
  <si>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</si>
  <si>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</si>
  <si>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</si>
  <si>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</si>
  <si>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</si>
  <si>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</si>
  <si>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</si>
  <si>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</si>
  <si>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</si>
  <si>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</si>
  <si>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</si>
  <si>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</si>
  <si>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</si>
  <si>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</si>
  <si>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</si>
  <si>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</si>
  <si>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</si>
  <si>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</si>
  <si>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</si>
  <si>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</si>
  <si>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</si>
  <si>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</si>
  <si>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</si>
  <si>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</si>
  <si>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</si>
  <si>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</si>
  <si>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</si>
  <si>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</si>
  <si>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</si>
  <si>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</si>
  <si>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</si>
  <si>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</si>
  <si>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</si>
  <si>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</si>
  <si>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</si>
  <si>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</si>
  <si>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</si>
  <si>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</si>
  <si>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</si>
  <si>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</si>
  <si>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</si>
  <si>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</si>
  <si>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</si>
  <si>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</si>
  <si>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</si>
  <si>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</si>
  <si>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</si>
  <si>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</si>
  <si>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</si>
  <si>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</si>
  <si>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</si>
  <si>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</si>
  <si>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</si>
  <si>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</si>
  <si>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</si>
  <si>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</si>
  <si>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</si>
  <si>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</si>
  <si>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</si>
  <si>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</si>
  <si>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</si>
  <si>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</si>
  <si>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</si>
  <si>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</si>
  <si>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</si>
  <si>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</si>
  <si>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</si>
  <si>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</si>
  <si>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</si>
  <si>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</si>
  <si>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</si>
  <si>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</si>
  <si>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</si>
  <si>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</si>
  <si>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</si>
  <si>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</si>
  <si>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</si>
  <si>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</si>
  <si>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</si>
  <si>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</si>
  <si>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</si>
  <si>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</si>
  <si>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</si>
  <si>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</si>
  <si>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</si>
  <si>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</si>
  <si>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</si>
  <si>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</si>
  <si>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</si>
  <si>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</si>
  <si>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</si>
  <si>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</si>
  <si>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</si>
  <si>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</si>
  <si>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</si>
  <si>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</si>
  <si>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</si>
  <si>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</si>
  <si>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</si>
  <si>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</si>
  <si>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</si>
  <si>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</si>
  <si>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</si>
  <si>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</si>
  <si>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</si>
  <si>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</si>
  <si>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</si>
  <si>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</si>
  <si>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</si>
  <si>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</si>
  <si>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</si>
  <si>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</si>
  <si>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</si>
  <si>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</si>
  <si>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</si>
  <si>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</si>
  <si>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</si>
  <si>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</si>
  <si>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</si>
  <si>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</si>
  <si>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</si>
  <si>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</si>
  <si>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</si>
  <si>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</si>
  <si>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</si>
  <si>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</si>
  <si>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</si>
  <si>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</si>
  <si>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</si>
  <si>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</si>
  <si>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</si>
  <si>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</si>
  <si>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</si>
  <si>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</si>
  <si>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</si>
  <si>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</si>
  <si>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</si>
  <si>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</si>
  <si>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</si>
  <si>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</si>
  <si>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</si>
  <si>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</si>
  <si>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</si>
  <si>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</si>
  <si>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</si>
  <si>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</si>
  <si>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</si>
  <si>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</si>
  <si>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</si>
  <si>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</si>
  <si>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</si>
  <si>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</si>
  <si>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</si>
  <si>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</si>
  <si>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</si>
  <si>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</si>
  <si>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</si>
  <si>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</si>
  <si>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</si>
  <si>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</si>
  <si>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</si>
  <si>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</si>
  <si>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</si>
  <si>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</si>
  <si>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</si>
  <si>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</si>
  <si>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</si>
  <si>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</si>
  <si>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</si>
  <si>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</si>
  <si>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</si>
  <si>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</si>
  <si>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</si>
  <si>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</si>
  <si>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</si>
  <si>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</si>
  <si>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</si>
  <si>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</si>
  <si>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</si>
  <si>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</si>
  <si>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</si>
  <si>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</si>
  <si>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</si>
  <si>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</si>
  <si>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</si>
  <si>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</si>
  <si>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</si>
  <si>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</si>
  <si>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</si>
  <si>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</si>
  <si>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</si>
  <si>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</si>
  <si>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</si>
  <si>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</si>
  <si>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</si>
  <si>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</si>
  <si>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</si>
  <si>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</si>
  <si>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</si>
  <si>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</si>
  <si>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</si>
  <si>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</si>
  <si>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</si>
  <si>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</si>
  <si>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</si>
  <si>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</si>
  <si>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</si>
  <si>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</si>
  <si>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</si>
  <si>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</si>
  <si>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</si>
  <si>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</si>
  <si>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</si>
  <si>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</si>
  <si>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</si>
  <si>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</si>
  <si>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</si>
  <si>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</si>
  <si>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</si>
  <si>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</si>
  <si>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</si>
  <si>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</si>
  <si>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</si>
  <si>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</si>
  <si>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</si>
  <si>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</si>
  <si>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</si>
  <si>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</si>
  <si>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</si>
  <si>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</si>
  <si>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</si>
  <si>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</si>
  <si>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</si>
  <si>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</si>
  <si>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</si>
  <si>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</si>
  <si>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</si>
  <si>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</si>
  <si>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</si>
  <si>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</si>
  <si>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</si>
  <si>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</si>
  <si>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</si>
  <si>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</si>
  <si>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</si>
  <si>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</si>
  <si>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</si>
  <si>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</si>
  <si>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</si>
  <si>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</si>
  <si>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</si>
  <si>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</si>
  <si>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</si>
  <si>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</si>
  <si>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</si>
  <si>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</si>
  <si>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</si>
  <si>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</si>
  <si>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</si>
  <si>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</si>
  <si>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</si>
  <si>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</si>
  <si>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</si>
  <si>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</si>
  <si>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</si>
  <si>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</si>
  <si>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</si>
  <si>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</si>
  <si>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</si>
  <si>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</si>
  <si>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</si>
  <si>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</si>
  <si>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</si>
  <si>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</si>
  <si>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</si>
  <si>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</si>
  <si>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</si>
  <si>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</si>
  <si>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</si>
  <si>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</si>
  <si>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</si>
  <si>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</si>
  <si>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</si>
  <si>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</si>
  <si>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</si>
  <si>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</si>
  <si>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</si>
  <si>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</si>
  <si>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</si>
  <si>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</si>
  <si>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</si>
  <si>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</si>
  <si>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</si>
  <si>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</si>
  <si>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</si>
  <si>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</si>
  <si>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</si>
  <si>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</si>
  <si>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</si>
  <si>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</si>
  <si>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</si>
  <si>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</si>
  <si>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</si>
  <si>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</si>
  <si>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</si>
  <si>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</si>
  <si>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</si>
  <si>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</si>
  <si>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</si>
  <si>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</si>
  <si>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</si>
  <si>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</si>
  <si>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</si>
  <si>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</si>
  <si>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</si>
  <si>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</si>
  <si>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</si>
  <si>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</si>
  <si>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</si>
  <si>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</si>
  <si>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</si>
  <si>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</si>
  <si>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</si>
  <si>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</si>
  <si>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</si>
  <si>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</si>
  <si>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</si>
  <si>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</si>
  <si>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</si>
  <si>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</si>
  <si>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</si>
  <si>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</si>
  <si>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</si>
  <si>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</si>
  <si>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</si>
  <si>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</si>
  <si>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</si>
  <si>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</si>
  <si>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</si>
  <si>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</si>
  <si>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</si>
  <si>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</si>
  <si>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</si>
  <si>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</si>
  <si>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</si>
  <si>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</si>
  <si>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</si>
  <si>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</si>
  <si>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</si>
  <si>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</si>
  <si>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</si>
  <si>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</si>
  <si>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</si>
  <si>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</si>
  <si>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</si>
  <si>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</si>
  <si>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</si>
  <si>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</si>
  <si>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</si>
  <si>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</si>
  <si>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</si>
  <si>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</si>
  <si>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</si>
  <si>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</si>
  <si>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</si>
  <si>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</si>
  <si>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</si>
  <si>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</si>
  <si>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</si>
  <si>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</si>
  <si>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</si>
  <si>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</si>
  <si>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</si>
  <si>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</si>
  <si>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</si>
  <si>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</si>
  <si>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</si>
  <si>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</si>
  <si>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</si>
  <si>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</si>
  <si>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</si>
  <si>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</si>
  <si>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</si>
  <si>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</si>
  <si>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</si>
  <si>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</si>
  <si>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</si>
  <si>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</si>
  <si>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</si>
  <si>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</si>
  <si>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</si>
  <si>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</si>
  <si>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</si>
  <si>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</si>
  <si>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</si>
  <si>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</si>
  <si>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</si>
  <si>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</si>
  <si>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</si>
  <si>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</si>
  <si>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</si>
  <si>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</si>
  <si>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</si>
  <si>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</si>
  <si>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</si>
  <si>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</si>
  <si>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</si>
  <si>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</si>
  <si>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</si>
  <si>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</si>
  <si>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</si>
  <si>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</si>
  <si>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</si>
  <si>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</si>
  <si>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</si>
  <si>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</si>
  <si>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</si>
  <si>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</si>
  <si>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</si>
  <si>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</si>
  <si>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</si>
  <si>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</si>
  <si>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</si>
  <si>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</si>
  <si>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</si>
  <si>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</si>
  <si>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</si>
  <si>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</si>
  <si>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</si>
  <si>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</si>
  <si>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</si>
  <si>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</si>
  <si>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</si>
  <si>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</si>
  <si>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</si>
  <si>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</si>
  <si>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</si>
  <si>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</si>
  <si>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</si>
  <si>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</si>
  <si>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</si>
  <si>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</si>
  <si>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</si>
  <si>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</si>
  <si>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</si>
  <si>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</si>
  <si>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</si>
  <si>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</si>
  <si>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</si>
  <si>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</si>
  <si>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</si>
  <si>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</si>
  <si>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</si>
  <si>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</si>
  <si>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</si>
  <si>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</si>
  <si>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</si>
  <si>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</si>
  <si>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</si>
  <si>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</si>
  <si>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</si>
  <si>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</si>
  <si>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</si>
  <si>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</si>
  <si>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</si>
  <si>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</si>
  <si>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</si>
  <si>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</si>
  <si>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</si>
  <si>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</si>
  <si>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</si>
  <si>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</si>
  <si>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</si>
  <si>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</si>
  <si>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</si>
  <si>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</si>
  <si>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</si>
  <si>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</si>
  <si>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</si>
  <si>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</si>
  <si>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</si>
  <si>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</si>
  <si>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</si>
  <si>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</si>
  <si>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</si>
  <si>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</si>
  <si>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</si>
  <si>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</si>
  <si>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</si>
  <si>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</si>
  <si>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</si>
  <si>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</si>
  <si>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</si>
  <si>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</si>
  <si>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</si>
  <si>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</si>
  <si>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</si>
  <si>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</si>
  <si>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</si>
  <si>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</si>
  <si>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</si>
  <si>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</si>
  <si>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</si>
  <si>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</si>
  <si>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</si>
  <si>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</si>
  <si>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</si>
  <si>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</si>
  <si>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</si>
  <si>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</si>
  <si>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</si>
  <si>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</si>
  <si>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</si>
  <si>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</si>
  <si>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</si>
  <si>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</si>
  <si>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农商银行大兴支行</t>
    <phoneticPr fontId="6" type="noConversion"/>
  </si>
  <si>
    <t>抵押</t>
  </si>
  <si>
    <t>房地产抵押价值</t>
  </si>
  <si>
    <t>北京市</t>
  </si>
  <si>
    <t>企业</t>
  </si>
  <si>
    <t>酒店</t>
  </si>
  <si>
    <t>酒店</t>
    <phoneticPr fontId="3" type="noConversion"/>
  </si>
  <si>
    <t>是</t>
  </si>
  <si>
    <t>地上</t>
  </si>
  <si>
    <r>
      <t>1#</t>
    </r>
    <r>
      <rPr>
        <sz val="10"/>
        <color indexed="8"/>
        <rFont val="宋体"/>
        <family val="3"/>
        <charset val="134"/>
      </rPr>
      <t>办公楼</t>
    </r>
    <phoneticPr fontId="3" type="noConversion"/>
  </si>
  <si>
    <r>
      <t>2#</t>
    </r>
    <r>
      <rPr>
        <sz val="10"/>
        <color indexed="8"/>
        <rFont val="宋体"/>
        <family val="3"/>
        <charset val="134"/>
      </rPr>
      <t>办公楼</t>
    </r>
    <phoneticPr fontId="3" type="noConversion"/>
  </si>
  <si>
    <t>地下车库</t>
  </si>
  <si>
    <t>地下车库</t>
    <phoneticPr fontId="3" type="noConversion"/>
  </si>
  <si>
    <t>地下</t>
  </si>
  <si>
    <t>酒店</t>
    <phoneticPr fontId="7" type="noConversion"/>
  </si>
  <si>
    <t>办公</t>
    <phoneticPr fontId="7" type="noConversion"/>
  </si>
  <si>
    <t>地下车库</t>
    <phoneticPr fontId="7" type="noConversion"/>
  </si>
  <si>
    <t>工程进度</t>
  </si>
  <si>
    <t>利息：取LPR加浮动点数</t>
  </si>
  <si>
    <t>收益法</t>
  </si>
  <si>
    <t>在建（套用方法）</t>
  </si>
  <si>
    <t>押一</t>
  </si>
  <si>
    <t>钢混</t>
  </si>
  <si>
    <t>非生产用房</t>
  </si>
  <si>
    <t>自定义</t>
  </si>
  <si>
    <t>收益法(车库)</t>
  </si>
  <si>
    <t>收益法(车库)</t>
    <phoneticPr fontId="16" type="noConversion"/>
  </si>
  <si>
    <t>按比例</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</si>
  <si>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</si>
  <si>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</si>
  <si>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</si>
  <si>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</si>
  <si>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</si>
  <si>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</si>
  <si>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</si>
  <si>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</si>
  <si>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</si>
  <si>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</si>
  <si>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</si>
  <si>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</si>
  <si>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</si>
  <si>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</si>
  <si>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</si>
  <si>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</si>
  <si>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</si>
  <si>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北京市大兴区瀛海镇集体经营性建设用地入市试点(一期) YZ00-0803-0012 地块</t>
  </si>
  <si>
    <t>YZ00-0803-0012</t>
  </si>
  <si>
    <t xml:space="preserve"> 大兴区  </t>
  </si>
  <si>
    <t>住宅用地</t>
  </si>
  <si>
    <t xml:space="preserve"> 已成交  </t>
  </si>
  <si>
    <t xml:space="preserve"> F81绿隔产业用地(建设人才公寓)  </t>
  </si>
  <si>
    <t>2021-12-20</t>
  </si>
  <si>
    <t xml:space="preserve"> 北京博大新元房地产开发有限公司  </t>
  </si>
  <si>
    <t>北京市大兴区魏善庄镇集体经营性建设用地(北部组团)项目DX07-0303-0009地块</t>
  </si>
  <si>
    <t>京土集使挂(兴)[2021]001号</t>
  </si>
  <si>
    <t>其它用地</t>
  </si>
  <si>
    <t xml:space="preserve"> ≤2.2  </t>
  </si>
  <si>
    <t xml:space="preserve"> F81绿隔产业用地  </t>
  </si>
  <si>
    <t>2021-07-29</t>
  </si>
  <si>
    <t xml:space="preserve"> 北京兴瑞众信投资管理有限公司  </t>
  </si>
  <si>
    <t>集体建设用地区级统筹大兴区瀛海镇YZ00-0803-2009、2012A、2012B、2015地块</t>
  </si>
  <si>
    <t>京土集使挂(兴)[2019]001号</t>
  </si>
  <si>
    <t>综合用地(含住宅)</t>
  </si>
  <si>
    <t xml:space="preserve"> f81≤2.5  </t>
  </si>
  <si>
    <t>2021-02-09</t>
  </si>
  <si>
    <t xml:space="preserve"> 中建三局房地产开发有限公司、湖北省鄂旅投置业集团有限公司  </t>
  </si>
  <si>
    <t>集体建设用地区级统筹大兴区瀛海镇YZ00-0803-2003、2004、2005A、2005B、2008地块</t>
  </si>
  <si>
    <t>京土集使挂(兴)[2019]003号</t>
  </si>
  <si>
    <t xml:space="preserve"> F81绿隔产业用地(建设共有产权房)  </t>
  </si>
  <si>
    <t>2020-12-25</t>
  </si>
  <si>
    <t xml:space="preserve"> 北京北投如郡房地产开发有限公司  </t>
  </si>
  <si>
    <t>北京市大兴区西红门镇集体经营性建设用地2号地D地块</t>
  </si>
  <si>
    <t>京土集使挂(兴)[2020]003号</t>
  </si>
  <si>
    <t>2020-12-24</t>
  </si>
  <si>
    <t xml:space="preserve"> 中节能首座(北京)建设有限公司  </t>
  </si>
  <si>
    <t>北京市大兴区黄村镇狼垡地区集体产业用地2号地DX00-1002-L06地块</t>
  </si>
  <si>
    <t>京土集使挂(兴)[2020]001号</t>
  </si>
  <si>
    <t xml:space="preserve"> ≤2.5  </t>
  </si>
  <si>
    <t>2020-12-22</t>
  </si>
  <si>
    <t xml:space="preserve"> 北京兴业恒盛置业有限公司  </t>
  </si>
  <si>
    <t>集体建设用地区级统筹大兴区瀛海镇YZ00-0803-2010、2013A、2013B、2014、2016地块</t>
  </si>
  <si>
    <t>京土集使挂(兴)[2019]002号</t>
  </si>
  <si>
    <t>2019-09-12</t>
  </si>
  <si>
    <t xml:space="preserve"> 北京上瑞置业有限公司  </t>
  </si>
  <si>
    <t>北京市大兴区西红门镇集体经营性建设用地入市试点2号地C地块(2-006-1)F81绿隔产业用地</t>
  </si>
  <si>
    <t>京土集使挂(兴)[2018]002号</t>
  </si>
  <si>
    <t xml:space="preserve"> ≤2.0  </t>
  </si>
  <si>
    <t>2019-03-08</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</si>
  <si>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</si>
  <si>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</si>
  <si>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京土集使挂(兴)[2015]001号</t>
  </si>
  <si>
    <t xml:space="preserve"> ≤2  </t>
  </si>
  <si>
    <t>2016-01-15</t>
  </si>
  <si>
    <t xml:space="preserve"> 北京赞比西房地产开发有限公司  </t>
  </si>
  <si>
    <t>商业、办公</t>
  </si>
  <si>
    <t>商业、办公</t>
    <phoneticPr fontId="30" type="noConversion"/>
  </si>
  <si>
    <t>办公（人才公寓）</t>
  </si>
  <si>
    <t>办公（人才公寓）</t>
    <phoneticPr fontId="30" type="noConversion"/>
  </si>
  <si>
    <t>商业（含人才公寓）</t>
  </si>
  <si>
    <t>商业（含人才公寓）</t>
    <phoneticPr fontId="30" type="noConversion"/>
  </si>
  <si>
    <t>50</t>
    <phoneticPr fontId="30" type="noConversion"/>
  </si>
  <si>
    <t>40</t>
    <phoneticPr fontId="30" type="noConversion"/>
  </si>
  <si>
    <t>一般</t>
  </si>
  <si>
    <t>较好</t>
  </si>
  <si>
    <t>七通</t>
  </si>
  <si>
    <t>较规则</t>
  </si>
  <si>
    <t>较规则</t>
    <phoneticPr fontId="30" type="noConversion"/>
  </si>
  <si>
    <t>较适宜</t>
  </si>
  <si>
    <t>较适宜</t>
    <phoneticPr fontId="30" type="noConversion"/>
  </si>
  <si>
    <t>七通</t>
    <phoneticPr fontId="30" type="noConversion"/>
  </si>
  <si>
    <t>较好</t>
    <phoneticPr fontId="30" type="noConversion"/>
  </si>
  <si>
    <t>六通</t>
    <phoneticPr fontId="30" type="noConversion"/>
  </si>
  <si>
    <t>五通</t>
    <phoneticPr fontId="30" type="noConversion"/>
  </si>
  <si>
    <t>四通</t>
    <phoneticPr fontId="30" type="noConversion"/>
  </si>
  <si>
    <t>三通</t>
  </si>
  <si>
    <t>三通</t>
    <phoneticPr fontId="30" type="noConversion"/>
  </si>
  <si>
    <t>未包含在土地购买价格中</t>
  </si>
  <si>
    <t>全部缴纳</t>
  </si>
  <si>
    <t>已包含在土地取得成本中</t>
  </si>
  <si>
    <t>在建</t>
  </si>
  <si>
    <t>成本法</t>
  </si>
  <si>
    <t>假设开发法</t>
  </si>
  <si>
    <t>Ⅶ-亦1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</si>
</sst>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0" fillId="0" borderId="0" xfId="0" applyFill="1">
      <alignment vertical="center"/>
    </xf>
    <xf numFmtId="179" fontId="53" fillId="0" borderId="1" xfId="4" applyNumberFormat="1" applyFont="1" applyFill="1" applyBorder="1" applyAlignment="1" applyProtection="1">
      <alignment horizontal="left" vertical="center"/>
      <protection locked="0"/>
    </xf>
    <xf numFmtId="0" fontId="0" fillId="5" borderId="0" xfId="0" applyFill="1">
      <alignment vertical="center"/>
    </xf>
    <xf numFmtId="0" fontId="94" fillId="0" borderId="9" xfId="0" applyNumberFormat="1" applyFont="1" applyFill="1" applyBorder="1" applyAlignment="1" applyProtection="1">
      <alignment horizontal="center" vertical="center" wrapText="1"/>
      <protection locked="0"/>
    </xf>
    <xf numFmtId="0" fontId="44" fillId="16" borderId="24"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69" fillId="0" borderId="0" xfId="19" applyNumberFormat="1"/>
    <xf numFmtId="0" fontId="269" fillId="5" borderId="0" xfId="19" applyNumberFormat="1" applyFill="1"/>
    <xf numFmtId="14" fontId="269" fillId="5" borderId="0" xfId="19" applyNumberFormat="1" applyFill="1"/>
    <xf numFmtId="14" fontId="269" fillId="0" borderId="0" xfId="19" applyNumberFormat="1"/>
    <xf numFmtId="0" fontId="269" fillId="0" borderId="0" xfId="19" applyNumberFormat="1" applyFill="1"/>
    <xf numFmtId="14" fontId="269" fillId="0" borderId="0" xfId="19" applyNumberFormat="1" applyFill="1"/>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396240</xdr:colOff>
      <xdr:row>1</xdr:row>
      <xdr:rowOff>91440</xdr:rowOff>
    </xdr:from>
    <xdr:to>
      <xdr:col>11</xdr:col>
      <xdr:colOff>556855</xdr:colOff>
      <xdr:row>34</xdr:row>
      <xdr:rowOff>46239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6240" y="274320"/>
          <a:ext cx="6866215" cy="5989839"/>
        </a:xfrm>
        <a:prstGeom prst="rect">
          <a:avLst/>
        </a:prstGeom>
      </xdr:spPr>
    </xdr:pic>
    <xdr:clientData/>
  </xdr:twoCellAnchor>
  <xdr:twoCellAnchor editAs="oneCell">
    <xdr:from>
      <xdr:col>1</xdr:col>
      <xdr:colOff>91440</xdr:colOff>
      <xdr:row>35</xdr:row>
      <xdr:rowOff>76200</xdr:rowOff>
    </xdr:from>
    <xdr:to>
      <xdr:col>8</xdr:col>
      <xdr:colOff>442360</xdr:colOff>
      <xdr:row>63</xdr:row>
      <xdr:rowOff>8058</xdr:rowOff>
    </xdr:to>
    <xdr:pic>
      <xdr:nvPicPr>
        <xdr:cNvPr id="3" name="图片 2"/>
        <xdr:cNvPicPr>
          <a:picLocks noChangeAspect="1"/>
        </xdr:cNvPicPr>
      </xdr:nvPicPr>
      <xdr:blipFill>
        <a:blip xmlns:r="http://schemas.openxmlformats.org/officeDocument/2006/relationships" r:embed="rId2"/>
        <a:stretch>
          <a:fillRect/>
        </a:stretch>
      </xdr:blipFill>
      <xdr:spPr>
        <a:xfrm>
          <a:off x="701040" y="6477000"/>
          <a:ext cx="4618120" cy="5052498"/>
        </a:xfrm>
        <a:prstGeom prst="rect">
          <a:avLst/>
        </a:prstGeom>
      </xdr:spPr>
    </xdr:pic>
    <xdr:clientData/>
  </xdr:twoCellAnchor>
  <xdr:twoCellAnchor editAs="oneCell">
    <xdr:from>
      <xdr:col>9</xdr:col>
      <xdr:colOff>0</xdr:colOff>
      <xdr:row>35</xdr:row>
      <xdr:rowOff>0</xdr:rowOff>
    </xdr:from>
    <xdr:to>
      <xdr:col>16</xdr:col>
      <xdr:colOff>267093</xdr:colOff>
      <xdr:row>61</xdr:row>
      <xdr:rowOff>46136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6400800"/>
          <a:ext cx="4534293" cy="48010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北京市出让国有建设用地使用权及在建建筑物房地产抵押价值预评估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受贵公司委托，我公司对北京市出让国有建设用地使用权及在建建筑物房地产抵押价值进行了预评估。</v>
      </c>
    </row>
    <row r="7" spans="1:2" s="1202" customFormat="1">
      <c r="A7" s="1200" t="s">
        <v>566</v>
      </c>
      <c r="B7" s="1201" t="str">
        <f>'预评函-1'!A7</f>
        <v>估价对象为北京市出让国有建设用地使用权及在建建筑物房地产，为所有。根据《国有土地使用证》[]，估价对象（分摊）出让国有建设用地使用权面积为37315.09平方米，建筑面积为149436.09平方米。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出让国有建设用地使用权及在建建筑物房地产,属开发建设的，该项目尚在开发建设中。根据《国有土地使用证》[]，估价对象（分摊）出让国有建设用地使用权面积为37315.09平方米，规划建筑面积为149436.09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为估价委托人在向农商银行大兴支行办理贷款手续过程中，确定房地产抵押贷款额度提供参考依据而评估房地产抵押价值。</v>
      </c>
    </row>
    <row r="12" spans="1:2" s="1202" customFormat="1">
      <c r="A12" s="1200" t="s">
        <v>528</v>
      </c>
      <c r="B12" s="1201" t="str">
        <f>'预评函-1'!A15</f>
        <v>2022年12月22日</v>
      </c>
    </row>
    <row r="13" spans="1:2" s="1202" customFormat="1">
      <c r="A13" s="1200" t="s">
        <v>529</v>
      </c>
      <c r="B13" s="1201" t="str">
        <f>'预评函-1'!A18</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6.2" thickBot="1">
      <c r="A18" s="1203" t="s">
        <v>534</v>
      </c>
      <c r="B18" s="1204" t="str">
        <f>'预评函-1'!A24</f>
        <v>本次评估采用的主估价方法为成本法和假设开发法。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北京市出让国有建设用地使用权及在建建筑物房地产</v>
      </c>
    </row>
    <row r="42" spans="1:2" s="1202" customFormat="1" ht="31.2">
      <c r="A42" s="1200" t="s">
        <v>590</v>
      </c>
      <c r="B42" s="1201" t="str">
        <f>'预评函-3'!B2</f>
        <v>建筑面积</v>
      </c>
    </row>
    <row r="43" spans="1:2" s="1202" customFormat="1">
      <c r="A43" s="1200" t="s">
        <v>591</v>
      </c>
      <c r="B43" s="1201">
        <f>'预评函-3'!B4</f>
        <v>149436.09</v>
      </c>
    </row>
    <row r="44" spans="1:2" s="1202" customFormat="1" ht="31.2">
      <c r="A44" s="1200" t="s">
        <v>575</v>
      </c>
      <c r="B44" s="1201" t="str">
        <f>'预评函-3'!C2</f>
        <v>(分摊)土地面积</v>
      </c>
    </row>
    <row r="45" spans="1:2" s="1202" customFormat="1">
      <c r="A45" s="1200" t="s">
        <v>547</v>
      </c>
      <c r="B45" s="1201">
        <f>'预评函-3'!C4</f>
        <v>37315.089999999997</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2578</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2579</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3399</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为估价委托人在向农商银行大兴支行办理贷款手续过程中，确定房地产抵押贷款额度提供参考依据而评估房地产抵押价值。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农商银行大兴支行办理贷款手续。农商银行大兴支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3" t="s">
        <v>385</v>
      </c>
      <c r="C54" s="1550" t="s">
        <v>583</v>
      </c>
    </row>
    <row r="55" spans="1:4">
      <c r="A55" s="3508"/>
      <c r="B55" s="1553" t="s">
        <v>386</v>
      </c>
      <c r="C55" s="1550" t="s">
        <v>584</v>
      </c>
    </row>
    <row r="56" spans="1:4">
      <c r="A56" s="3508"/>
      <c r="B56" s="1553" t="s">
        <v>387</v>
      </c>
      <c r="C56" s="1550" t="s">
        <v>588</v>
      </c>
    </row>
    <row r="57" spans="1:4">
      <c r="A57" s="350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6" sqref="G6"/>
    </sheetView>
  </sheetViews>
  <sheetFormatPr defaultColWidth="15.21875" defaultRowHeight="14.4"/>
  <cols>
    <col min="1" max="7" width="15.21875" style="3014"/>
    <col min="8" max="8" width="5.5546875" style="3014" customWidth="1"/>
    <col min="9" max="13" width="9.44140625" style="3056" customWidth="1"/>
    <col min="14" max="18" width="9.44140625" style="3014" customWidth="1"/>
    <col min="19" max="16384" width="15.21875" style="3014"/>
  </cols>
  <sheetData>
    <row r="1" spans="1:18">
      <c r="A1" s="3011" t="s">
        <v>2501</v>
      </c>
      <c r="B1" s="3012"/>
      <c r="C1" s="3012"/>
      <c r="D1" s="3012"/>
      <c r="E1" s="3012"/>
      <c r="F1" s="3013"/>
      <c r="I1" s="3438" t="s">
        <v>2594</v>
      </c>
      <c r="J1" s="3225"/>
      <c r="K1" s="3225"/>
      <c r="L1" s="3225"/>
      <c r="M1" s="3225"/>
      <c r="N1" s="3439"/>
      <c r="O1" s="3439"/>
      <c r="P1" s="3439"/>
      <c r="Q1" s="3439"/>
      <c r="R1" s="3439"/>
    </row>
    <row r="2" spans="1:18">
      <c r="A2" s="3015"/>
      <c r="B2" s="3016"/>
      <c r="C2" s="3016"/>
      <c r="D2" s="3016"/>
      <c r="E2" s="3016"/>
      <c r="F2" s="3017"/>
      <c r="I2" s="3509" t="s">
        <v>2581</v>
      </c>
      <c r="J2" s="3509"/>
      <c r="K2" s="3509"/>
      <c r="L2" s="3509"/>
      <c r="M2" s="3509"/>
      <c r="N2" s="3509"/>
      <c r="O2" s="3509"/>
      <c r="P2" s="3509"/>
      <c r="Q2" s="3509"/>
      <c r="R2" s="3509"/>
    </row>
    <row r="3" spans="1:18">
      <c r="A3" s="3018" t="s">
        <v>2502</v>
      </c>
      <c r="B3" s="3019">
        <f>项目基本情况!D3</f>
        <v>44917</v>
      </c>
      <c r="C3" s="3021"/>
      <c r="D3" s="3021"/>
      <c r="E3" s="3021"/>
      <c r="F3" s="3017"/>
      <c r="I3" s="3440"/>
      <c r="J3" s="3440" t="s">
        <v>2585</v>
      </c>
      <c r="K3" s="3440" t="s">
        <v>2586</v>
      </c>
      <c r="L3" s="3440" t="s">
        <v>2587</v>
      </c>
      <c r="M3" s="3440" t="s">
        <v>2588</v>
      </c>
      <c r="N3" s="3441" t="s">
        <v>2589</v>
      </c>
      <c r="O3" s="3441" t="s">
        <v>2590</v>
      </c>
      <c r="P3" s="3441" t="s">
        <v>2591</v>
      </c>
      <c r="Q3" s="3441" t="s">
        <v>2592</v>
      </c>
      <c r="R3" s="3441" t="s">
        <v>2593</v>
      </c>
    </row>
    <row r="4" spans="1:18">
      <c r="A4" s="3018" t="s">
        <v>2503</v>
      </c>
      <c r="B4" s="3021" t="s">
        <v>2504</v>
      </c>
      <c r="C4" s="3021" t="s">
        <v>2505</v>
      </c>
      <c r="D4" s="3021" t="s">
        <v>2506</v>
      </c>
      <c r="E4" s="3021" t="s">
        <v>2507</v>
      </c>
      <c r="F4" s="3017"/>
      <c r="I4" s="3440" t="s">
        <v>2582</v>
      </c>
      <c r="J4" s="3440">
        <v>80</v>
      </c>
      <c r="K4" s="3440">
        <v>70</v>
      </c>
      <c r="L4" s="3440">
        <v>20</v>
      </c>
      <c r="M4" s="3440">
        <v>30</v>
      </c>
      <c r="N4" s="3021">
        <v>45</v>
      </c>
      <c r="O4" s="3021">
        <v>60</v>
      </c>
      <c r="P4" s="3021">
        <v>50</v>
      </c>
      <c r="Q4" s="3021">
        <v>20</v>
      </c>
      <c r="R4" s="3021">
        <v>375</v>
      </c>
    </row>
    <row r="5" spans="1:18">
      <c r="A5" s="3022">
        <v>40</v>
      </c>
      <c r="B5" s="3019">
        <v>59525</v>
      </c>
      <c r="C5" s="3021">
        <f>ROUNDDOWN(MIN((B5-B3)/365,A5),2)</f>
        <v>40</v>
      </c>
      <c r="D5" s="3023">
        <f>IF(ISERROR(ROUND(POWER(1+E5,A5-C5)*(POWER(1+E5,C5)-1)/(POWER(1+E5,A5)-1),3)),0,ROUND(POWER(1+E5,A5-C5)*(POWER(1+E5,C5)-1)/(POWER(1+E5,A5)-1),4))</f>
        <v>1</v>
      </c>
      <c r="E5" s="3024">
        <v>0.04</v>
      </c>
      <c r="F5" s="3017"/>
      <c r="I5" s="3440" t="s">
        <v>2583</v>
      </c>
      <c r="J5" s="3440">
        <v>70</v>
      </c>
      <c r="K5" s="3440">
        <v>60</v>
      </c>
      <c r="L5" s="3440">
        <v>15</v>
      </c>
      <c r="M5" s="3440">
        <v>25</v>
      </c>
      <c r="N5" s="3021">
        <v>40</v>
      </c>
      <c r="O5" s="3021">
        <v>50</v>
      </c>
      <c r="P5" s="3021">
        <v>40</v>
      </c>
      <c r="Q5" s="3021">
        <v>15</v>
      </c>
      <c r="R5" s="3021">
        <v>315</v>
      </c>
    </row>
    <row r="6" spans="1:18">
      <c r="A6" s="3022">
        <v>50</v>
      </c>
      <c r="B6" s="3019">
        <f>项目基本情况!E13</f>
        <v>61817</v>
      </c>
      <c r="C6" s="3021">
        <f>ROUNDDOWN(MIN((B6-B3)/365,A6),2)</f>
        <v>46.3</v>
      </c>
      <c r="D6" s="3023">
        <f>IF(ISERROR(ROUND(POWER(1+E6,A6-C6)*(POWER(1+E6,C6)-1)/(POWER(1+E6,A6)-1),3)),0,ROUND(POWER(1+E6,A6-C6)*(POWER(1+E6,C6)-1)/(POWER(1+E6,A6)-1),4))</f>
        <v>0.97440000000000004</v>
      </c>
      <c r="E6" s="3024">
        <v>0.04</v>
      </c>
      <c r="F6" s="3017"/>
      <c r="G6" s="3014">
        <f>D5/D6</f>
        <v>1.0262725779967159</v>
      </c>
      <c r="I6" s="3440" t="s">
        <v>2584</v>
      </c>
      <c r="J6" s="3440">
        <v>60</v>
      </c>
      <c r="K6" s="3440">
        <v>50</v>
      </c>
      <c r="L6" s="3440">
        <v>10</v>
      </c>
      <c r="M6" s="3440">
        <v>20</v>
      </c>
      <c r="N6" s="3021">
        <v>35</v>
      </c>
      <c r="O6" s="3021">
        <v>40</v>
      </c>
      <c r="P6" s="3021">
        <v>30</v>
      </c>
      <c r="Q6" s="3021">
        <v>10</v>
      </c>
      <c r="R6" s="3021">
        <v>255</v>
      </c>
    </row>
    <row r="7" spans="1:18">
      <c r="A7" s="3022">
        <v>70</v>
      </c>
      <c r="B7" s="3019">
        <v>57333</v>
      </c>
      <c r="C7" s="3021">
        <f>ROUNDDOWN(MIN((B7-B3)/365,A7),2)</f>
        <v>34.01</v>
      </c>
      <c r="D7" s="3023">
        <f>IF(ISERROR(ROUND(POWER(1+E7,A7-C7)*(POWER(1+E7,C7)-1)/(POWER(1+E7,A7)-1),3)),0,ROUND(POWER(1+E7,A7-C7)*(POWER(1+E7,C7)-1)/(POWER(1+E7,A7)-1),4))</f>
        <v>0.78710000000000002</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5" thickBot="1">
      <c r="A18" s="3029" t="s">
        <v>2517</v>
      </c>
      <c r="B18" s="3030">
        <f>ROUND(B17*F11/F12,2)</f>
        <v>5541.87</v>
      </c>
      <c r="C18" s="3030">
        <f>ROUND(F11/F12,4)</f>
        <v>1.1521999999999999</v>
      </c>
      <c r="D18" s="3031"/>
      <c r="E18" s="3031"/>
      <c r="F18" s="3032"/>
    </row>
    <row r="19" spans="1:13" ht="15" thickBot="1"/>
    <row r="20" spans="1:13" s="3067" customFormat="1" ht="1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f>'土地比较法-住宅、综合'!C10</f>
        <v>46.3</v>
      </c>
      <c r="D22" s="3037">
        <v>0.04</v>
      </c>
      <c r="E22" s="3034">
        <f>ROUND(POWER(1+D22,B22-C22)*(POWER(1+D22,C22)-1)/(POWER(1+D22,B22)-1),3)</f>
        <v>0.89500000000000002</v>
      </c>
      <c r="F22" s="3037">
        <v>0.7</v>
      </c>
      <c r="G22" s="3035">
        <f>ROUND(100*(1-(1-E22)*F22),1)</f>
        <v>92.7</v>
      </c>
      <c r="I22" s="3056">
        <v>10</v>
      </c>
      <c r="J22" s="3056">
        <v>65.400000000000006</v>
      </c>
      <c r="K22" s="3056">
        <f>J22-J21</f>
        <v>11.200000000000003</v>
      </c>
    </row>
    <row r="23" spans="1:13">
      <c r="A23" s="3033" t="s">
        <v>2528</v>
      </c>
      <c r="B23" s="3036">
        <v>70</v>
      </c>
      <c r="C23" s="3036">
        <v>50</v>
      </c>
      <c r="D23" s="3037">
        <v>0.04</v>
      </c>
      <c r="E23" s="3034">
        <f t="shared" ref="E23:E25" si="0">ROUND(POWER(1+D23,B23-C23)*(POWER(1+D23,C23)-1)/(POWER(1+D23,B23)-1),3)</f>
        <v>0.91800000000000004</v>
      </c>
      <c r="F23" s="3037">
        <f>F22</f>
        <v>0.7</v>
      </c>
      <c r="G23" s="3035">
        <f t="shared" ref="G23:G25" si="1">ROUND(100*(1-(1-E23)*F23),1)</f>
        <v>94.3</v>
      </c>
      <c r="I23" s="3056">
        <v>15</v>
      </c>
      <c r="J23" s="3056">
        <v>74.099999999999994</v>
      </c>
      <c r="K23" s="3056">
        <f t="shared" ref="K23:K30" si="2">J23-J22</f>
        <v>8.6999999999999886</v>
      </c>
      <c r="L23" s="3056" t="s">
        <v>2568</v>
      </c>
      <c r="M23" s="3056" t="s">
        <v>2569</v>
      </c>
    </row>
    <row r="24" spans="1:13">
      <c r="A24" s="3033" t="s">
        <v>2529</v>
      </c>
      <c r="B24" s="3036">
        <v>70</v>
      </c>
      <c r="C24" s="3036">
        <v>40</v>
      </c>
      <c r="D24" s="3037">
        <v>0.04</v>
      </c>
      <c r="E24" s="3034">
        <f t="shared" si="0"/>
        <v>0.84599999999999997</v>
      </c>
      <c r="F24" s="3037">
        <f>F23</f>
        <v>0.7</v>
      </c>
      <c r="G24" s="3035">
        <f t="shared" si="1"/>
        <v>89.2</v>
      </c>
      <c r="I24" s="3056">
        <v>20</v>
      </c>
      <c r="J24" s="3056">
        <v>81</v>
      </c>
      <c r="K24" s="3056">
        <f t="shared" si="2"/>
        <v>6.9000000000000057</v>
      </c>
      <c r="L24" s="3056" t="s">
        <v>2567</v>
      </c>
      <c r="M24" s="3056">
        <v>10</v>
      </c>
    </row>
    <row r="25" spans="1:13">
      <c r="A25" s="3033" t="s">
        <v>2530</v>
      </c>
      <c r="B25" s="3036">
        <v>70</v>
      </c>
      <c r="C25" s="3036">
        <v>50</v>
      </c>
      <c r="D25" s="3037">
        <v>0.04</v>
      </c>
      <c r="E25" s="3034">
        <f t="shared" si="0"/>
        <v>0.91800000000000004</v>
      </c>
      <c r="F25" s="3037">
        <f>F24</f>
        <v>0.7</v>
      </c>
      <c r="G25" s="3035">
        <f t="shared" si="1"/>
        <v>94.3</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30" sqref="E30"/>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1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19"/>
      <c r="D1" s="3519"/>
      <c r="E1" s="3519"/>
      <c r="F1" s="3519"/>
      <c r="G1" s="3519"/>
      <c r="H1" s="3519"/>
      <c r="I1" s="3520"/>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4"/>
      <c r="U1" s="1744"/>
      <c r="V1" s="1744"/>
      <c r="W1" s="1744"/>
      <c r="X1" s="1744"/>
      <c r="Y1" s="1744"/>
      <c r="Z1" s="1744"/>
      <c r="AA1" s="1744"/>
      <c r="AB1" s="1744"/>
    </row>
    <row r="2" spans="1:30">
      <c r="A2" s="2366" t="s">
        <v>2168</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北京市出让国有建设用地使用权及在建建筑物房地产</v>
      </c>
      <c r="T2" s="1744"/>
      <c r="U2" s="1744"/>
      <c r="V2" s="1744"/>
      <c r="W2" s="1744"/>
      <c r="X2" s="1744"/>
      <c r="Y2" s="1744"/>
      <c r="Z2" s="1744"/>
      <c r="AA2" s="1744"/>
      <c r="AB2" s="1744"/>
    </row>
    <row r="3" spans="1:30">
      <c r="A3" s="302" t="s">
        <v>2169</v>
      </c>
      <c r="B3" s="2372"/>
      <c r="C3" s="2373" t="s">
        <v>2170</v>
      </c>
      <c r="D3" s="2372">
        <v>44917</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3458" t="s">
        <v>3373</v>
      </c>
      <c r="C6" s="2383"/>
      <c r="D6" s="2384"/>
      <c r="E6" s="2660"/>
      <c r="F6" s="2662"/>
      <c r="G6" s="2662"/>
      <c r="H6" s="2662"/>
      <c r="I6" s="2662"/>
      <c r="J6" s="2437"/>
      <c r="K6" s="2613" t="str">
        <f>IF(COUNTIF(B6,"*上海银行*"),"上海银行","")</f>
        <v/>
      </c>
      <c r="L6" s="2611"/>
      <c r="M6" s="2611"/>
      <c r="N6" s="2437"/>
      <c r="O6" s="2448"/>
      <c r="P6" s="2437"/>
      <c r="Q6" s="2437"/>
      <c r="R6" s="2437"/>
    </row>
    <row r="7" spans="1:30">
      <c r="A7" s="2382"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3374</v>
      </c>
      <c r="C8" s="2388"/>
      <c r="D8" s="3521" t="s">
        <v>2176</v>
      </c>
      <c r="E8" s="2389" t="s">
        <v>3375</v>
      </c>
      <c r="F8" s="2390"/>
      <c r="G8" s="2661"/>
      <c r="H8" s="2661"/>
      <c r="I8" s="2661"/>
      <c r="J8" s="2437"/>
      <c r="K8" s="2612"/>
      <c r="L8" s="2611"/>
      <c r="M8" s="2611"/>
      <c r="N8" s="2437"/>
      <c r="O8" s="2448"/>
      <c r="P8" s="2437"/>
      <c r="Q8" s="2437"/>
      <c r="R8" s="2437"/>
    </row>
    <row r="9" spans="1:30" ht="13.8" thickBot="1">
      <c r="A9" s="2391" t="s">
        <v>2177</v>
      </c>
      <c r="B9" s="2392" t="s">
        <v>3375</v>
      </c>
      <c r="C9" s="2393"/>
      <c r="D9" s="3522"/>
      <c r="E9" s="2392" t="s">
        <v>43</v>
      </c>
      <c r="F9" s="2394"/>
      <c r="G9" s="2663"/>
      <c r="H9" s="2663"/>
      <c r="I9" s="2663"/>
      <c r="J9" s="2437"/>
      <c r="K9" s="2614"/>
      <c r="L9" s="2611"/>
      <c r="M9" s="2611"/>
      <c r="N9" s="2437"/>
      <c r="O9" s="2448"/>
      <c r="P9" s="2437"/>
      <c r="Q9" s="2437"/>
      <c r="R9" s="2437"/>
    </row>
    <row r="10" spans="1:30" ht="13.8" thickTop="1">
      <c r="A10" s="2395" t="s">
        <v>2178</v>
      </c>
      <c r="B10" s="2396" t="s">
        <v>3376</v>
      </c>
      <c r="C10" s="2397"/>
      <c r="D10" s="2381"/>
      <c r="E10" s="2398" t="s">
        <v>2179</v>
      </c>
      <c r="F10" s="2664"/>
      <c r="G10" s="2665"/>
      <c r="H10" s="2666"/>
      <c r="I10" s="2667"/>
      <c r="J10" s="2437"/>
      <c r="K10" s="2614"/>
      <c r="L10" s="2611"/>
      <c r="M10" s="2611"/>
      <c r="N10" s="2437"/>
      <c r="O10" s="2448"/>
      <c r="P10" s="2437"/>
      <c r="Q10" s="2437"/>
      <c r="R10" s="2437"/>
    </row>
    <row r="11" spans="1:30">
      <c r="A11" s="2399" t="s">
        <v>2180</v>
      </c>
      <c r="B11" s="2400" t="s">
        <v>3377</v>
      </c>
      <c r="C11" s="2401"/>
      <c r="D11" s="2402"/>
      <c r="E11" s="2369"/>
      <c r="F11" s="2369"/>
      <c r="G11" s="2369"/>
      <c r="H11" s="2369"/>
      <c r="I11" s="2369"/>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2577</v>
      </c>
      <c r="J12" s="3060"/>
      <c r="K12" s="2611"/>
      <c r="L12" s="2611"/>
      <c r="M12" s="2437"/>
      <c r="N12" s="2448"/>
      <c r="O12" s="2437"/>
      <c r="P12" s="2437"/>
      <c r="Q12" s="2437"/>
      <c r="AD12" s="1744"/>
    </row>
    <row r="13" spans="1:30">
      <c r="A13" s="3423" t="s">
        <v>3339</v>
      </c>
      <c r="B13" s="2405" t="s">
        <v>2189</v>
      </c>
      <c r="C13" s="856"/>
      <c r="D13" s="856">
        <v>58164</v>
      </c>
      <c r="E13" s="856">
        <v>61817</v>
      </c>
      <c r="F13" s="856">
        <f>E13</f>
        <v>61817</v>
      </c>
      <c r="G13" s="856"/>
      <c r="H13" s="856"/>
      <c r="I13" s="856"/>
      <c r="J13" s="3060"/>
      <c r="K13" s="2611"/>
      <c r="L13" s="2611"/>
      <c r="M13" s="2437"/>
      <c r="N13" s="2448"/>
      <c r="O13" s="2437"/>
      <c r="P13" s="2437"/>
      <c r="Q13" s="2437"/>
      <c r="AD13" s="1744"/>
    </row>
    <row r="14" spans="1:30">
      <c r="A14" s="1081"/>
      <c r="B14" s="2405" t="s">
        <v>2190</v>
      </c>
      <c r="C14" s="2406"/>
      <c r="D14" s="2406">
        <v>40</v>
      </c>
      <c r="E14" s="2406">
        <v>50</v>
      </c>
      <c r="F14" s="2406">
        <v>50</v>
      </c>
      <c r="G14" s="2406"/>
      <c r="H14" s="2406"/>
      <c r="I14" s="2406"/>
      <c r="J14" s="3061"/>
      <c r="K14" s="2611"/>
      <c r="L14" s="2611"/>
      <c r="M14" s="2437"/>
      <c r="N14" s="2448"/>
      <c r="O14" s="2437"/>
      <c r="P14" s="2437"/>
      <c r="Q14" s="2437"/>
      <c r="AD14" s="1744"/>
    </row>
    <row r="15" spans="1:30">
      <c r="A15" s="320"/>
      <c r="B15" s="2407" t="s">
        <v>2191</v>
      </c>
      <c r="C15" s="2408" t="str">
        <f>IF(A13="出让",IF(C13="","",ROUNDDOWN(MIN((C13-$D$3)/365,C14),2)),C14)</f>
        <v/>
      </c>
      <c r="D15" s="2408">
        <f>IF(A13="出让",IF(D13="","",ROUNDDOWN(MIN((D13-$D$3)/365,D14),2)),D14)</f>
        <v>36.29</v>
      </c>
      <c r="E15" s="2408">
        <f>IF(A13="出让",IF(E13="","",ROUNDDOWN(MIN((E13-$D$3)/365,E14),2)),E14)</f>
        <v>46.3</v>
      </c>
      <c r="F15" s="2408">
        <f>IF(A13="出让",IF(F13="","",ROUNDDOWN(MIN((F13-$D$3)/365,F14),2)),F14)</f>
        <v>46.3</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2192</v>
      </c>
      <c r="B16" s="3528"/>
      <c r="C16" s="3529"/>
      <c r="D16" s="3530"/>
      <c r="E16" s="2411" t="s">
        <v>2193</v>
      </c>
      <c r="F16" s="3531"/>
      <c r="G16" s="3532"/>
      <c r="H16" s="3532"/>
      <c r="I16" s="3533"/>
      <c r="J16" s="2437"/>
      <c r="K16" s="2615"/>
      <c r="L16" s="2449"/>
      <c r="M16" s="2449"/>
      <c r="N16" s="2507"/>
      <c r="O16" s="2449"/>
      <c r="P16" s="2507"/>
      <c r="Q16" s="2437"/>
      <c r="R16" s="2437"/>
    </row>
    <row r="17" spans="1:28">
      <c r="A17" s="313" t="s">
        <v>2194</v>
      </c>
      <c r="B17" s="302" t="s">
        <v>2195</v>
      </c>
      <c r="C17" s="8">
        <f>'数据-汇总表'!E3</f>
        <v>149436.09</v>
      </c>
      <c r="D17" s="2321" t="s">
        <v>2196</v>
      </c>
      <c r="E17" s="3534" t="s">
        <v>2197</v>
      </c>
      <c r="F17" s="3535"/>
      <c r="G17" s="3535"/>
      <c r="H17" s="3535"/>
      <c r="I17" s="3536"/>
      <c r="J17" s="2437"/>
      <c r="K17" s="2616"/>
      <c r="L17" s="2449"/>
      <c r="M17" s="2449"/>
      <c r="N17" s="2507"/>
      <c r="O17" s="2449"/>
      <c r="P17" s="2507"/>
      <c r="Q17" s="2437"/>
      <c r="R17" s="2437"/>
      <c r="S17" s="2437"/>
      <c r="T17" s="2437"/>
      <c r="U17" s="2437"/>
      <c r="V17" s="2437"/>
    </row>
    <row r="18" spans="1:28" ht="24.6" thickBot="1">
      <c r="A18" s="2412" t="s">
        <v>2198</v>
      </c>
      <c r="B18" s="1090" t="s">
        <v>2199</v>
      </c>
      <c r="C18" s="2413">
        <f>'数据-汇总表'!D3</f>
        <v>37315.089999999997</v>
      </c>
      <c r="D18" s="1092" t="s">
        <v>2200</v>
      </c>
      <c r="E18" s="3537" t="s">
        <v>2201</v>
      </c>
      <c r="F18" s="3538"/>
      <c r="G18" s="3538"/>
      <c r="H18" s="3538"/>
      <c r="I18" s="3539"/>
      <c r="J18" s="2437"/>
      <c r="K18" s="2616"/>
      <c r="L18" s="2449"/>
      <c r="M18" s="2449"/>
      <c r="N18" s="2507"/>
      <c r="O18" s="2449"/>
      <c r="P18" s="2507"/>
      <c r="Q18" s="2437"/>
      <c r="R18" s="2437"/>
      <c r="S18" s="2437"/>
      <c r="T18" s="2437"/>
      <c r="U18" s="2437"/>
      <c r="V18" s="2437"/>
    </row>
    <row r="19" spans="1:28" ht="37.200000000000003"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24" t="s">
        <v>2205</v>
      </c>
      <c r="C20" s="3525"/>
      <c r="D20" s="3526" t="s">
        <v>2206</v>
      </c>
      <c r="E20" s="3527"/>
      <c r="F20" s="2645" t="s">
        <v>1056</v>
      </c>
      <c r="G20" s="2662"/>
      <c r="H20" s="2662"/>
      <c r="I20" s="2662"/>
      <c r="J20" s="2437"/>
      <c r="K20" s="352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36.6" thickBot="1">
      <c r="A21" s="2630"/>
      <c r="B21" s="2631" t="s">
        <v>2208</v>
      </c>
      <c r="C21" s="2632" t="s">
        <v>1057</v>
      </c>
      <c r="D21" s="1567" t="s">
        <v>2209</v>
      </c>
      <c r="E21" s="2633" t="s">
        <v>1057</v>
      </c>
      <c r="F21" s="2646"/>
      <c r="G21" s="2662"/>
      <c r="H21" s="2662"/>
      <c r="I21" s="2662"/>
      <c r="J21" s="2437"/>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36.6" thickBot="1">
      <c r="A22" s="2630"/>
      <c r="B22" s="2634" t="s">
        <v>2210</v>
      </c>
      <c r="C22" s="2632" t="s">
        <v>1058</v>
      </c>
      <c r="D22" s="2661"/>
      <c r="E22" s="2661"/>
      <c r="F22" s="2661"/>
      <c r="G22" s="2662"/>
      <c r="H22" s="2662"/>
      <c r="I22" s="2662"/>
      <c r="J22" s="2437"/>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11"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1"/>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1"/>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2"/>
      <c r="B30" s="302" t="s">
        <v>2217</v>
      </c>
      <c r="C30" s="3513"/>
      <c r="D30" s="3514"/>
      <c r="E30" s="2662"/>
      <c r="F30" s="2662"/>
      <c r="G30" s="2662"/>
      <c r="H30" s="2662"/>
      <c r="I30" s="2662"/>
      <c r="J30" s="2437"/>
      <c r="K30" s="2614"/>
      <c r="L30" s="2611"/>
      <c r="M30" s="2611"/>
      <c r="N30" s="2437"/>
      <c r="O30" s="2448"/>
      <c r="P30" s="2437"/>
      <c r="Q30" s="2437"/>
      <c r="R30" s="2437"/>
      <c r="S30" s="2437"/>
      <c r="T30" s="2437"/>
      <c r="U30" s="2437"/>
      <c r="V30" s="2437"/>
    </row>
    <row r="31" spans="1:28">
      <c r="A31" s="3515" t="s">
        <v>2218</v>
      </c>
      <c r="B31" s="2420"/>
      <c r="C31" s="2322"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16"/>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16"/>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10" t="s">
        <v>2227</v>
      </c>
      <c r="T34" s="2426" t="str">
        <f>NUMBERSTRING(7-K34,1)&amp;"通"</f>
        <v>七通</v>
      </c>
      <c r="U34" s="2437"/>
      <c r="V34" s="2437"/>
    </row>
    <row r="35" spans="1:30">
      <c r="A35" s="2427"/>
      <c r="B35" s="3517" t="s">
        <v>2228</v>
      </c>
      <c r="C35" s="3517"/>
      <c r="D35" s="3517"/>
      <c r="E35" s="3517"/>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3" t="s">
        <v>2580</v>
      </c>
      <c r="G36" s="2662"/>
      <c r="H36" s="2662"/>
      <c r="I36" s="2662"/>
      <c r="J36" s="2437"/>
      <c r="K36" s="2614"/>
      <c r="L36" s="2611"/>
      <c r="M36" s="2611"/>
      <c r="N36" s="2437"/>
      <c r="O36" s="2448"/>
      <c r="P36" s="2437"/>
      <c r="Q36" s="2437"/>
      <c r="R36" s="2437"/>
      <c r="S36" s="2437"/>
      <c r="T36" s="2437"/>
      <c r="U36" s="2437"/>
      <c r="V36" s="2437"/>
    </row>
    <row r="37" spans="1:30">
      <c r="A37" s="2628" t="s">
        <v>2229</v>
      </c>
      <c r="B37" s="2429" t="s">
        <v>304</v>
      </c>
      <c r="C37" s="2429" t="s">
        <v>304</v>
      </c>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2230</v>
      </c>
      <c r="B38" s="2430" t="s">
        <v>3495</v>
      </c>
      <c r="C38" s="2430" t="s">
        <v>3495</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2">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M22" sqref="AM22"/>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hidden="1" customWidth="1"/>
    <col min="18" max="18" width="9.21875" style="1572" hidden="1" customWidth="1"/>
    <col min="19" max="19" width="10.88671875" style="1572" hidden="1" customWidth="1"/>
    <col min="20" max="21" width="10.77734375" style="1572" hidden="1" customWidth="1"/>
    <col min="22" max="22" width="10.88671875" style="1572" hidden="1" customWidth="1"/>
    <col min="23" max="27" width="10.77734375" style="1572" hidden="1" customWidth="1"/>
    <col min="28" max="28" width="10.88671875" style="1572" hidden="1" customWidth="1"/>
    <col min="29" max="29" width="11" style="1572" bestFit="1" customWidth="1"/>
    <col min="30" max="30" width="10" style="1572" hidden="1" customWidth="1"/>
    <col min="31" max="31" width="9.77734375" style="1572" hidden="1" customWidth="1"/>
    <col min="32" max="37" width="9.44140625" style="1572" hidden="1" customWidth="1"/>
    <col min="38" max="41" width="9.44140625" style="1572" customWidth="1"/>
    <col min="42" max="45" width="9.44140625" style="1572" hidden="1" customWidth="1"/>
    <col min="46"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39972.519999999997</v>
      </c>
      <c r="B3" s="11">
        <f>IF(C3="否",G5-AT5,G5)</f>
        <v>160078.32</v>
      </c>
      <c r="C3" s="1579" t="s">
        <v>3380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1070</v>
      </c>
      <c r="B5" s="1346"/>
      <c r="C5" s="1346"/>
      <c r="D5" s="1348"/>
      <c r="E5" s="13" t="s">
        <v>0</v>
      </c>
      <c r="F5" s="13">
        <f>SUM(F13:F587)</f>
        <v>0</v>
      </c>
      <c r="G5" s="13">
        <f>SUM(G13:G587)</f>
        <v>160078.32</v>
      </c>
      <c r="H5" s="13">
        <f t="shared" ref="H5:AT5" si="0">SUM(H13:H656)</f>
        <v>128410.51000000001</v>
      </c>
      <c r="I5" s="13">
        <f t="shared" si="0"/>
        <v>71806</v>
      </c>
      <c r="J5" s="13">
        <f t="shared" si="0"/>
        <v>0</v>
      </c>
      <c r="K5" s="13">
        <f t="shared" si="0"/>
        <v>23884.32</v>
      </c>
      <c r="L5" s="13">
        <f t="shared" si="0"/>
        <v>0</v>
      </c>
      <c r="M5" s="13">
        <f t="shared" si="0"/>
        <v>24830.799999999999</v>
      </c>
      <c r="N5" s="13">
        <f t="shared" si="0"/>
        <v>0</v>
      </c>
      <c r="O5" s="13">
        <f t="shared" si="0"/>
        <v>7889.3899999999994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21025.579999999998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21025.579999999998</v>
      </c>
      <c r="AO5" s="13">
        <f t="shared" si="0"/>
        <v>0</v>
      </c>
      <c r="AP5" s="13">
        <f t="shared" si="0"/>
        <v>0</v>
      </c>
      <c r="AQ5" s="13">
        <f t="shared" si="0"/>
        <v>0</v>
      </c>
      <c r="AR5" s="13">
        <f t="shared" si="0"/>
        <v>0</v>
      </c>
      <c r="AS5" s="13">
        <f t="shared" si="0"/>
        <v>0</v>
      </c>
      <c r="AT5" s="13">
        <f t="shared" si="0"/>
        <v>10642.23</v>
      </c>
      <c r="AU5" s="1345"/>
      <c r="AV5" s="12" t="s">
        <v>1070</v>
      </c>
      <c r="AW5" s="1346"/>
      <c r="AX5" s="1346"/>
      <c r="AY5" s="14" t="s">
        <v>2</v>
      </c>
      <c r="AZ5" s="15">
        <f t="shared" ref="AZ5:BT5" si="1">SUM(AZ13:AZ656)</f>
        <v>149436.09</v>
      </c>
      <c r="BA5" s="15">
        <f t="shared" si="1"/>
        <v>128410.51000000001</v>
      </c>
      <c r="BB5" s="15">
        <f t="shared" si="1"/>
        <v>71806</v>
      </c>
      <c r="BC5" s="15">
        <f t="shared" si="1"/>
        <v>23884.32</v>
      </c>
      <c r="BD5" s="15">
        <f t="shared" si="1"/>
        <v>24830.799999999999</v>
      </c>
      <c r="BE5" s="15">
        <f t="shared" si="1"/>
        <v>7889.3899999999994</v>
      </c>
      <c r="BF5" s="15">
        <f t="shared" si="1"/>
        <v>0</v>
      </c>
      <c r="BG5" s="15">
        <f t="shared" si="1"/>
        <v>0</v>
      </c>
      <c r="BH5" s="15">
        <f t="shared" si="1"/>
        <v>0</v>
      </c>
      <c r="BI5" s="15">
        <f t="shared" si="1"/>
        <v>0</v>
      </c>
      <c r="BJ5" s="15">
        <f t="shared" si="1"/>
        <v>0</v>
      </c>
      <c r="BK5" s="15">
        <f t="shared" si="1"/>
        <v>0</v>
      </c>
      <c r="BL5" s="15">
        <f t="shared" si="1"/>
        <v>21025.579999999998</v>
      </c>
      <c r="BM5" s="15">
        <f t="shared" si="1"/>
        <v>0</v>
      </c>
      <c r="BN5" s="15">
        <f t="shared" si="1"/>
        <v>0</v>
      </c>
      <c r="BO5" s="15">
        <f t="shared" si="1"/>
        <v>0</v>
      </c>
      <c r="BP5" s="15">
        <f t="shared" si="1"/>
        <v>0</v>
      </c>
      <c r="BQ5" s="15">
        <f t="shared" si="1"/>
        <v>0</v>
      </c>
      <c r="BR5" s="15">
        <f t="shared" si="1"/>
        <v>21025.579999999998</v>
      </c>
      <c r="BS5" s="15">
        <f t="shared" si="1"/>
        <v>0</v>
      </c>
      <c r="BT5" s="16">
        <f t="shared" si="1"/>
        <v>0</v>
      </c>
    </row>
    <row r="6" spans="1:72" s="1588" customFormat="1" ht="13.2">
      <c r="A6" s="12" t="s">
        <v>1071</v>
      </c>
      <c r="B6" s="1585"/>
      <c r="C6" s="1585"/>
      <c r="D6" s="1586"/>
      <c r="E6" s="13">
        <f>H6+AC6+AT6</f>
        <v>39972.519999999997</v>
      </c>
      <c r="F6" s="13" t="s">
        <v>0</v>
      </c>
      <c r="G6" s="13" t="s">
        <v>1</v>
      </c>
      <c r="H6" s="17">
        <f>SUMIF(I$12:AB$12,"总值",I6:AB6)</f>
        <v>32064.879999999997</v>
      </c>
      <c r="I6" s="13">
        <f t="shared" ref="I6:AB6" si="2">ROUND($A$3*I5/$B$3,2)</f>
        <v>17930.39</v>
      </c>
      <c r="J6" s="13">
        <f t="shared" si="2"/>
        <v>0</v>
      </c>
      <c r="K6" s="13">
        <f t="shared" si="2"/>
        <v>5964.06</v>
      </c>
      <c r="L6" s="13">
        <f t="shared" si="2"/>
        <v>0</v>
      </c>
      <c r="M6" s="13">
        <f t="shared" si="2"/>
        <v>6200.4</v>
      </c>
      <c r="N6" s="13">
        <f t="shared" si="2"/>
        <v>0</v>
      </c>
      <c r="O6" s="13">
        <f t="shared" si="2"/>
        <v>1970.03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5250.21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5250.21</v>
      </c>
      <c r="AO6" s="13">
        <f t="shared" si="3"/>
        <v>0</v>
      </c>
      <c r="AP6" s="13">
        <f t="shared" si="3"/>
        <v>0</v>
      </c>
      <c r="AQ6" s="13">
        <f t="shared" si="3"/>
        <v>0</v>
      </c>
      <c r="AR6" s="13">
        <f t="shared" si="3"/>
        <v>0</v>
      </c>
      <c r="AS6" s="13">
        <f t="shared" si="3"/>
        <v>0</v>
      </c>
      <c r="AT6" s="17">
        <f>IF(C3="是",ROUND($A$3*AT5/$B$3,2),0)</f>
        <v>2657.43</v>
      </c>
      <c r="AU6" s="1587"/>
      <c r="AV6" s="12" t="s">
        <v>1071</v>
      </c>
      <c r="AW6" s="1585"/>
      <c r="AX6" s="1585"/>
      <c r="AY6" s="18">
        <f>IF(AY3&gt;0,AY3,ROUND($A$3*AZ5/$B$3,2))</f>
        <v>37315.089999999997</v>
      </c>
      <c r="AZ6" s="13" t="s">
        <v>2</v>
      </c>
      <c r="BA6" s="13">
        <f>ROUND($AY$6*BA5/$AZ$5,2)</f>
        <v>32064.880000000001</v>
      </c>
      <c r="BB6" s="13">
        <f>ROUND($AY$6*BB5/$AZ$5,2)</f>
        <v>17930.39</v>
      </c>
      <c r="BC6" s="13">
        <f t="shared" ref="BC6:BH6" si="4">ROUND($AY$6*BC5/$AZ$5,2)</f>
        <v>5964.06</v>
      </c>
      <c r="BD6" s="13">
        <f t="shared" si="4"/>
        <v>6200.4</v>
      </c>
      <c r="BE6" s="13">
        <f t="shared" si="4"/>
        <v>1970.03</v>
      </c>
      <c r="BF6" s="13">
        <f t="shared" si="4"/>
        <v>0</v>
      </c>
      <c r="BG6" s="13">
        <f t="shared" si="4"/>
        <v>0</v>
      </c>
      <c r="BH6" s="13">
        <f t="shared" si="4"/>
        <v>0</v>
      </c>
      <c r="BI6" s="13">
        <f t="shared" ref="BI6:BT6" si="5">ROUND($AY$6*BI5/$AZ$5,2)</f>
        <v>0</v>
      </c>
      <c r="BJ6" s="13">
        <f t="shared" si="5"/>
        <v>0</v>
      </c>
      <c r="BK6" s="13">
        <f t="shared" si="5"/>
        <v>0</v>
      </c>
      <c r="BL6" s="13">
        <f t="shared" si="5"/>
        <v>5250.21</v>
      </c>
      <c r="BM6" s="13">
        <f t="shared" si="5"/>
        <v>0</v>
      </c>
      <c r="BN6" s="13">
        <f t="shared" si="5"/>
        <v>0</v>
      </c>
      <c r="BO6" s="13">
        <f t="shared" si="5"/>
        <v>0</v>
      </c>
      <c r="BP6" s="13">
        <f t="shared" si="5"/>
        <v>0</v>
      </c>
      <c r="BQ6" s="13">
        <f t="shared" si="5"/>
        <v>0</v>
      </c>
      <c r="BR6" s="13">
        <f t="shared" si="5"/>
        <v>5250.21</v>
      </c>
      <c r="BS6" s="13">
        <f t="shared" si="5"/>
        <v>0</v>
      </c>
      <c r="BT6" s="19">
        <f t="shared" si="5"/>
        <v>0</v>
      </c>
    </row>
    <row r="7" spans="1:72" s="1578" customFormat="1" ht="25.2">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1090</v>
      </c>
      <c r="I9" s="1602" t="s">
        <v>3381</v>
      </c>
      <c r="J9" s="809"/>
      <c r="K9" s="1602" t="s">
        <v>3381</v>
      </c>
      <c r="L9" s="809"/>
      <c r="M9" s="1602" t="s">
        <v>3386</v>
      </c>
      <c r="N9" s="809"/>
      <c r="O9" s="1602" t="s">
        <v>3386</v>
      </c>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3.2">
      <c r="A10" s="1593"/>
      <c r="B10" s="1593"/>
      <c r="C10" s="1593"/>
      <c r="D10" s="1593"/>
      <c r="E10" s="1593"/>
      <c r="F10" s="1593"/>
      <c r="G10" s="1070"/>
      <c r="H10" s="25"/>
      <c r="I10" s="1602" t="s">
        <v>673</v>
      </c>
      <c r="J10" s="809"/>
      <c r="K10" s="1608" t="s">
        <v>21</v>
      </c>
      <c r="L10" s="809"/>
      <c r="M10" s="1608" t="s">
        <v>3340</v>
      </c>
      <c r="N10" s="809"/>
      <c r="O10" s="1608" t="s">
        <v>673</v>
      </c>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t="s">
        <v>3378</v>
      </c>
      <c r="J11" s="1614"/>
      <c r="K11" s="1613"/>
      <c r="L11" s="1614"/>
      <c r="M11" s="1613"/>
      <c r="N11" s="1614"/>
      <c r="O11" s="1613" t="s">
        <v>3378</v>
      </c>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t="str">
        <f>K10</f>
        <v>办公</v>
      </c>
      <c r="BD11" s="1598" t="str">
        <f>M10</f>
        <v>车库</v>
      </c>
      <c r="BE11" s="1598" t="str">
        <f>O10</f>
        <v>商业</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酒店</v>
      </c>
      <c r="BC12" s="1623">
        <f>K11</f>
        <v>0</v>
      </c>
      <c r="BD12" s="1623">
        <f>M11</f>
        <v>0</v>
      </c>
      <c r="BE12" s="1598" t="str">
        <f>O11</f>
        <v>酒店</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3459" t="s">
        <v>3379</v>
      </c>
      <c r="D13" s="1624" t="s">
        <v>3380</v>
      </c>
      <c r="E13" s="13">
        <f>IF($C$3="是",ROUND($A$3*G13/$B$3,2),ROUND($A$3*(G13-AT13)/$B$3,2))</f>
        <v>17930.39</v>
      </c>
      <c r="F13" s="29"/>
      <c r="G13" s="30">
        <f>H13+AC13+AT13</f>
        <v>71806</v>
      </c>
      <c r="H13" s="17">
        <f>SUMIF(I$12:AB$12,"总值",I13:AB13)</f>
        <v>71806</v>
      </c>
      <c r="I13" s="1625">
        <v>71806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酒店</v>
      </c>
      <c r="AY13" s="1348">
        <f>ROUND($AY$6*AZ13/$AZ$5,2)</f>
        <v>17930.39</v>
      </c>
      <c r="AZ13" s="13">
        <f>BA13+BL13</f>
        <v>71806</v>
      </c>
      <c r="BA13" s="13">
        <f>SUM(BB13:BK13)</f>
        <v>71806</v>
      </c>
      <c r="BB13" s="13">
        <f>IF($D13="是",I13-J13,0)</f>
        <v>71806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t="s">
        <v>3382</v>
      </c>
      <c r="D14" s="1624" t="s">
        <v>3380</v>
      </c>
      <c r="E14" s="13">
        <f>IF($C$3="是",ROUND($A$3*G14/$B$3,2),ROUND($A$3*(G14-AT14)/$B$3,2))</f>
        <v>2982.03</v>
      </c>
      <c r="F14" s="29"/>
      <c r="G14" s="30">
        <f>H14+AC14+AT14</f>
        <v>11942.16</v>
      </c>
      <c r="H14" s="17">
        <f>SUMIF(I$12:AB$12,"总值",I14:AB14)</f>
        <v>11942.16</v>
      </c>
      <c r="I14" s="1625"/>
      <c r="J14" s="1625"/>
      <c r="K14" s="1625">
        <v>11942.16</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1#办公楼</v>
      </c>
      <c r="AY14" s="1348">
        <f>ROUND($AY$6*AZ14/$AZ$5,2)</f>
        <v>2982.03</v>
      </c>
      <c r="AZ14" s="13">
        <f>BA14+BL14</f>
        <v>11942.16</v>
      </c>
      <c r="BA14" s="13">
        <f>SUM(BB14:BK14)</f>
        <v>11942.16</v>
      </c>
      <c r="BB14" s="13">
        <f>IF($D14="是",I14-J14,0)</f>
        <v>0</v>
      </c>
      <c r="BC14" s="13">
        <f>IF($D14="是",K14-L14,0)</f>
        <v>11942.16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t="s">
        <v>3383</v>
      </c>
      <c r="D15" s="1624" t="s">
        <v>3380</v>
      </c>
      <c r="E15" s="13">
        <f>IF($C$3="是",ROUND($A$3*G15/$B$3,2),ROUND($A$3*(G15-AT15)/$B$3,2))</f>
        <v>2984.53</v>
      </c>
      <c r="F15" s="29"/>
      <c r="G15" s="30">
        <f>H15+AC15+AT15</f>
        <v>11952.16</v>
      </c>
      <c r="H15" s="17">
        <f>SUMIF(I$12:AB$12,"总值",I15:AB15)</f>
        <v>11942.16</v>
      </c>
      <c r="I15" s="1625"/>
      <c r="J15" s="1625"/>
      <c r="K15" s="1625">
        <f>11952.16-AT15</f>
        <v>11942.16</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v>10</v>
      </c>
      <c r="AU15" s="1628"/>
      <c r="AV15" s="8">
        <f t="shared" si="6"/>
        <v>0</v>
      </c>
      <c r="AW15" s="8">
        <f t="shared" si="6"/>
        <v>0</v>
      </c>
      <c r="AX15" s="8" t="str">
        <f t="shared" si="6"/>
        <v>2#办公楼</v>
      </c>
      <c r="AY15" s="1348">
        <f>ROUND($AY$6*AZ15/$AZ$5,2)</f>
        <v>2982.03</v>
      </c>
      <c r="AZ15" s="13">
        <f>BA15+BL15</f>
        <v>11942.16</v>
      </c>
      <c r="BA15" s="13">
        <f>SUM(BB15:BK15)</f>
        <v>11942.16</v>
      </c>
      <c r="BB15" s="13">
        <f>IF($D15="是",I15-J15,0)</f>
        <v>0</v>
      </c>
      <c r="BC15" s="13">
        <f>IF($D15="是",K15-L15,0)</f>
        <v>11942.16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3460" t="s">
        <v>3385</v>
      </c>
      <c r="D16" s="1624" t="s">
        <v>3380</v>
      </c>
      <c r="E16" s="13">
        <f>IF($C$3="是",ROUND($A$3*G16/$B$3,2),ROUND($A$3*(G16-AT16)/$B$3,2))</f>
        <v>16075.57</v>
      </c>
      <c r="F16" s="29"/>
      <c r="G16" s="30">
        <f>H16+AC16+AT16</f>
        <v>64378</v>
      </c>
      <c r="H16" s="17">
        <f>SUMIF(I$12:AB$12,"总值",I16:AB16)</f>
        <v>32720.19</v>
      </c>
      <c r="I16" s="1625"/>
      <c r="J16" s="1625"/>
      <c r="K16" s="1625"/>
      <c r="L16" s="1625"/>
      <c r="M16" s="1625">
        <f>35229.35-10398.55</f>
        <v>24830.799999999999</v>
      </c>
      <c r="N16" s="1625"/>
      <c r="O16" s="1625">
        <f>5637.54+2251.85</f>
        <v>7889.3899999999994</v>
      </c>
      <c r="P16" s="1625"/>
      <c r="Q16" s="1625"/>
      <c r="R16" s="1625"/>
      <c r="S16" s="1625"/>
      <c r="T16" s="1625"/>
      <c r="U16" s="1625"/>
      <c r="V16" s="1625"/>
      <c r="W16" s="1625"/>
      <c r="X16" s="1625"/>
      <c r="Y16" s="1625"/>
      <c r="Z16" s="1625"/>
      <c r="AA16" s="1625"/>
      <c r="AB16" s="1625"/>
      <c r="AC16" s="13">
        <f>SUMIF(AD$12:AS$12,"总值",AD16:AS16)</f>
        <v>21025.579999999998</v>
      </c>
      <c r="AD16" s="1626"/>
      <c r="AE16" s="1626"/>
      <c r="AF16" s="1626"/>
      <c r="AG16" s="1626"/>
      <c r="AH16" s="1626"/>
      <c r="AI16" s="1626"/>
      <c r="AJ16" s="1626"/>
      <c r="AK16" s="1626"/>
      <c r="AL16" s="1626"/>
      <c r="AM16" s="1626"/>
      <c r="AN16" s="1626">
        <f>1577.05+19448.53</f>
        <v>21025.579999999998</v>
      </c>
      <c r="AO16" s="1626"/>
      <c r="AP16" s="1626"/>
      <c r="AQ16" s="1626"/>
      <c r="AR16" s="1626"/>
      <c r="AS16" s="1626"/>
      <c r="AT16" s="1627">
        <f>233.68+10398.55</f>
        <v>10632.23</v>
      </c>
      <c r="AU16" s="1628"/>
      <c r="AV16" s="8">
        <f t="shared" si="6"/>
        <v>0</v>
      </c>
      <c r="AW16" s="8">
        <f t="shared" si="6"/>
        <v>0</v>
      </c>
      <c r="AX16" s="8" t="str">
        <f t="shared" si="6"/>
        <v>地下车库</v>
      </c>
      <c r="AY16" s="1348">
        <f>ROUND($AY$6*AZ16/$AZ$5,2)</f>
        <v>13420.64</v>
      </c>
      <c r="AZ16" s="13">
        <f>BA16+BL16</f>
        <v>53745.77</v>
      </c>
      <c r="BA16" s="13">
        <f>SUM(BB16:BK16)</f>
        <v>32720.19</v>
      </c>
      <c r="BB16" s="13">
        <f>IF($D16="是",I16-J16,0)</f>
        <v>0</v>
      </c>
      <c r="BC16" s="13">
        <f>IF($D16="是",K16-L16,0)</f>
        <v>0</v>
      </c>
      <c r="BD16" s="13">
        <f>IF($D16="是",M16-N16,0)</f>
        <v>24830.799999999999</v>
      </c>
      <c r="BE16" s="13">
        <f>IF($D16="是",O16-P16,0)</f>
        <v>7889.3899999999994</v>
      </c>
      <c r="BF16" s="13">
        <f>IF($D16="是",Q16-R16,0)</f>
        <v>0</v>
      </c>
      <c r="BG16" s="13">
        <f>IF($D16="是",S16-T16,0)</f>
        <v>0</v>
      </c>
      <c r="BH16" s="13">
        <f>IF($D16="是",U16-V16,0)</f>
        <v>0</v>
      </c>
      <c r="BI16" s="13">
        <f>IF($D16="是",W16-X16,0)</f>
        <v>0</v>
      </c>
      <c r="BJ16" s="13">
        <f>IF($D16="是",Y16-Z16,0)</f>
        <v>0</v>
      </c>
      <c r="BK16" s="13">
        <f>IF($D16="是",AA16-AB16,0)</f>
        <v>0</v>
      </c>
      <c r="BL16" s="13">
        <f>SUM(BM16:BT16)</f>
        <v>21025.579999999998</v>
      </c>
      <c r="BM16" s="13">
        <f>IF($D16="是",AD16-AE16,0)</f>
        <v>0</v>
      </c>
      <c r="BN16" s="13">
        <f>IF($D16="是",AF16-AG16,0)</f>
        <v>0</v>
      </c>
      <c r="BO16" s="13">
        <f>IF($D16="是",AH16-AI16,0)</f>
        <v>0</v>
      </c>
      <c r="BP16" s="13">
        <f>IF($D16="是",AJ16-AK16,0)</f>
        <v>0</v>
      </c>
      <c r="BQ16" s="13">
        <f>IF($D16="是",AL16-AM16,0)</f>
        <v>0</v>
      </c>
      <c r="BR16" s="13">
        <f>IF($D16="是",AN16-AO16,0)</f>
        <v>21025.579999999998</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7"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1129</v>
      </c>
      <c r="B1" s="1139"/>
      <c r="C1" s="1139"/>
      <c r="D1" s="1139"/>
      <c r="E1" s="1139"/>
      <c r="F1" s="1139"/>
      <c r="G1" s="1139"/>
      <c r="H1" s="1139"/>
      <c r="I1" s="1139"/>
      <c r="J1" s="1139"/>
      <c r="K1" s="1139"/>
      <c r="L1" s="1139"/>
      <c r="M1" s="1139"/>
      <c r="N1" s="1139"/>
      <c r="O1" s="1139"/>
      <c r="P1" s="1139"/>
    </row>
    <row r="2" spans="1:16" ht="14.4">
      <c r="A2" s="3549" t="s">
        <v>1130</v>
      </c>
      <c r="B2" s="3549"/>
      <c r="C2" s="3549"/>
      <c r="D2" s="796" t="s">
        <v>1106</v>
      </c>
      <c r="E2" s="1638" t="s">
        <v>1107</v>
      </c>
      <c r="F2" s="2657"/>
      <c r="G2" s="2648"/>
      <c r="H2" s="2649"/>
      <c r="I2" s="2324" t="s">
        <v>1131</v>
      </c>
      <c r="J2" s="2657"/>
      <c r="K2" s="2657"/>
      <c r="L2" s="2657"/>
      <c r="M2" s="2657"/>
      <c r="N2" s="2659"/>
      <c r="O2" s="2657"/>
      <c r="P2" s="2657"/>
    </row>
    <row r="3" spans="1:16" ht="15" thickBot="1">
      <c r="A3" s="3550" t="s">
        <v>1104</v>
      </c>
      <c r="B3" s="3550"/>
      <c r="C3" s="3550"/>
      <c r="D3" s="43">
        <f>'数据-基础表'!AY6</f>
        <v>37315.089999999997</v>
      </c>
      <c r="E3" s="43">
        <f>'数据-基础表'!AZ5</f>
        <v>149436.09</v>
      </c>
      <c r="F3" s="2657"/>
      <c r="G3" s="1145"/>
      <c r="H3" s="1026" t="s">
        <v>1105</v>
      </c>
      <c r="I3" s="855">
        <f>ROUND('数据-基础表'!B3/'数据-基础表'!A3,2)</f>
        <v>4</v>
      </c>
      <c r="J3" s="2657"/>
      <c r="K3" s="2657"/>
      <c r="L3" s="2657"/>
      <c r="M3" s="2657"/>
      <c r="N3" s="2659"/>
      <c r="O3" s="2657"/>
      <c r="P3" s="2657"/>
    </row>
    <row r="4" spans="1:16" ht="14.4">
      <c r="A4" s="3551"/>
      <c r="B4" s="3552"/>
      <c r="C4" s="3553"/>
      <c r="D4" s="1640" t="s">
        <v>1106</v>
      </c>
      <c r="E4" s="1641" t="s">
        <v>1107</v>
      </c>
      <c r="F4" s="2657"/>
      <c r="G4" s="2650" t="s">
        <v>1132</v>
      </c>
      <c r="H4" s="1026" t="s">
        <v>1112</v>
      </c>
      <c r="I4" s="855">
        <f>ROUND(SUMIF('数据-基础表'!I9:AS9,"地上",'数据-基础表'!I5:AS5)/'数据-基础表'!A3,2)</f>
        <v>2.39</v>
      </c>
      <c r="J4" s="2657"/>
      <c r="K4" s="2657"/>
      <c r="L4" s="2657"/>
      <c r="M4" s="2657"/>
      <c r="N4" s="2659"/>
      <c r="O4" s="2657"/>
      <c r="P4" s="2657"/>
    </row>
    <row r="5" spans="1:16" ht="14.4">
      <c r="A5" s="44" t="s">
        <v>1108</v>
      </c>
      <c r="B5" s="3554" t="s">
        <v>1109</v>
      </c>
      <c r="C5" s="3554"/>
      <c r="D5" s="45">
        <f>ROUND($D$3*E5/$E$3,2)</f>
        <v>0</v>
      </c>
      <c r="E5" s="46">
        <f>SUMIF('数据-基础表'!$11:$11,"住宅",'数据-基础表'!$5:$5)</f>
        <v>0</v>
      </c>
      <c r="F5" s="2657"/>
      <c r="G5" s="1145"/>
      <c r="H5" s="1026" t="s">
        <v>1105</v>
      </c>
      <c r="I5" s="855">
        <f>ROUND(E31/D31,2)</f>
        <v>4</v>
      </c>
      <c r="J5" s="2657"/>
      <c r="K5" s="2657"/>
      <c r="L5" s="2657"/>
      <c r="M5" s="2657"/>
      <c r="N5" s="2657"/>
      <c r="O5" s="2657"/>
      <c r="P5" s="2657"/>
    </row>
    <row r="6" spans="1:16" ht="15" thickBot="1">
      <c r="A6" s="1643"/>
      <c r="B6" s="3554" t="s">
        <v>1110</v>
      </c>
      <c r="C6" s="3554"/>
      <c r="D6" s="45">
        <f>ROUND($D$3*E6/$E$3,2)</f>
        <v>37315.089999999997</v>
      </c>
      <c r="E6" s="46">
        <f>E3-E5</f>
        <v>149436.09</v>
      </c>
      <c r="F6" s="2657"/>
      <c r="G6" s="2651" t="s">
        <v>1111</v>
      </c>
      <c r="H6" s="1146" t="s">
        <v>1112</v>
      </c>
      <c r="I6" s="2652">
        <f>ROUND(F31/D31,2)</f>
        <v>2.56</v>
      </c>
      <c r="J6" s="2657"/>
      <c r="K6" s="2657"/>
      <c r="L6" s="2657"/>
      <c r="M6" s="2657"/>
      <c r="N6" s="2657"/>
      <c r="O6" s="2657"/>
      <c r="P6" s="2657"/>
    </row>
    <row r="7" spans="1:16" ht="15" thickBot="1">
      <c r="A7" s="3546"/>
      <c r="B7" s="3547"/>
      <c r="C7" s="3548"/>
      <c r="D7" s="1640" t="s">
        <v>1106</v>
      </c>
      <c r="E7" s="1644" t="s">
        <v>1113</v>
      </c>
      <c r="F7" s="2657"/>
      <c r="G7" s="2653" t="s">
        <v>1114</v>
      </c>
      <c r="H7" s="2654"/>
      <c r="I7" s="2655"/>
      <c r="J7" s="2657"/>
      <c r="K7" s="2657"/>
      <c r="L7" s="2657"/>
      <c r="M7" s="2657"/>
      <c r="N7" s="2657"/>
      <c r="O7" s="2657"/>
      <c r="P7" s="2657"/>
    </row>
    <row r="8" spans="1:16" ht="14.4">
      <c r="A8" s="44" t="s">
        <v>1115</v>
      </c>
      <c r="B8" s="47" t="s">
        <v>1116</v>
      </c>
      <c r="C8" s="45" t="s">
        <v>1117</v>
      </c>
      <c r="D8" s="45">
        <f t="shared" ref="D8:D15" si="0">ROUND($D$3*E8/$E$3,2)</f>
        <v>23894.45</v>
      </c>
      <c r="E8" s="48">
        <f>SUMIF('数据-基础表'!BB10:BK10,"地上",'数据-基础表'!BB5:BK5)</f>
        <v>95690.32</v>
      </c>
      <c r="F8" s="2657"/>
      <c r="G8" s="2658"/>
      <c r="H8" s="2658"/>
      <c r="I8" s="2657"/>
      <c r="J8" s="2657"/>
      <c r="K8" s="2657"/>
      <c r="L8" s="2657"/>
      <c r="M8" s="2657"/>
      <c r="N8" s="2657"/>
      <c r="O8" s="2657"/>
      <c r="P8" s="2657"/>
    </row>
    <row r="9" spans="1:16" ht="14.4">
      <c r="A9" s="1645"/>
      <c r="B9" s="1646"/>
      <c r="C9" s="45" t="s">
        <v>1118</v>
      </c>
      <c r="D9" s="45">
        <f t="shared" si="0"/>
        <v>0</v>
      </c>
      <c r="E9" s="49">
        <v>0</v>
      </c>
      <c r="F9" s="2657"/>
      <c r="G9" s="2658"/>
      <c r="H9" s="2658"/>
      <c r="I9" s="2657"/>
      <c r="J9" s="2657"/>
      <c r="K9" s="2657"/>
      <c r="L9" s="2657"/>
      <c r="M9" s="2657"/>
      <c r="N9" s="2657"/>
      <c r="O9" s="2657"/>
      <c r="P9" s="2657"/>
    </row>
    <row r="10" spans="1:16" ht="14.4">
      <c r="A10" s="1645"/>
      <c r="B10" s="1646"/>
      <c r="C10" s="45" t="s">
        <v>1127</v>
      </c>
      <c r="D10" s="45">
        <f t="shared" si="0"/>
        <v>1970.03</v>
      </c>
      <c r="E10" s="48">
        <f>SUMPRODUCT(('数据-基础表'!BB10:BK10="地下")*('数据-基础表'!BB11:BK11="商业")*('数据-基础表'!BB5:BK5))</f>
        <v>7889.3899999999994</v>
      </c>
      <c r="F10" s="2657"/>
      <c r="G10" s="2658"/>
      <c r="H10" s="2658"/>
      <c r="I10" s="2657"/>
      <c r="J10" s="2657"/>
      <c r="K10" s="2657"/>
      <c r="L10" s="2657"/>
      <c r="M10" s="2657"/>
      <c r="N10" s="2657"/>
      <c r="O10" s="2657"/>
      <c r="P10" s="2657"/>
    </row>
    <row r="11" spans="1:16" ht="14.4">
      <c r="A11" s="1645"/>
      <c r="B11" s="1646"/>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5"/>
      <c r="B12" s="1646"/>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5"/>
      <c r="B13" s="1646"/>
      <c r="C13" s="45" t="s">
        <v>1121</v>
      </c>
      <c r="D13" s="45">
        <f t="shared" si="0"/>
        <v>6200.4</v>
      </c>
      <c r="E13" s="48">
        <f>SUMPRODUCT(('数据-基础表'!BB10:BK10="地下")*('数据-基础表'!BB11:BK11="车库")*('数据-基础表'!BB5:BK5))</f>
        <v>24830.799999999999</v>
      </c>
      <c r="F13" s="2657"/>
      <c r="G13" s="2658"/>
      <c r="H13" s="2658"/>
      <c r="I13" s="2657"/>
      <c r="J13" s="2657"/>
      <c r="K13" s="2657"/>
      <c r="L13" s="2657"/>
      <c r="M13" s="2657"/>
      <c r="N13" s="2657"/>
      <c r="O13" s="2657"/>
      <c r="P13" s="2657"/>
    </row>
    <row r="14" spans="1:16" ht="14.4">
      <c r="A14" s="1645"/>
      <c r="B14" s="1646"/>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3"/>
      <c r="B16" s="1646"/>
      <c r="C16" s="47" t="s">
        <v>1122</v>
      </c>
      <c r="D16" s="47">
        <f>SUM(D8:D15)</f>
        <v>32064.879999999997</v>
      </c>
      <c r="E16" s="50">
        <f>SUM(E8:E15)</f>
        <v>128410.51000000001</v>
      </c>
      <c r="F16" s="2657"/>
      <c r="G16" s="2658"/>
      <c r="H16" s="1647" t="s">
        <v>1134</v>
      </c>
      <c r="I16" s="1648"/>
      <c r="J16" s="1139"/>
      <c r="K16" s="3543" t="s">
        <v>1134</v>
      </c>
      <c r="L16" s="3544"/>
      <c r="M16" s="3544"/>
      <c r="N16" s="3544"/>
      <c r="O16" s="3544"/>
      <c r="P16" s="3545"/>
    </row>
    <row r="17" spans="1:19" ht="14.4">
      <c r="A17" s="1649" t="s">
        <v>1135</v>
      </c>
      <c r="B17" s="1650" t="s">
        <v>1136</v>
      </c>
      <c r="C17" s="1651" t="s">
        <v>1137</v>
      </c>
      <c r="D17" s="1652" t="s">
        <v>1125</v>
      </c>
      <c r="E17" s="1653" t="s">
        <v>1126</v>
      </c>
      <c r="F17" s="1654"/>
      <c r="G17" s="1655"/>
      <c r="H17" s="1656" t="s">
        <v>1138</v>
      </c>
      <c r="I17" s="1657" t="s">
        <v>1123</v>
      </c>
      <c r="J17" s="1139"/>
      <c r="K17" s="3540" t="s">
        <v>1139</v>
      </c>
      <c r="L17" s="3541"/>
      <c r="M17" s="3542"/>
      <c r="N17" s="3540" t="s">
        <v>1140</v>
      </c>
      <c r="O17" s="3541"/>
      <c r="P17" s="3542"/>
      <c r="R17" s="1639" t="s">
        <v>1141</v>
      </c>
      <c r="S17" s="56"/>
    </row>
    <row r="18" spans="1:19" ht="14.4">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ht="14.4">
      <c r="A19" s="1666"/>
      <c r="B19" s="47" t="s">
        <v>1124</v>
      </c>
      <c r="C19" s="3417" t="s">
        <v>3387</v>
      </c>
      <c r="D19" s="45">
        <f>ROUND($D$3*E19/$E$3,2)</f>
        <v>19900.419999999998</v>
      </c>
      <c r="E19" s="53">
        <f t="shared" ref="E19:E26" si="1">SUM(F19:G19)</f>
        <v>79695.39</v>
      </c>
      <c r="F19" s="2793">
        <f>'数据-基础表'!I5</f>
        <v>71806</v>
      </c>
      <c r="G19" s="2794">
        <f>'数据-基础表'!O5</f>
        <v>7889.3899999999994</v>
      </c>
      <c r="H19" s="670">
        <f>ROUND($D$3*I19/$E$3,2)</f>
        <v>3258.44</v>
      </c>
      <c r="I19" s="48">
        <f t="shared" ref="I19:I26" si="2">IF($I$17="自定义",P19,M19)</f>
        <v>13049.1</v>
      </c>
      <c r="J19" s="1139"/>
      <c r="K19" s="1138">
        <f t="shared" ref="K19:K26" si="3">ROUND(E$28*E19/E$27,2)</f>
        <v>13049.1</v>
      </c>
      <c r="L19" s="1026">
        <f t="shared" ref="L19:L26" si="4">ROUND(IF(COUNTIF(C19,"*住宅*")&gt;0,E$29*E19/E$32,0),2)</f>
        <v>0</v>
      </c>
      <c r="M19" s="1150">
        <f>K19+L19</f>
        <v>13049.1</v>
      </c>
      <c r="N19" s="1667"/>
      <c r="O19" s="1668"/>
      <c r="P19" s="1150">
        <f>N19+O19</f>
        <v>0</v>
      </c>
      <c r="R19" s="1026">
        <f t="shared" ref="R19:S26" si="5">D19+H19</f>
        <v>23158.859999999997</v>
      </c>
      <c r="S19" s="1027">
        <f t="shared" si="5"/>
        <v>92744.49</v>
      </c>
    </row>
    <row r="20" spans="1:19" ht="14.4">
      <c r="A20" s="1669"/>
      <c r="B20" s="47" t="s">
        <v>1152</v>
      </c>
      <c r="C20" s="3417" t="s">
        <v>3388</v>
      </c>
      <c r="D20" s="45">
        <f t="shared" ref="D20:D26" si="6">ROUND($D$3*E20/$E$3,2)</f>
        <v>5964.06</v>
      </c>
      <c r="E20" s="53">
        <f t="shared" si="1"/>
        <v>23884.32</v>
      </c>
      <c r="F20" s="2793">
        <f>'数据-基础表'!K5</f>
        <v>23884.32</v>
      </c>
      <c r="G20" s="2794"/>
      <c r="H20" s="670">
        <f t="shared" ref="H20:H26" si="7">ROUND($D$3*I20/$E$3,2)</f>
        <v>976.54</v>
      </c>
      <c r="I20" s="48">
        <f t="shared" si="2"/>
        <v>3910.75</v>
      </c>
      <c r="J20" s="1139"/>
      <c r="K20" s="1138">
        <f t="shared" si="3"/>
        <v>3910.75</v>
      </c>
      <c r="L20" s="1026">
        <f t="shared" si="4"/>
        <v>0</v>
      </c>
      <c r="M20" s="1150">
        <f t="shared" ref="M20:M26" si="8">K20+L20</f>
        <v>3910.75</v>
      </c>
      <c r="N20" s="1667"/>
      <c r="O20" s="1668"/>
      <c r="P20" s="1150">
        <f t="shared" ref="P20:P26" si="9">N20+O20</f>
        <v>0</v>
      </c>
      <c r="R20" s="1026">
        <f t="shared" si="5"/>
        <v>6940.6</v>
      </c>
      <c r="S20" s="1027">
        <f t="shared" si="5"/>
        <v>27795.07</v>
      </c>
    </row>
    <row r="21" spans="1:19" ht="14.4">
      <c r="A21" s="1669"/>
      <c r="B21" s="47" t="s">
        <v>1152</v>
      </c>
      <c r="C21" s="3417" t="s">
        <v>3389</v>
      </c>
      <c r="D21" s="45">
        <f t="shared" si="6"/>
        <v>6200.4</v>
      </c>
      <c r="E21" s="53">
        <f t="shared" si="1"/>
        <v>24830.799999999999</v>
      </c>
      <c r="F21" s="2793"/>
      <c r="G21" s="2794">
        <f>'数据-基础表'!M5</f>
        <v>24830.799999999999</v>
      </c>
      <c r="H21" s="670">
        <f t="shared" si="7"/>
        <v>1015.24</v>
      </c>
      <c r="I21" s="48">
        <f t="shared" si="2"/>
        <v>4065.73</v>
      </c>
      <c r="J21" s="1139"/>
      <c r="K21" s="1138">
        <f t="shared" si="3"/>
        <v>4065.73</v>
      </c>
      <c r="L21" s="1026">
        <f t="shared" si="4"/>
        <v>0</v>
      </c>
      <c r="M21" s="1150">
        <f t="shared" si="8"/>
        <v>4065.73</v>
      </c>
      <c r="N21" s="1667"/>
      <c r="O21" s="1668"/>
      <c r="P21" s="1150">
        <f t="shared" si="9"/>
        <v>0</v>
      </c>
      <c r="R21" s="1026">
        <f t="shared" si="5"/>
        <v>7215.6399999999994</v>
      </c>
      <c r="S21" s="1027">
        <f t="shared" si="5"/>
        <v>28896.53</v>
      </c>
    </row>
    <row r="22" spans="1:19" ht="14.4">
      <c r="A22" s="1669"/>
      <c r="B22" s="47" t="s">
        <v>1152</v>
      </c>
      <c r="C22" s="3418"/>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1152</v>
      </c>
      <c r="C23" s="3418"/>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1152</v>
      </c>
      <c r="C24" s="3418"/>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1152</v>
      </c>
      <c r="C25" s="3418"/>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8.2" thickBot="1">
      <c r="A27" s="1669"/>
      <c r="B27" s="45"/>
      <c r="C27" s="1672" t="s">
        <v>1153</v>
      </c>
      <c r="D27" s="1140">
        <f>SUM(D19:D26)</f>
        <v>32064.879999999997</v>
      </c>
      <c r="E27" s="1141">
        <f>IF(SUM(E19:E26)='数据-基础表'!BA5,SUM(E19:E26),IF(F27="地上面积有误","面积有误","地下面积有误"))</f>
        <v>128410.51</v>
      </c>
      <c r="F27" s="1140">
        <f>IF(SUM(F19:F26)=E8,SUM(F19:F26),"地上面积有误")</f>
        <v>95690.32</v>
      </c>
      <c r="G27" s="1142">
        <f>SUM(G19:G26)</f>
        <v>32720.19</v>
      </c>
      <c r="H27" s="1143">
        <f>SUM(H19:H26)</f>
        <v>5250.2199999999993</v>
      </c>
      <c r="I27" s="1144">
        <f>SUM(I19:I26)</f>
        <v>21025.579999999998</v>
      </c>
      <c r="J27" s="1139"/>
      <c r="K27" s="1147">
        <f>SUM(K19:K26)</f>
        <v>21025.579999999998</v>
      </c>
      <c r="L27" s="1148">
        <f>SUM(L19:L26)</f>
        <v>0</v>
      </c>
      <c r="M27" s="1151">
        <f>SUM(M19:M26)</f>
        <v>21025.579999999998</v>
      </c>
      <c r="N27" s="1147">
        <f t="shared" ref="N27:O27" si="10">SUM(N19:N26)</f>
        <v>0</v>
      </c>
      <c r="O27" s="1148">
        <f t="shared" si="10"/>
        <v>0</v>
      </c>
      <c r="P27" s="1149">
        <f>SUM(P19:P26)</f>
        <v>0</v>
      </c>
      <c r="R27" s="1028" t="str">
        <f>IF(SUM(R19:R26)=$D$3,SUM(R19:R26),SUM(R19:R26)&amp;"误差"&amp;ROUND(SUM(R19:R26)-$D$3,2))</f>
        <v>37315.1误差0.01</v>
      </c>
      <c r="S27" s="1026">
        <f>IF(SUM(S19:S26)=$E$3,SUM(S19:S26),SUM(S19:S26)&amp;"误差"&amp;ROUND(SUM(S19:S26)-E3,2))</f>
        <v>149436.09</v>
      </c>
    </row>
    <row r="28" spans="1:19" ht="14.4">
      <c r="A28" s="1669"/>
      <c r="B28" s="47" t="s">
        <v>1154</v>
      </c>
      <c r="C28" s="1038" t="s">
        <v>1155</v>
      </c>
      <c r="D28" s="45">
        <f>ROUND($D$3*E28/$E$3,2)</f>
        <v>5250.21</v>
      </c>
      <c r="E28" s="53">
        <f>SUM(F28:G28)</f>
        <v>21025.579999999998</v>
      </c>
      <c r="F28" s="56">
        <f>'数据-基础表'!BQ5+'数据-基础表'!BS5</f>
        <v>0</v>
      </c>
      <c r="G28" s="57">
        <f>'数据-基础表'!BR5+'数据-基础表'!BT5</f>
        <v>21025.579999999998</v>
      </c>
      <c r="H28" s="2657"/>
      <c r="I28" s="2657"/>
      <c r="J28" s="2657"/>
      <c r="K28" s="2657"/>
      <c r="L28" s="2657"/>
      <c r="M28" s="2657"/>
      <c r="N28" s="2657"/>
      <c r="O28" s="2657"/>
      <c r="P28" s="2657"/>
    </row>
    <row r="29" spans="1:19" ht="14.4">
      <c r="A29" s="1669"/>
      <c r="B29" s="47" t="s">
        <v>1154</v>
      </c>
      <c r="C29" s="1673"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9"/>
      <c r="B30" s="47"/>
      <c r="C30" s="1674" t="s">
        <v>1153</v>
      </c>
      <c r="D30" s="1140">
        <f>SUM(D28:D29)</f>
        <v>5250.21</v>
      </c>
      <c r="E30" s="1140">
        <f>SUM(E28:E29)</f>
        <v>21025.579999999998</v>
      </c>
      <c r="F30" s="1140">
        <f>SUM(F28:F29)</f>
        <v>0</v>
      </c>
      <c r="G30" s="1142">
        <f>SUM(G28:G29)</f>
        <v>21025.579999999998</v>
      </c>
      <c r="H30" s="2657"/>
      <c r="I30" s="2657"/>
      <c r="J30" s="2657"/>
      <c r="K30" s="2657"/>
      <c r="L30" s="2657"/>
      <c r="M30" s="2657"/>
      <c r="N30" s="2657"/>
      <c r="O30" s="2657"/>
      <c r="P30" s="2657"/>
    </row>
    <row r="31" spans="1:19" ht="15" thickBot="1">
      <c r="A31" s="1675"/>
      <c r="B31" s="1676"/>
      <c r="C31" s="835" t="s">
        <v>1157</v>
      </c>
      <c r="D31" s="676">
        <f>D27+D30</f>
        <v>37315.089999999997</v>
      </c>
      <c r="E31" s="676">
        <f>E27+E30</f>
        <v>149436.09</v>
      </c>
      <c r="F31" s="677">
        <f>F27+F30</f>
        <v>95690.32</v>
      </c>
      <c r="G31" s="678">
        <f>G27+G30</f>
        <v>53745.77</v>
      </c>
      <c r="H31" s="2657"/>
      <c r="I31" s="2657"/>
      <c r="J31" s="2657"/>
      <c r="K31" s="2657"/>
      <c r="L31" s="2657"/>
      <c r="M31" s="2657"/>
      <c r="N31" s="2657"/>
      <c r="O31" s="2657"/>
      <c r="P31" s="2657"/>
    </row>
    <row r="32" spans="1:19" ht="14.4">
      <c r="A32" s="1642"/>
      <c r="B32" s="1642" t="s">
        <v>1158</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3" sqref="N23"/>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24" width="6.77734375" style="1681" customWidth="1"/>
    <col min="25" max="25" width="8.33203125" style="1681" customWidth="1"/>
    <col min="26"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 thickBot="1">
      <c r="A2" s="1682" t="s">
        <v>1160</v>
      </c>
      <c r="B2" s="1045">
        <f>项目基本情况!D3</f>
        <v>44917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6"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3390</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酒店</v>
      </c>
      <c r="B6" s="1712" t="str">
        <f>IF(A6=0,"","经营性")</f>
        <v>经营性</v>
      </c>
      <c r="C6" s="1713" t="s">
        <v>673</v>
      </c>
      <c r="D6" s="858">
        <f>SUMIF(项目基本情况!C$12:I$12,C6,项目基本情况!C$14:I$14)</f>
        <v>40</v>
      </c>
      <c r="E6" s="857">
        <f>IF(B6="","",SUMIF(项目基本情况!C$12:H$12,C6,项目基本情况!C$13:H$13))</f>
        <v>58164</v>
      </c>
      <c r="F6" s="64">
        <f>SUMIF(项目基本情况!C$12:I$12,C6,项目基本情况!C$15:I$15)</f>
        <v>36.29</v>
      </c>
      <c r="G6" s="65">
        <f>IF(ISERROR(ROUND(POWER(1+H6,D6-F6)*(POWER(1+H6,F6)-1)/(POWER(1+H6,D6)-1),3)),0,ROUND(POWER(1+H6,D6-F6)*(POWER(1+H6,F6)-1)/(POWER(1+H6,D6)-1),3))</f>
        <v>0.96699999999999997</v>
      </c>
      <c r="H6" s="732">
        <v>0.05</v>
      </c>
      <c r="I6" s="732">
        <v>5.5E-2</v>
      </c>
      <c r="J6" s="66">
        <v>7.4999999999999997E-2</v>
      </c>
      <c r="K6" s="1030">
        <f>SUMIF('数据-汇总表'!C$19:C$33,A6,'数据-汇总表'!E$19:E$33)</f>
        <v>79695.39</v>
      </c>
      <c r="L6" s="733">
        <v>7000</v>
      </c>
      <c r="M6" s="67">
        <f t="shared" ref="M6:M14" si="0">ROUND(K6*L6/10000,0)</f>
        <v>55787</v>
      </c>
      <c r="N6" s="731">
        <v>0.5</v>
      </c>
      <c r="O6" s="67">
        <f>IF($N$5="成新度","——",ROUND(M6*N6,0))</f>
        <v>27894</v>
      </c>
      <c r="P6" s="68">
        <f>IF($N$5="成新度","——",M6-O6)</f>
        <v>27893</v>
      </c>
      <c r="Q6" s="734">
        <v>0.15</v>
      </c>
      <c r="R6" s="69">
        <f ca="1">SUMIF('数据-汇总表'!C$19:C$33,A6,'数据-汇总表'!R$19:R$27)</f>
        <v>23158.859999999997</v>
      </c>
      <c r="S6" s="51">
        <f>IF('数据-汇总表'!$I$17="按面积比例",SUMIF('数据-汇总表'!C$19:C$33,A6,'数据-汇总表'!K$19:K$33),SUMIF('数据-汇总表'!C$19:C$33,A6,'数据-汇总表'!N$19:N$33))</f>
        <v>13049.1</v>
      </c>
      <c r="T6" s="1172">
        <f>ROUND($L$14*S6/10000,0)</f>
        <v>3915</v>
      </c>
      <c r="U6" s="3428"/>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0</v>
      </c>
      <c r="AQ6" s="52">
        <f>ROUND($L$14*$N$14*S6/10000,0)</f>
        <v>2349</v>
      </c>
      <c r="AR6" s="52">
        <f>ROUND($L$14*(1-$N$14)*S6/10000,0)</f>
        <v>1566</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t="str">
        <f>'数据-汇总表'!C20</f>
        <v>办公</v>
      </c>
      <c r="B7" s="1712" t="str">
        <f t="shared" ref="B7:B13" si="1">IF(A7=0,"","经营性")</f>
        <v>经营性</v>
      </c>
      <c r="C7" s="1713" t="s">
        <v>21</v>
      </c>
      <c r="D7" s="858">
        <f>SUMIF(项目基本情况!C$12:I$12,C7,项目基本情况!C$14:I$14)</f>
        <v>50</v>
      </c>
      <c r="E7" s="857">
        <f>IF(B7="","",SUMIF(项目基本情况!C$12:H$12,C7,项目基本情况!C$13:H$13))</f>
        <v>61817</v>
      </c>
      <c r="F7" s="64">
        <f>SUMIF(项目基本情况!C$12:I$12,C7,项目基本情况!C$15:I$15)</f>
        <v>46.3</v>
      </c>
      <c r="G7" s="65">
        <f t="shared" ref="G7:G11" si="2">IF(ISERROR(ROUND(POWER(1+H7,D7-F7)*(POWER(1+H7,F7)-1)/(POWER(1+H7,D7)-1),3)),0,ROUND(POWER(1+H7,D7-F7)*(POWER(1+H7,F7)-1)/(POWER(1+H7,D7)-1),3))</f>
        <v>0.98099999999999998</v>
      </c>
      <c r="H7" s="732">
        <v>0.05</v>
      </c>
      <c r="I7" s="732">
        <v>5.5E-2</v>
      </c>
      <c r="J7" s="66">
        <v>7.4999999999999997E-2</v>
      </c>
      <c r="K7" s="1030">
        <f>SUMIF('数据-汇总表'!C$19:C$33,A7,'数据-汇总表'!E$19:E$33)</f>
        <v>23884.32</v>
      </c>
      <c r="L7" s="733">
        <v>3500</v>
      </c>
      <c r="M7" s="67">
        <f t="shared" si="0"/>
        <v>8360</v>
      </c>
      <c r="N7" s="731">
        <v>0.6</v>
      </c>
      <c r="O7" s="67">
        <f t="shared" ref="O7:O14" si="3">IF($N$5="成新度","——",ROUND(M7*N7,0))</f>
        <v>5016</v>
      </c>
      <c r="P7" s="68">
        <f t="shared" ref="P7:P14" si="4">IF($N$5="成新度","——",M7-O7)</f>
        <v>3344</v>
      </c>
      <c r="Q7" s="734">
        <v>0.15</v>
      </c>
      <c r="R7" s="69">
        <f ca="1">SUMIF('数据-汇总表'!C$19:C$33,A7,'数据-汇总表'!R$19:R$27)</f>
        <v>6940.6</v>
      </c>
      <c r="S7" s="51">
        <f>IF('数据-汇总表'!$I$17="按面积比例",SUMIF('数据-汇总表'!C$19:C$33,A7,'数据-汇总表'!K$19:K$33),SUMIF('数据-汇总表'!C$19:C$33,A7,'数据-汇总表'!N$19:N$33))</f>
        <v>3910.75</v>
      </c>
      <c r="T7" s="1172">
        <f t="shared" ref="T7:T13" si="5">ROUND($L$14*S7/10000,0)</f>
        <v>1173</v>
      </c>
      <c r="U7" s="3428">
        <v>3</v>
      </c>
      <c r="V7" s="70">
        <v>2.5000000000000001E-2</v>
      </c>
      <c r="W7" s="70">
        <v>0.1</v>
      </c>
      <c r="X7" s="1040"/>
      <c r="Y7" s="71">
        <v>1</v>
      </c>
      <c r="Z7" s="72"/>
      <c r="AA7" s="66"/>
      <c r="AB7" s="66"/>
      <c r="AC7" s="1040"/>
      <c r="AD7" s="73"/>
      <c r="AE7" s="1041">
        <f t="shared" ref="AE7:AE13" ca="1" si="6">IF(AN7="",0,SUMIF(INDIRECT("'"&amp;AN7&amp;"'"&amp;"!E:E"),$AE$5,INDIRECT("'"&amp;AN7&amp;"'"&amp;"!F:F")))</f>
        <v>44.884</v>
      </c>
      <c r="AF7" s="1347"/>
      <c r="AG7" s="138">
        <f t="shared" ref="AG7:AG13" si="7">IF(AF7="",0,AE7-AF7)</f>
        <v>0</v>
      </c>
      <c r="AH7" s="74"/>
      <c r="AI7" s="76">
        <v>365</v>
      </c>
      <c r="AJ7" s="77"/>
      <c r="AK7" s="78">
        <v>1.4999999999999999E-2</v>
      </c>
      <c r="AL7" s="79">
        <v>1.5E-3</v>
      </c>
      <c r="AM7" s="80">
        <v>0.01</v>
      </c>
      <c r="AN7" s="1714" t="s">
        <v>3392</v>
      </c>
      <c r="AO7" s="52">
        <f t="shared" ref="AO7:AO13" ca="1" si="8">SUMIF(INDIRECT("'"&amp;AN7&amp;"'"&amp;"!A:A"),"总价",INDIRECT("'"&amp;AN7&amp;"'"&amp;"!B:B"))</f>
        <v>41264</v>
      </c>
      <c r="AP7" s="1715">
        <f t="shared" ref="AP7:AP13" si="9">IF(C7="住宅",K7*L7,0)</f>
        <v>0</v>
      </c>
      <c r="AQ7" s="52">
        <f t="shared" ref="AQ7:AQ13" si="10">ROUND($L$14*$N$14*S7/10000,0)</f>
        <v>704</v>
      </c>
      <c r="AR7" s="52">
        <f t="shared" ref="AR7:AR13" si="11">ROUND($L$14*(1-$N$14)*S7/10000,0)</f>
        <v>469</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t="str">
        <f>'数据-汇总表'!C21</f>
        <v>地下车库</v>
      </c>
      <c r="B8" s="1712" t="str">
        <f t="shared" si="1"/>
        <v>经营性</v>
      </c>
      <c r="C8" s="1713" t="s">
        <v>3340</v>
      </c>
      <c r="D8" s="858">
        <f>SUMIF(项目基本情况!C$12:I$12,C8,项目基本情况!C$14:I$14)</f>
        <v>50</v>
      </c>
      <c r="E8" s="857">
        <f>IF(B8="","",SUMIF(项目基本情况!C$12:H$12,C8,项目基本情况!C$13:H$13))</f>
        <v>61817</v>
      </c>
      <c r="F8" s="64">
        <f>SUMIF(项目基本情况!C$12:I$12,C8,项目基本情况!C$15:I$15)</f>
        <v>46.3</v>
      </c>
      <c r="G8" s="65">
        <f t="shared" si="2"/>
        <v>0.97799999999999998</v>
      </c>
      <c r="H8" s="732">
        <v>4.4999999999999998E-2</v>
      </c>
      <c r="I8" s="732">
        <v>0.05</v>
      </c>
      <c r="J8" s="66">
        <v>7.4999999999999997E-2</v>
      </c>
      <c r="K8" s="1030">
        <f>SUMIF('数据-汇总表'!C$19:C$33,A8,'数据-汇总表'!E$19:E$33)</f>
        <v>24830.799999999999</v>
      </c>
      <c r="L8" s="733">
        <v>3000</v>
      </c>
      <c r="M8" s="67">
        <f>ROUND(K8*L8/10000,0)</f>
        <v>7449</v>
      </c>
      <c r="N8" s="731">
        <v>0.6</v>
      </c>
      <c r="O8" s="67">
        <f t="shared" si="3"/>
        <v>4469</v>
      </c>
      <c r="P8" s="68">
        <f t="shared" si="4"/>
        <v>2980</v>
      </c>
      <c r="Q8" s="734">
        <v>0.05</v>
      </c>
      <c r="R8" s="69">
        <f ca="1">SUMIF('数据-汇总表'!C$19:C$33,A8,'数据-汇总表'!R$19:R$27)</f>
        <v>7215.6399999999994</v>
      </c>
      <c r="S8" s="51">
        <f>IF('数据-汇总表'!$I$17="按面积比例",SUMIF('数据-汇总表'!C$19:C$33,A8,'数据-汇总表'!K$19:K$33),SUMIF('数据-汇总表'!C$19:C$33,A8,'数据-汇总表'!N$19:N$33))</f>
        <v>4065.73</v>
      </c>
      <c r="T8" s="1172">
        <f t="shared" si="5"/>
        <v>1220</v>
      </c>
      <c r="U8" s="3429">
        <v>450</v>
      </c>
      <c r="V8" s="735">
        <v>2.5000000000000001E-2</v>
      </c>
      <c r="W8" s="735">
        <v>0.1</v>
      </c>
      <c r="X8" s="1040"/>
      <c r="Y8" s="71">
        <v>1</v>
      </c>
      <c r="Z8" s="72"/>
      <c r="AA8" s="66"/>
      <c r="AB8" s="66"/>
      <c r="AC8" s="1040"/>
      <c r="AD8" s="73"/>
      <c r="AE8" s="1041">
        <f t="shared" ca="1" si="6"/>
        <v>44.884</v>
      </c>
      <c r="AF8" s="1347"/>
      <c r="AG8" s="138">
        <f t="shared" si="7"/>
        <v>0</v>
      </c>
      <c r="AH8" s="736">
        <v>592</v>
      </c>
      <c r="AI8" s="76">
        <v>12</v>
      </c>
      <c r="AJ8" s="77"/>
      <c r="AK8" s="737">
        <f>AK7</f>
        <v>1.4999999999999999E-2</v>
      </c>
      <c r="AL8" s="738">
        <f>AL7</f>
        <v>1.5E-3</v>
      </c>
      <c r="AM8" s="739">
        <f>AM7</f>
        <v>0.01</v>
      </c>
      <c r="AN8" s="1714" t="s">
        <v>3398</v>
      </c>
      <c r="AO8" s="52">
        <f t="shared" ca="1" si="8"/>
        <v>1031</v>
      </c>
      <c r="AP8" s="1715">
        <f t="shared" si="9"/>
        <v>0</v>
      </c>
      <c r="AQ8" s="52">
        <f t="shared" si="10"/>
        <v>732</v>
      </c>
      <c r="AR8" s="52">
        <f t="shared" si="11"/>
        <v>488</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1204</v>
      </c>
      <c r="B14" s="1712" t="s">
        <v>1205</v>
      </c>
      <c r="C14" s="1717" t="s">
        <v>1204</v>
      </c>
      <c r="D14" s="858"/>
      <c r="E14" s="857"/>
      <c r="F14" s="64"/>
      <c r="G14" s="65"/>
      <c r="H14" s="1029"/>
      <c r="I14" s="1029"/>
      <c r="J14" s="1029"/>
      <c r="K14" s="1030">
        <f>SUMIF('数据-汇总表'!C$19:C$33,A14,'数据-汇总表'!E$19:E$33)</f>
        <v>21025.579999999998</v>
      </c>
      <c r="L14" s="82">
        <v>3000</v>
      </c>
      <c r="M14" s="67">
        <f t="shared" si="0"/>
        <v>6308</v>
      </c>
      <c r="N14" s="83">
        <v>0.6</v>
      </c>
      <c r="O14" s="67">
        <f t="shared" si="3"/>
        <v>3785</v>
      </c>
      <c r="P14" s="68">
        <f t="shared" si="4"/>
        <v>2523</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1208</v>
      </c>
      <c r="B16" s="88"/>
      <c r="C16" s="833"/>
      <c r="D16" s="1719"/>
      <c r="E16" s="88"/>
      <c r="F16" s="88"/>
      <c r="G16" s="89">
        <f>ROUND(SUMPRODUCT(G6:G13,K6:K13)/SUMPRODUCT((G6:G13&gt;0)*(K6:K13)),3)</f>
        <v>0.97199999999999998</v>
      </c>
      <c r="H16" s="90">
        <f>ROUND(SUMPRODUCT(H6:H13,K6:K13)/SUMPRODUCT((H6:H13&gt;0)*(K6:K13)),3)</f>
        <v>4.9000000000000002E-2</v>
      </c>
      <c r="I16" s="91"/>
      <c r="J16" s="91"/>
      <c r="K16" s="92">
        <f>SUM(K6:K15)</f>
        <v>149436.09</v>
      </c>
      <c r="L16" s="93">
        <f>ROUND(M16*10000/SUM(K6:K14),0)</f>
        <v>5213</v>
      </c>
      <c r="M16" s="93">
        <f>SUM(M6:M14)</f>
        <v>77904</v>
      </c>
      <c r="N16" s="94">
        <f>ROUND(SUMPRODUCT(M6:M14,N6:N14)/M16,3)</f>
        <v>0.52800000000000002</v>
      </c>
      <c r="O16" s="93">
        <f>SUM(O6:O14)</f>
        <v>41164</v>
      </c>
      <c r="P16" s="93">
        <f>SUM(P6:P14)</f>
        <v>36740</v>
      </c>
      <c r="Q16" s="95">
        <f>ROUND(SUMPRODUCT(Q6:Q13,K6:K13)/SUMPRODUCT((Q6:Q13&gt;0)*(K6:K13)),2)</f>
        <v>0.13</v>
      </c>
      <c r="R16" s="1034">
        <f ca="1">SUM(R6:R13)</f>
        <v>37315.1</v>
      </c>
      <c r="S16" s="96">
        <f>SUM(S6:S13)</f>
        <v>21025.579999999998</v>
      </c>
      <c r="T16" s="97">
        <f>IF(SUMIF(T6:T13,"&lt;9E307")=M14,SUMIF(T6:T13,"&lt;9E307"),"有误，请检查")</f>
        <v>6308</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1" t="s">
        <v>1210</v>
      </c>
      <c r="B19" s="103">
        <v>0</v>
      </c>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2" t="s">
        <v>1211</v>
      </c>
      <c r="B20" s="104">
        <v>3</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3" t="s">
        <v>1212</v>
      </c>
      <c r="B21" s="104">
        <f>B20*N16</f>
        <v>1.5840000000000001</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2" t="s">
        <v>1213</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3" t="s">
        <v>1214</v>
      </c>
      <c r="B23" s="105">
        <f>B19+B21</f>
        <v>1.5840000000000001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1215</v>
      </c>
      <c r="B24" s="106">
        <f>B20-B21</f>
        <v>1.4159999999999999</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1216</v>
      </c>
      <c r="B26" s="1725"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8.8">
      <c r="A27" s="1726" t="s">
        <v>1219</v>
      </c>
      <c r="B27" s="107">
        <v>160</v>
      </c>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1220</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1221</v>
      </c>
      <c r="B29" s="112">
        <f ca="1">成本法!C10</f>
        <v>2989</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1222</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1225</v>
      </c>
      <c r="B33" s="673">
        <v>0.04</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1226</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1227</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0" t="s">
        <v>1229</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8" t="s">
        <v>1230</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1"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2" thickBot="1">
      <c r="A40" s="2813" t="s">
        <v>3391</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6"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2"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2"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3" t="s">
        <v>1235</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3" t="s">
        <v>1236</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3" t="s">
        <v>1237</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1238</v>
      </c>
      <c r="B47" s="120">
        <v>0</v>
      </c>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5" t="s">
        <v>1239</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1240</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6"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6" t="s">
        <v>1243</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8" t="s">
        <v>1244</v>
      </c>
      <c r="B53" s="1737" t="s">
        <v>29</v>
      </c>
      <c r="C53" s="2659" t="s">
        <v>1245</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8"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8"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8"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8"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8"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8" t="s">
        <v>1251</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8"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8"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8"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34" workbookViewId="0">
      <selection activeCell="J36" sqref="J36"/>
    </sheetView>
  </sheetViews>
  <sheetFormatPr defaultRowHeight="14.4"/>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8" customWidth="1"/>
    <col min="4" max="4" width="2.6640625" style="2508" customWidth="1"/>
    <col min="5" max="5" width="5.88671875" style="2508" customWidth="1"/>
    <col min="6" max="6" width="27" style="1571"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5"/>
  </cols>
  <sheetData>
    <row r="1" spans="1:29" s="2455" customFormat="1" ht="18" thickBot="1">
      <c r="A1" s="3555" t="s">
        <v>2285</v>
      </c>
      <c r="B1" s="3556"/>
      <c r="C1" s="3556"/>
      <c r="D1" s="3556"/>
      <c r="E1" s="3556"/>
      <c r="F1" s="3556"/>
      <c r="G1" s="355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7.200000000000003">
      <c r="A4" s="2440"/>
      <c r="B4" s="323" t="s">
        <v>2253</v>
      </c>
      <c r="C4" s="2466" t="s">
        <v>2254</v>
      </c>
      <c r="D4" s="2463"/>
      <c r="E4" s="2467"/>
      <c r="F4" s="1372" t="s">
        <v>2255</v>
      </c>
      <c r="G4" s="2468" t="s">
        <v>2256</v>
      </c>
      <c r="H4" s="799"/>
      <c r="I4" s="799"/>
      <c r="J4" s="799"/>
      <c r="K4" s="799"/>
      <c r="L4" s="799"/>
      <c r="M4" s="799"/>
      <c r="N4" s="799"/>
      <c r="O4" s="799"/>
      <c r="P4" s="799"/>
      <c r="Q4" s="799"/>
      <c r="R4" s="799"/>
    </row>
    <row r="5" spans="1:29" ht="37.200000000000003">
      <c r="A5" s="2440"/>
      <c r="B5" s="323" t="s">
        <v>2257</v>
      </c>
      <c r="C5" s="2466" t="s">
        <v>2258</v>
      </c>
      <c r="D5" s="2463"/>
      <c r="E5" s="2467"/>
      <c r="F5" s="323" t="s">
        <v>2259</v>
      </c>
      <c r="G5" s="2468" t="s">
        <v>2260</v>
      </c>
      <c r="H5" s="799"/>
      <c r="I5" s="799"/>
      <c r="J5" s="799"/>
      <c r="K5" s="799"/>
      <c r="L5" s="799"/>
      <c r="M5" s="799"/>
      <c r="N5" s="799"/>
      <c r="O5" s="799"/>
      <c r="P5" s="799"/>
      <c r="Q5" s="799"/>
      <c r="R5" s="799"/>
    </row>
    <row r="6" spans="1:29" ht="48">
      <c r="A6" s="2440"/>
      <c r="B6" s="323" t="s">
        <v>2261</v>
      </c>
      <c r="C6" s="2468" t="s">
        <v>2256</v>
      </c>
      <c r="D6" s="2463"/>
      <c r="E6" s="2467"/>
      <c r="F6" s="323" t="s">
        <v>2262</v>
      </c>
      <c r="G6" s="2468" t="s">
        <v>2263</v>
      </c>
      <c r="H6" s="799"/>
      <c r="I6" s="799"/>
      <c r="J6" s="799"/>
      <c r="K6" s="799"/>
      <c r="L6" s="799"/>
      <c r="M6" s="799"/>
      <c r="N6" s="799"/>
      <c r="O6" s="799"/>
      <c r="P6" s="799"/>
      <c r="Q6" s="799"/>
      <c r="R6" s="799"/>
    </row>
    <row r="7" spans="1:29" ht="36.6"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ht="24">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4.4"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2286</v>
      </c>
      <c r="B13" s="2482"/>
      <c r="C13" s="2482"/>
      <c r="D13" s="2480"/>
      <c r="E13" s="2482"/>
      <c r="F13" s="2482"/>
      <c r="G13" s="2482"/>
    </row>
    <row r="14" spans="1:29" ht="14.4" thickBot="1">
      <c r="A14" s="2492"/>
      <c r="B14" s="2492"/>
      <c r="C14" s="2493" t="s">
        <v>2269</v>
      </c>
      <c r="D14" s="2463"/>
      <c r="E14" s="2494"/>
      <c r="F14" s="2494"/>
      <c r="G14" s="2458" t="s">
        <v>2270</v>
      </c>
    </row>
    <row r="15" spans="1:29" ht="52.8">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9.6">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9.6">
      <c r="A17" s="2444"/>
      <c r="B17" s="2498" t="s">
        <v>2257</v>
      </c>
      <c r="C17" s="2499" t="str">
        <f>C5</f>
        <v>估价对象位于XX商圈，周边办公楼项目较多，入驻率高，办公集聚程度较好</v>
      </c>
      <c r="D17" s="2469"/>
      <c r="E17" s="2445"/>
      <c r="F17" s="2500" t="s">
        <v>2274</v>
      </c>
      <c r="G17" s="2502"/>
    </row>
    <row r="18" spans="1:18" ht="52.8">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6.4">
      <c r="A19" s="2444"/>
      <c r="B19" s="2500" t="s">
        <v>2275</v>
      </c>
      <c r="C19" s="2502"/>
      <c r="D19" s="2463"/>
      <c r="E19" s="2445"/>
      <c r="F19" s="323" t="s">
        <v>2259</v>
      </c>
      <c r="G19" s="2501" t="str">
        <f>G5</f>
        <v>估价对象所在区域公共配套设施齐备情况</v>
      </c>
    </row>
    <row r="20" spans="1:18" ht="26.4">
      <c r="A20" s="2444"/>
      <c r="B20" s="2500" t="s">
        <v>2276</v>
      </c>
      <c r="C20" s="2499" t="str">
        <f>C9</f>
        <v>区域自然环境：；人文环境；综合评价环境状况一般</v>
      </c>
      <c r="D20" s="2469"/>
      <c r="E20" s="2445"/>
      <c r="F20" s="323" t="s">
        <v>2262</v>
      </c>
      <c r="G20" s="2501" t="str">
        <f>G6</f>
        <v>估价对象所在区域基础设施水平</v>
      </c>
    </row>
    <row r="21" spans="1:18" ht="26.4">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4.4"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9" customFormat="1" ht="14.4"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0" sqref="E10"/>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0</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44917</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SUM(D14:D23)</f>
        <v>0</v>
      </c>
      <c r="C5" s="2510" t="e">
        <f>ROUND(B5*10000/$B$1,0)</f>
        <v>#DIV/0!</v>
      </c>
      <c r="D5" s="2510" t="e">
        <f>ROUND(B5*10000/$B$2,0)</f>
        <v>#DIV/0!</v>
      </c>
      <c r="E5" s="2684"/>
      <c r="F5" s="2685"/>
      <c r="G5" s="2685"/>
      <c r="H5" s="2686"/>
      <c r="I5" s="2686"/>
      <c r="J5" s="2686"/>
      <c r="K5" s="2686"/>
    </row>
    <row r="6" spans="1:11" ht="15.6">
      <c r="A6" s="2510" t="s">
        <v>656</v>
      </c>
      <c r="B6" s="2510">
        <f>SUM(G14:G23)</f>
        <v>0</v>
      </c>
      <c r="C6" s="2510" t="e">
        <f>ROUND(B6*10000/$B$1,0)</f>
        <v>#DIV/0!</v>
      </c>
      <c r="D6" s="2510" t="e">
        <f>ROUND(B6*10000/$B$2,0)</f>
        <v>#DIV/0!</v>
      </c>
      <c r="E6" s="2684"/>
      <c r="F6" s="2685"/>
      <c r="G6" s="2685"/>
      <c r="H6" s="2686"/>
      <c r="I6" s="2686"/>
      <c r="J6" s="2686"/>
      <c r="K6" s="2686"/>
    </row>
    <row r="7" spans="1:11" ht="15.6">
      <c r="A7" s="2510" t="s">
        <v>664</v>
      </c>
      <c r="B7" s="2510">
        <f>SUM(H14:H23)</f>
        <v>0</v>
      </c>
      <c r="C7" s="2510" t="e">
        <f>ROUND(B7*10000/$B$1,0)</f>
        <v>#DIV/0!</v>
      </c>
      <c r="D7" s="2510" t="e">
        <f>ROUND(B7*10000/$B$2,0)</f>
        <v>#DIV/0!</v>
      </c>
      <c r="E7" s="2684"/>
      <c r="F7" s="2685"/>
      <c r="G7" s="2685"/>
      <c r="H7" s="2686"/>
      <c r="I7" s="2686"/>
      <c r="J7" s="2686"/>
      <c r="K7" s="2686"/>
    </row>
    <row r="8" spans="1:11" ht="15.6">
      <c r="A8" s="2510" t="s">
        <v>587</v>
      </c>
      <c r="B8" s="2510">
        <f>SUM(I14:I23)</f>
        <v>0</v>
      </c>
      <c r="C8" s="2510" t="e">
        <f>ROUND(B8*10000/$B$1,0)</f>
        <v>#DIV/0!</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8">
        <f>ROUND(B1*(E10*365/G10)/10000,0)</f>
        <v>0</v>
      </c>
      <c r="C10" s="3442" t="s">
        <v>3365</v>
      </c>
      <c r="D10" s="3442" t="s">
        <v>3366</v>
      </c>
      <c r="E10" s="3442">
        <v>5</v>
      </c>
      <c r="F10" s="3443" t="s">
        <v>3367</v>
      </c>
      <c r="G10" s="3444">
        <v>0.06</v>
      </c>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c r="C14" s="2516"/>
      <c r="D14" s="2516"/>
      <c r="E14" s="2516" t="e">
        <f>ROUND(D14*10000/B14,0)</f>
        <v>#DIV/0!</v>
      </c>
      <c r="F14" s="2516" t="e">
        <f>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19" sqref="G19"/>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1261</v>
      </c>
      <c r="B1" s="1746"/>
      <c r="C1" s="1747"/>
      <c r="D1" s="1746"/>
      <c r="E1" s="1746"/>
      <c r="F1" s="1748" t="s">
        <v>1262</v>
      </c>
      <c r="G1" s="1560" t="s">
        <v>3492</v>
      </c>
      <c r="H1" s="1749" t="str">
        <f>IF(G1="现房","——","估价对象范围")</f>
        <v>估价对象范围</v>
      </c>
      <c r="I1" s="1750"/>
    </row>
    <row r="2" spans="1:12" ht="21.75" customHeight="1" thickBot="1">
      <c r="A2" s="3591" t="str">
        <f>项目基本情况!S2</f>
        <v>北京市出让国有建设用地使用权及在建建筑物房地产</v>
      </c>
      <c r="B2" s="3592"/>
      <c r="C2" s="3592"/>
      <c r="D2" s="3592"/>
      <c r="E2" s="3592"/>
      <c r="F2" s="3592"/>
      <c r="G2" s="3592"/>
      <c r="H2" s="3592"/>
      <c r="I2" s="3593"/>
    </row>
    <row r="3" spans="1:12" ht="13.2">
      <c r="A3" s="3595" t="s">
        <v>1263</v>
      </c>
      <c r="B3" s="3596"/>
      <c r="C3" s="3596"/>
      <c r="D3" s="3596"/>
      <c r="E3" s="3596"/>
      <c r="F3" s="3596"/>
      <c r="G3" s="3596"/>
      <c r="H3" s="3596"/>
      <c r="I3" s="3596"/>
    </row>
    <row r="4" spans="1:12" ht="14.4">
      <c r="A4" s="1753" t="s">
        <v>1264</v>
      </c>
      <c r="B4" s="1754" t="s">
        <v>1265</v>
      </c>
      <c r="C4" s="1755" t="s">
        <v>3493</v>
      </c>
      <c r="D4" s="1755" t="s">
        <v>3494</v>
      </c>
      <c r="E4" s="3597" t="s">
        <v>1266</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3.2">
      <c r="A5" s="3571" t="s">
        <v>1267</v>
      </c>
      <c r="B5" s="3558">
        <v>25</v>
      </c>
      <c r="C5" s="3574"/>
      <c r="D5" s="3594"/>
      <c r="E5" s="131" t="s">
        <v>1268</v>
      </c>
      <c r="F5" s="1756"/>
      <c r="G5" s="1756"/>
      <c r="H5" s="1756"/>
      <c r="I5" s="1372"/>
    </row>
    <row r="6" spans="1:12" ht="13.2">
      <c r="A6" s="3571"/>
      <c r="B6" s="3558"/>
      <c r="C6" s="3575"/>
      <c r="D6" s="3594"/>
      <c r="E6" s="131" t="s">
        <v>1269</v>
      </c>
      <c r="F6" s="1756"/>
      <c r="G6" s="1756"/>
      <c r="H6" s="1756"/>
      <c r="I6" s="1372"/>
    </row>
    <row r="7" spans="1:12" ht="13.2">
      <c r="A7" s="3571"/>
      <c r="B7" s="3558"/>
      <c r="C7" s="3576"/>
      <c r="D7" s="3594"/>
      <c r="E7" s="131" t="s">
        <v>1270</v>
      </c>
      <c r="F7" s="1756"/>
      <c r="G7" s="1756"/>
      <c r="H7" s="1756"/>
      <c r="I7" s="1372"/>
    </row>
    <row r="8" spans="1:12" ht="13.2">
      <c r="A8" s="3571" t="s">
        <v>1271</v>
      </c>
      <c r="B8" s="3558">
        <v>15</v>
      </c>
      <c r="C8" s="3574"/>
      <c r="D8" s="3594"/>
      <c r="E8" s="131" t="s">
        <v>1272</v>
      </c>
      <c r="F8" s="1756"/>
      <c r="G8" s="1756"/>
      <c r="H8" s="1756"/>
      <c r="I8" s="1372"/>
    </row>
    <row r="9" spans="1:12" ht="13.2">
      <c r="A9" s="3571"/>
      <c r="B9" s="3558"/>
      <c r="C9" s="3576"/>
      <c r="D9" s="3594"/>
      <c r="E9" s="131" t="s">
        <v>1273</v>
      </c>
      <c r="F9" s="1756"/>
      <c r="G9" s="1756"/>
      <c r="H9" s="1756"/>
      <c r="I9" s="1372"/>
    </row>
    <row r="10" spans="1:12" ht="13.2">
      <c r="A10" s="3571" t="s">
        <v>1274</v>
      </c>
      <c r="B10" s="3558">
        <v>15</v>
      </c>
      <c r="C10" s="3574"/>
      <c r="D10" s="3594"/>
      <c r="E10" s="131" t="s">
        <v>1275</v>
      </c>
      <c r="F10" s="1756"/>
      <c r="G10" s="1756"/>
      <c r="H10" s="1756"/>
      <c r="I10" s="1372"/>
    </row>
    <row r="11" spans="1:12" ht="13.2">
      <c r="A11" s="3571"/>
      <c r="B11" s="3558"/>
      <c r="C11" s="3576"/>
      <c r="D11" s="3594"/>
      <c r="E11" s="131" t="s">
        <v>1276</v>
      </c>
      <c r="F11" s="1756"/>
      <c r="G11" s="1756"/>
      <c r="H11" s="1756"/>
      <c r="I11" s="1372"/>
    </row>
    <row r="12" spans="1:12" ht="13.2">
      <c r="A12" s="3571" t="s">
        <v>1277</v>
      </c>
      <c r="B12" s="3558">
        <v>15</v>
      </c>
      <c r="C12" s="3574"/>
      <c r="D12" s="3594"/>
      <c r="E12" s="131" t="s">
        <v>1278</v>
      </c>
      <c r="F12" s="1756"/>
      <c r="G12" s="1756"/>
      <c r="H12" s="1756"/>
      <c r="I12" s="1372"/>
    </row>
    <row r="13" spans="1:12" ht="13.2">
      <c r="A13" s="3571"/>
      <c r="B13" s="3558"/>
      <c r="C13" s="3576"/>
      <c r="D13" s="3594"/>
      <c r="E13" s="131" t="s">
        <v>1279</v>
      </c>
      <c r="F13" s="1756"/>
      <c r="G13" s="1756"/>
      <c r="H13" s="1756"/>
      <c r="I13" s="1372"/>
    </row>
    <row r="14" spans="1:12" ht="13.2">
      <c r="A14" s="3571" t="s">
        <v>1280</v>
      </c>
      <c r="B14" s="3558">
        <v>30</v>
      </c>
      <c r="C14" s="3574">
        <v>6</v>
      </c>
      <c r="D14" s="3594">
        <v>4</v>
      </c>
      <c r="E14" s="131" t="s">
        <v>1281</v>
      </c>
      <c r="F14" s="1756"/>
      <c r="G14" s="1756"/>
      <c r="H14" s="1756"/>
      <c r="I14" s="1372"/>
    </row>
    <row r="15" spans="1:12" ht="13.2">
      <c r="A15" s="3571"/>
      <c r="B15" s="3558"/>
      <c r="C15" s="3575"/>
      <c r="D15" s="3594"/>
      <c r="E15" s="131" t="s">
        <v>1282</v>
      </c>
      <c r="F15" s="1756"/>
      <c r="G15" s="1756"/>
      <c r="H15" s="1756"/>
      <c r="I15" s="1372"/>
    </row>
    <row r="16" spans="1:12" ht="13.2">
      <c r="A16" s="3571"/>
      <c r="B16" s="3558"/>
      <c r="C16" s="3576"/>
      <c r="D16" s="3594"/>
      <c r="E16" s="131" t="s">
        <v>1283</v>
      </c>
      <c r="F16" s="1756"/>
      <c r="G16" s="1756"/>
      <c r="H16" s="1756"/>
      <c r="I16" s="1372"/>
    </row>
    <row r="17" spans="1:36" ht="14.4">
      <c r="A17" s="1757" t="s">
        <v>1284</v>
      </c>
      <c r="B17" s="56"/>
      <c r="C17" s="132">
        <f>SUM(C5:C16)</f>
        <v>6</v>
      </c>
      <c r="D17" s="132">
        <f>SUM(D5:D16)</f>
        <v>4</v>
      </c>
      <c r="E17" s="129"/>
      <c r="F17" s="129"/>
      <c r="G17" s="129"/>
      <c r="H17" s="129"/>
      <c r="I17" s="129"/>
      <c r="K17" s="302"/>
      <c r="L17" s="302" t="s">
        <v>1285</v>
      </c>
      <c r="M17" s="302" t="s">
        <v>1286</v>
      </c>
    </row>
    <row r="18" spans="1:36" ht="31.95" customHeight="1" thickBot="1">
      <c r="A18" s="1758" t="s">
        <v>1287</v>
      </c>
      <c r="B18" s="1759"/>
      <c r="C18" s="133">
        <f>ROUND(C17/SUM(C17:D17),2)</f>
        <v>0.6</v>
      </c>
      <c r="D18" s="133">
        <f>1-C18</f>
        <v>0.4</v>
      </c>
      <c r="E18" s="3581" t="s">
        <v>2130</v>
      </c>
      <c r="F18" s="3582"/>
      <c r="G18" s="3582"/>
      <c r="H18" s="3582"/>
      <c r="I18" s="3582"/>
      <c r="K18" s="302" t="s">
        <v>1288</v>
      </c>
      <c r="L18" s="302">
        <f>IF(C1="",'数据-汇总表'!E3,SUMIF(项目类型,C1,'数据-汇总表'!E17:E26)+SUMIF(项目类型,C1,'数据-汇总表'!I17:I26))</f>
        <v>149436.09</v>
      </c>
      <c r="M18" s="302">
        <f>IF(C1="",'数据-汇总表'!E3,SUMIF(项目类型,C1,'数据-汇总表'!E17:E26))</f>
        <v>149436.09</v>
      </c>
    </row>
    <row r="19" spans="1:36" ht="14.4">
      <c r="A19" s="1760" t="s">
        <v>1289</v>
      </c>
      <c r="B19" s="1761" t="s">
        <v>1290</v>
      </c>
      <c r="C19" s="134">
        <f ca="1">SUMIF(INDIRECT("'"&amp;C4&amp;"'"&amp;"!A:A"),结果表!B19,INDIRECT("'"&amp;C4&amp;"'"&amp;"!B:B"))</f>
        <v>237305</v>
      </c>
      <c r="D19" s="135">
        <f ca="1">SUMIF(INDIRECT("'"&amp;D4&amp;"'"&amp;"!A:A"),结果表!B19,INDIRECT("'"&amp;D4&amp;"'"&amp;"!B:B"))</f>
        <v>100463</v>
      </c>
      <c r="E19" s="1760" t="s">
        <v>1291</v>
      </c>
      <c r="F19" s="1761" t="s">
        <v>1290</v>
      </c>
      <c r="G19" s="136">
        <f ca="1">ROUND(C19*$C$18+D19*$D$18,0)</f>
        <v>182568</v>
      </c>
      <c r="H19" s="1762" t="s">
        <v>1292</v>
      </c>
      <c r="I19" s="129"/>
      <c r="K19" s="302" t="s">
        <v>1293</v>
      </c>
      <c r="L19" s="302">
        <f>IF(C1="",'数据-汇总表'!D3,SUMIF(项目类型,C1,'数据-汇总表'!D17:D26)+SUMIF(项目类型,C1,'数据-汇总表'!H17:H27))</f>
        <v>37315.089999999997</v>
      </c>
      <c r="M19" s="302">
        <f>IF(C1="",'数据-汇总表'!D3,SUMIF(项目类型,C1,'数据-汇总表'!D17:D26))</f>
        <v>37315.089999999997</v>
      </c>
    </row>
    <row r="20" spans="1:36" ht="14.4">
      <c r="A20" s="1763"/>
      <c r="B20" s="1026" t="s">
        <v>1294</v>
      </c>
      <c r="C20" s="137">
        <f ca="1">SUMIF(INDIRECT("'"&amp;C4&amp;"'"&amp;"!A:A"),结果表!B20,INDIRECT("'"&amp;C4&amp;"'"&amp;"!B:B"))</f>
        <v>15880</v>
      </c>
      <c r="D20" s="138">
        <f ca="1">SUMIF(INDIRECT("'"&amp;D4&amp;"'"&amp;"!A:A"),结果表!B20,INDIRECT("'"&amp;D4&amp;"'"&amp;"!B:B"))</f>
        <v>6723</v>
      </c>
      <c r="E20" s="1763"/>
      <c r="F20" s="1026" t="s">
        <v>1294</v>
      </c>
      <c r="G20" s="139">
        <f ca="1">ROUND(C20*$C$18+D20*$D$18,0)</f>
        <v>12217</v>
      </c>
      <c r="H20" s="808" t="s">
        <v>1295</v>
      </c>
      <c r="I20" s="129"/>
    </row>
    <row r="21" spans="1:36" ht="15" customHeight="1" thickBot="1">
      <c r="A21" s="828"/>
      <c r="B21" s="1764" t="s">
        <v>1296</v>
      </c>
      <c r="C21" s="719">
        <f ca="1">ROUND(C19*10000/L19,0)</f>
        <v>63595</v>
      </c>
      <c r="D21" s="720">
        <f ca="1">ROUND(D19*10000/L19,0)</f>
        <v>26923</v>
      </c>
      <c r="E21" s="828"/>
      <c r="F21" s="1764" t="s">
        <v>1296</v>
      </c>
      <c r="G21" s="140">
        <f ca="1">ROUND(G19*10000/L19,0)</f>
        <v>48926</v>
      </c>
      <c r="H21" s="1765" t="s">
        <v>1295</v>
      </c>
      <c r="I21" s="129"/>
    </row>
    <row r="22" spans="1:36" ht="15" thickBot="1">
      <c r="A22" s="1687" t="s">
        <v>1297</v>
      </c>
      <c r="B22" s="1766"/>
      <c r="C22" s="1767"/>
      <c r="D22" s="721">
        <f ca="1">IF(C19&lt;D19,D19/C19-1,C19/D19-1)</f>
        <v>1.3621134148890635</v>
      </c>
      <c r="E22" s="129"/>
      <c r="F22" s="129"/>
      <c r="G22" s="129"/>
      <c r="H22" s="129"/>
      <c r="I22" s="129"/>
    </row>
    <row r="23" spans="1:36" ht="13.8" thickBot="1">
      <c r="A23" s="1746"/>
      <c r="B23" s="1746"/>
      <c r="C23" s="1746"/>
      <c r="D23" s="1746"/>
      <c r="E23" s="129"/>
      <c r="F23" s="129"/>
      <c r="G23" s="129"/>
      <c r="H23" s="129"/>
      <c r="I23" s="129"/>
    </row>
    <row r="24" spans="1:36" ht="14.4">
      <c r="A24" s="3565" t="s">
        <v>1298</v>
      </c>
      <c r="B24" s="1761" t="s">
        <v>1290</v>
      </c>
      <c r="C24" s="136">
        <f>IF(B30=0,0,D30)</f>
        <v>0</v>
      </c>
      <c r="D24" s="1768"/>
      <c r="E24" s="129"/>
      <c r="F24" s="129"/>
      <c r="G24" s="129"/>
      <c r="H24" s="129"/>
      <c r="I24" s="129"/>
    </row>
    <row r="25" spans="1:36" ht="14.4">
      <c r="A25" s="3566"/>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1304</v>
      </c>
      <c r="B32" s="1773"/>
      <c r="C32" s="144">
        <f ca="1">IF(D32="总价",G19-C24,G20-C25)</f>
        <v>12217</v>
      </c>
      <c r="D32" s="1774"/>
      <c r="E32" s="129"/>
      <c r="F32" s="129"/>
      <c r="G32" s="129"/>
      <c r="H32" s="129"/>
      <c r="I32" s="129"/>
    </row>
    <row r="33" spans="1:15" ht="14.4">
      <c r="A33" s="786" t="s">
        <v>1305</v>
      </c>
      <c r="B33" s="1775"/>
      <c r="C33" s="1776"/>
      <c r="D33" s="1777"/>
      <c r="E33" s="1778" t="s">
        <v>1306</v>
      </c>
      <c r="F33" s="1779" t="str">
        <f>IF(D32="楼面单价","取值（单价）","取值（总价）")</f>
        <v>取值（总价）</v>
      </c>
      <c r="G33" s="129"/>
      <c r="H33" s="129"/>
      <c r="I33" s="129"/>
    </row>
    <row r="34" spans="1:15" ht="14.4">
      <c r="A34" s="1780"/>
      <c r="B34" s="1781"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 thickBot="1">
      <c r="A35" s="1783"/>
      <c r="B35" s="1784"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 thickBot="1">
      <c r="A36" s="3585" t="s">
        <v>1311</v>
      </c>
      <c r="B36" s="1786" t="s">
        <v>1312</v>
      </c>
      <c r="C36" s="145"/>
      <c r="D36" s="1787"/>
      <c r="E36" s="1788"/>
      <c r="F36" s="1789"/>
      <c r="G36" s="129"/>
      <c r="H36" s="129"/>
      <c r="I36" s="129"/>
    </row>
    <row r="37" spans="1:15" ht="15" thickBot="1">
      <c r="A37" s="3586"/>
      <c r="B37" s="1673" t="s">
        <v>1313</v>
      </c>
      <c r="C37" s="147"/>
      <c r="D37" s="1139"/>
      <c r="E37" s="1139"/>
      <c r="F37" s="1789"/>
      <c r="G37" s="129"/>
      <c r="H37" s="129"/>
      <c r="I37" s="129"/>
    </row>
    <row r="38" spans="1:15" ht="15" thickBot="1">
      <c r="A38" s="3587"/>
      <c r="B38" s="1790" t="s">
        <v>1314</v>
      </c>
      <c r="C38" s="674"/>
      <c r="D38" s="1791" t="s">
        <v>1315</v>
      </c>
      <c r="E38" s="1139"/>
      <c r="F38" s="1789"/>
      <c r="G38" s="129"/>
      <c r="H38" s="129"/>
      <c r="I38" s="129"/>
    </row>
    <row r="39" spans="1:15" ht="14.4">
      <c r="A39" s="1763" t="s">
        <v>1316</v>
      </c>
      <c r="B39" s="1792" t="s">
        <v>1317</v>
      </c>
      <c r="C39" s="1793" t="s">
        <v>1318</v>
      </c>
      <c r="D39" s="1793" t="s">
        <v>1319</v>
      </c>
      <c r="E39" s="1794" t="s">
        <v>1320</v>
      </c>
      <c r="F39" s="1789"/>
      <c r="G39" s="129"/>
      <c r="H39" s="129"/>
      <c r="I39" s="129"/>
    </row>
    <row r="40" spans="1:15" ht="13.8">
      <c r="A40" s="1795" t="s">
        <v>1321</v>
      </c>
      <c r="B40" s="149"/>
      <c r="C40" s="150"/>
      <c r="D40" s="150"/>
      <c r="E40" s="151"/>
      <c r="F40" s="1789"/>
      <c r="G40" s="129"/>
      <c r="H40" s="129"/>
      <c r="I40" s="129"/>
    </row>
    <row r="41" spans="1:15" ht="13.8">
      <c r="A41" s="1795" t="s">
        <v>1322</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62" t="s">
        <v>1325</v>
      </c>
      <c r="B45" s="3563"/>
      <c r="C45" s="3564"/>
      <c r="D45" s="155" t="e">
        <f ca="1">ROUND(H101*F45,0)</f>
        <v>#REF!</v>
      </c>
      <c r="E45" s="156" t="s">
        <v>1326</v>
      </c>
      <c r="F45" s="157">
        <v>1</v>
      </c>
      <c r="G45" s="158" t="s">
        <v>1327</v>
      </c>
      <c r="H45" s="129"/>
      <c r="I45" s="129"/>
      <c r="J45" s="3640" t="s">
        <v>1328</v>
      </c>
      <c r="K45" s="3640"/>
      <c r="L45" s="3640"/>
      <c r="M45" s="3640"/>
      <c r="N45" s="3640"/>
      <c r="O45" s="3640"/>
    </row>
    <row r="46" spans="1:15" ht="14.25" customHeight="1">
      <c r="A46" s="3559" t="s">
        <v>1329</v>
      </c>
      <c r="B46" s="3560"/>
      <c r="C46" s="3560"/>
      <c r="D46" s="3560"/>
      <c r="E46" s="3560"/>
      <c r="F46" s="3560"/>
      <c r="G46" s="3561"/>
      <c r="H46" s="1805"/>
      <c r="I46" s="159"/>
      <c r="J46" s="2521">
        <v>1</v>
      </c>
      <c r="K46" s="3621" t="s">
        <v>1330</v>
      </c>
      <c r="L46" s="3621"/>
      <c r="M46" s="3641"/>
      <c r="N46" s="3641"/>
      <c r="O46" s="3641"/>
    </row>
    <row r="47" spans="1:15" ht="12" customHeight="1">
      <c r="A47" s="160" t="s">
        <v>1331</v>
      </c>
      <c r="B47" s="161"/>
      <c r="C47" s="162"/>
      <c r="D47" s="1087" t="s">
        <v>1332</v>
      </c>
      <c r="E47" s="302" t="s">
        <v>1333</v>
      </c>
      <c r="F47" s="163" t="s">
        <v>1334</v>
      </c>
      <c r="G47" s="2544" t="s">
        <v>1335</v>
      </c>
      <c r="H47" s="2545"/>
      <c r="I47" s="159"/>
      <c r="J47" s="2521">
        <v>2</v>
      </c>
      <c r="K47" s="3621" t="s">
        <v>1336</v>
      </c>
      <c r="L47" s="3621"/>
      <c r="M47" s="3642">
        <f>'数据-取费表'!B2</f>
        <v>44917</v>
      </c>
      <c r="N47" s="3642"/>
      <c r="O47" s="3642"/>
    </row>
    <row r="48" spans="1:15" ht="26.4">
      <c r="A48" s="3590" t="s">
        <v>1337</v>
      </c>
      <c r="B48" s="3573"/>
      <c r="C48" s="3573"/>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1338</v>
      </c>
      <c r="H48" s="2548"/>
      <c r="I48" s="1805"/>
      <c r="J48" s="2521">
        <v>3</v>
      </c>
      <c r="K48" s="3621" t="s">
        <v>1339</v>
      </c>
      <c r="L48" s="3621"/>
      <c r="M48" s="3643" t="e">
        <f ca="1">H101</f>
        <v>#REF!</v>
      </c>
      <c r="N48" s="3643"/>
      <c r="O48" s="3643"/>
    </row>
    <row r="49" spans="1:35" ht="25.5" customHeight="1">
      <c r="A49" s="2332" t="s">
        <v>1340</v>
      </c>
      <c r="B49" s="3557" t="s">
        <v>1341</v>
      </c>
      <c r="C49" s="3557"/>
      <c r="D49" s="1589">
        <v>0</v>
      </c>
      <c r="E49" s="324" t="s">
        <v>1342</v>
      </c>
      <c r="F49" s="2422" t="s">
        <v>28</v>
      </c>
      <c r="G49" s="3627"/>
      <c r="H49" s="2309" t="s">
        <v>2133</v>
      </c>
      <c r="I49" s="2310"/>
      <c r="J49" s="2521">
        <v>4</v>
      </c>
      <c r="K49" s="3621" t="str">
        <f>IF(项目基本情况!E8="房地产抵押价值","房地产抵押价值","抵押担保权已注销时的房地产抵押价值")</f>
        <v>房地产抵押价值</v>
      </c>
      <c r="L49" s="3621"/>
      <c r="M49" s="3643" t="str">
        <f ca="1">IF(项目基本情况!E8="房地产抵押价值",H107,H109)</f>
        <v>——</v>
      </c>
      <c r="N49" s="3643"/>
      <c r="O49" s="3643"/>
    </row>
    <row r="50" spans="1:35" ht="25.5" customHeight="1">
      <c r="A50" s="2549"/>
      <c r="B50" s="3557" t="s">
        <v>1343</v>
      </c>
      <c r="C50" s="3557"/>
      <c r="D50" s="2550"/>
      <c r="E50" s="332"/>
      <c r="F50" s="2422"/>
      <c r="G50" s="3628"/>
      <c r="H50" s="2311" t="s">
        <v>2134</v>
      </c>
      <c r="I50" s="2310"/>
      <c r="J50" s="3640" t="s">
        <v>1344</v>
      </c>
      <c r="K50" s="3640"/>
      <c r="L50" s="3640"/>
      <c r="M50" s="3640"/>
      <c r="N50" s="3640"/>
      <c r="O50" s="3640"/>
    </row>
    <row r="51" spans="1:35" ht="20.399999999999999" customHeight="1">
      <c r="A51" s="2551"/>
      <c r="B51" s="3557" t="s">
        <v>1345</v>
      </c>
      <c r="C51" s="3557"/>
      <c r="D51" s="1087"/>
      <c r="E51" s="327"/>
      <c r="F51" s="2422"/>
      <c r="G51" s="3629"/>
      <c r="H51" s="2311" t="s">
        <v>2135</v>
      </c>
      <c r="I51" s="2310"/>
      <c r="J51" s="2522" t="s">
        <v>1346</v>
      </c>
      <c r="K51" s="3621" t="s">
        <v>1347</v>
      </c>
      <c r="L51" s="3621"/>
      <c r="M51" s="2522" t="s">
        <v>1348</v>
      </c>
      <c r="N51" s="2522" t="s">
        <v>1349</v>
      </c>
      <c r="O51" s="2522" t="s">
        <v>1350</v>
      </c>
    </row>
    <row r="52" spans="1:35" ht="24" customHeight="1">
      <c r="A52" s="2334" t="s">
        <v>1351</v>
      </c>
      <c r="B52" s="3557" t="s">
        <v>1352</v>
      </c>
      <c r="C52" s="3557"/>
      <c r="D52" s="1087" t="e">
        <f ca="1">ROUND(D45*'数据-取费表'!B41/(1+'数据-取费表'!C42),0)</f>
        <v>#REF!</v>
      </c>
      <c r="E52" s="2333" t="s">
        <v>1353</v>
      </c>
      <c r="F52" s="2552">
        <f>'数据-取费表'!B41</f>
        <v>5.5000000000000007E-2</v>
      </c>
      <c r="G52" s="2553"/>
      <c r="H52" s="2542"/>
      <c r="I52" s="1806"/>
      <c r="J52" s="2521">
        <v>1</v>
      </c>
      <c r="K52" s="3622" t="s">
        <v>1354</v>
      </c>
      <c r="L52" s="3622"/>
      <c r="M52" s="2523" t="b">
        <f>D48</f>
        <v>0</v>
      </c>
      <c r="N52" s="2521" t="str">
        <f>E48</f>
        <v>销售额×税（费）率</v>
      </c>
      <c r="O52" s="2524">
        <f>F48</f>
        <v>5.5000000000000007E-2</v>
      </c>
    </row>
    <row r="53" spans="1:35" ht="12" customHeight="1">
      <c r="A53" s="2334" t="s">
        <v>1355</v>
      </c>
      <c r="B53" s="3583" t="s">
        <v>2290</v>
      </c>
      <c r="C53" s="3584"/>
      <c r="D53" s="1087" t="e">
        <f ca="1">ROUND(D45*'数据-取费表'!B41/(1+'数据-取费表'!C42),0)</f>
        <v>#REF!</v>
      </c>
      <c r="E53" s="2333" t="s">
        <v>1353</v>
      </c>
      <c r="F53" s="2552">
        <f>'数据-取费表'!B41</f>
        <v>5.5000000000000007E-2</v>
      </c>
      <c r="G53" s="2553"/>
      <c r="H53" s="2542"/>
      <c r="I53" s="1806"/>
      <c r="J53" s="2521">
        <v>2</v>
      </c>
      <c r="K53" s="3622" t="s">
        <v>1356</v>
      </c>
      <c r="L53" s="3622"/>
      <c r="M53" s="2523" t="e">
        <f t="shared" ref="M53:O54" ca="1" si="0">D55</f>
        <v>#REF!</v>
      </c>
      <c r="N53" s="2521" t="str">
        <f t="shared" si="0"/>
        <v>销售额×税（费）率</v>
      </c>
      <c r="O53" s="2524" t="str">
        <f t="shared" si="0"/>
        <v>免征</v>
      </c>
    </row>
    <row r="54" spans="1:35" ht="12" customHeight="1">
      <c r="A54" s="2334" t="s">
        <v>1357</v>
      </c>
      <c r="B54" s="3583" t="s">
        <v>2291</v>
      </c>
      <c r="C54" s="3584"/>
      <c r="D54" s="1087" t="e">
        <f ca="1">C68</f>
        <v>#REF!</v>
      </c>
      <c r="E54" s="327" t="s">
        <v>1358</v>
      </c>
      <c r="F54" s="2552">
        <f>'数据-取费表'!B41</f>
        <v>5.5000000000000007E-2</v>
      </c>
      <c r="G54" s="2553"/>
      <c r="H54" s="2554"/>
      <c r="I54" s="1806"/>
      <c r="J54" s="2521">
        <v>3</v>
      </c>
      <c r="K54" s="3622" t="s">
        <v>1359</v>
      </c>
      <c r="L54" s="3622"/>
      <c r="M54" s="2523" t="e">
        <f t="shared" ca="1" si="0"/>
        <v>#REF!</v>
      </c>
      <c r="N54" s="2521" t="str">
        <f t="shared" si="0"/>
        <v>增值额×税（费）率</v>
      </c>
      <c r="O54" s="2525" t="str">
        <f t="shared" si="0"/>
        <v>免征</v>
      </c>
    </row>
    <row r="55" spans="1:35" ht="24" customHeight="1">
      <c r="A55" s="3572" t="s">
        <v>1360</v>
      </c>
      <c r="B55" s="3573"/>
      <c r="C55" s="3573"/>
      <c r="D55" s="2323" t="e">
        <f ca="1">IF(H55="个人住宅",0,ROUND(D45*I55,0))</f>
        <v>#REF!</v>
      </c>
      <c r="E55" s="2333" t="s">
        <v>1361</v>
      </c>
      <c r="F55" s="2552" t="str">
        <f>IF(H55="正常",I55,"免征")</f>
        <v>免征</v>
      </c>
      <c r="G55" s="2553"/>
      <c r="H55" s="2548"/>
      <c r="I55" s="165">
        <f>'数据-取费表'!B49</f>
        <v>5.0000000000000001E-4</v>
      </c>
      <c r="J55" s="2521">
        <f>IF(H59="非个人房产","",4)</f>
        <v>4</v>
      </c>
      <c r="K55" s="3622" t="str">
        <f>IF(H59="非个人房产","——","个人所得税")</f>
        <v>个人所得税</v>
      </c>
      <c r="L55" s="3622"/>
      <c r="M55" s="2526" t="e">
        <f ca="1">D59</f>
        <v>#REF!</v>
      </c>
      <c r="N55" s="2039" t="str">
        <f>E59</f>
        <v>差额计税</v>
      </c>
      <c r="O55" s="2527">
        <f>F59</f>
        <v>0.01</v>
      </c>
    </row>
    <row r="56" spans="1:35" ht="25.2">
      <c r="A56" s="3572" t="s">
        <v>1362</v>
      </c>
      <c r="B56" s="3573"/>
      <c r="C56" s="3573"/>
      <c r="D56" s="2323" t="e">
        <f ca="1">IF(H56="个人住宅",D57,D58)</f>
        <v>#REF!</v>
      </c>
      <c r="E56" s="2333" t="s">
        <v>1363</v>
      </c>
      <c r="F56" s="2552" t="str">
        <f>IF(H56="正常",F58,"免征")</f>
        <v>免征</v>
      </c>
      <c r="G56" s="2555" t="s">
        <v>1364</v>
      </c>
      <c r="H56" s="2556"/>
      <c r="I56" s="1807"/>
      <c r="J56" s="2521" t="str">
        <f>IF(项目基本情况!K6="上海银行",IF(J55="",4,J55+1),"")</f>
        <v/>
      </c>
      <c r="K56" s="3645" t="str">
        <f>IF(项目基本情况!K6="上海银行","其他处置费用","")</f>
        <v/>
      </c>
      <c r="L56" s="3646"/>
      <c r="M56" s="2523" t="str">
        <f>IF(项目基本情况!K6="上海银行",M69,"")</f>
        <v/>
      </c>
      <c r="N56" s="3645" t="str">
        <f>IF(项目基本情况!K6="上海银行","包含处置中涉及的律师、诉讼、拍卖、评估等费用","")</f>
        <v/>
      </c>
      <c r="O56" s="3648"/>
    </row>
    <row r="57" spans="1:35" ht="13.2">
      <c r="A57" s="2334" t="s">
        <v>1340</v>
      </c>
      <c r="B57" s="3583" t="s">
        <v>1365</v>
      </c>
      <c r="C57" s="3584"/>
      <c r="D57" s="1589">
        <v>0</v>
      </c>
      <c r="E57" s="324" t="s">
        <v>1342</v>
      </c>
      <c r="F57" s="302"/>
      <c r="G57" s="2553"/>
      <c r="H57" s="2557"/>
      <c r="I57" s="1807"/>
      <c r="J57" s="3622">
        <f>IF(AND(J55="",J56=""),4,IF(项目基本情况!K6="上海银行",结果表!J56+1,结果表!J55+1))</f>
        <v>5</v>
      </c>
      <c r="K57" s="3622" t="s">
        <v>1366</v>
      </c>
      <c r="L57" s="2528" t="s">
        <v>1367</v>
      </c>
      <c r="M57" s="2529"/>
      <c r="N57" s="2530">
        <f ca="1">SUMIF(M52:M56,"&lt;9e307")</f>
        <v>0</v>
      </c>
      <c r="O57" s="2531"/>
      <c r="P57" s="2688" t="e">
        <f ca="1">N57/M49</f>
        <v>#VALUE!</v>
      </c>
    </row>
    <row r="58" spans="1:35" ht="25.2">
      <c r="A58" s="2334" t="s">
        <v>1351</v>
      </c>
      <c r="B58" s="3583" t="s">
        <v>1368</v>
      </c>
      <c r="C58" s="3557"/>
      <c r="D58" s="2323" t="e">
        <f ca="1">IF(H58="转让取得",C81,C97)</f>
        <v>#REF!</v>
      </c>
      <c r="E58" s="2333" t="s">
        <v>1363</v>
      </c>
      <c r="F58" s="302" t="s">
        <v>28</v>
      </c>
      <c r="G58" s="2553"/>
      <c r="H58" s="2556"/>
      <c r="I58" s="1807"/>
      <c r="J58" s="3622"/>
      <c r="K58" s="3622"/>
      <c r="L58" s="2528" t="s">
        <v>1369</v>
      </c>
      <c r="M58" s="2532"/>
      <c r="N58" s="2533" t="str">
        <f ca="1">NUMBERSTRING(INT(N57*10000),2)&amp;"元整"</f>
        <v>零元整</v>
      </c>
      <c r="O58" s="2534"/>
    </row>
    <row r="59" spans="1:35" ht="24.6" thickBot="1">
      <c r="A59" s="3625" t="s">
        <v>1370</v>
      </c>
      <c r="B59" s="3626"/>
      <c r="C59" s="362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3"/>
      <c r="I59" s="2312" t="s">
        <v>2136</v>
      </c>
      <c r="J59" s="3623">
        <f>J57+1</f>
        <v>6</v>
      </c>
      <c r="K59" s="3622" t="s">
        <v>1371</v>
      </c>
      <c r="L59" s="2521" t="s">
        <v>1367</v>
      </c>
      <c r="M59" s="2535"/>
      <c r="N59" s="2536" t="e">
        <f ca="1">M49-N57</f>
        <v>#VALUE!</v>
      </c>
      <c r="O59" s="2537"/>
    </row>
    <row r="60" spans="1:35" ht="12" customHeight="1">
      <c r="A60" s="1808"/>
      <c r="B60" s="1746"/>
      <c r="C60" s="1746"/>
      <c r="D60" s="1746"/>
      <c r="E60" s="1577"/>
      <c r="F60" s="1807"/>
      <c r="G60" s="1807"/>
      <c r="H60" s="1809"/>
      <c r="I60" s="129"/>
      <c r="J60" s="3624"/>
      <c r="K60" s="3622"/>
      <c r="L60" s="2528" t="s">
        <v>1369</v>
      </c>
      <c r="M60" s="2532"/>
      <c r="N60" s="2533" t="e">
        <f ca="1">NUMBERSTRING(INT(N59*10000),2)&amp;"元整"</f>
        <v>#VALUE!</v>
      </c>
      <c r="O60" s="2534"/>
    </row>
    <row r="61" spans="1:35" ht="13.8" thickBot="1">
      <c r="A61" s="3570" t="s">
        <v>1372</v>
      </c>
      <c r="B61" s="3570"/>
      <c r="C61" s="3570"/>
      <c r="D61" s="3570"/>
      <c r="E61" s="3570"/>
      <c r="F61" s="1807"/>
      <c r="G61" s="1807"/>
      <c r="H61" s="1809"/>
      <c r="I61" s="129"/>
      <c r="J61" s="2521">
        <f>J59+1</f>
        <v>7</v>
      </c>
      <c r="K61" s="3622" t="s">
        <v>1373</v>
      </c>
      <c r="L61" s="3622"/>
      <c r="M61" s="2538"/>
      <c r="N61" s="2539" t="e">
        <f ca="1">ROUND(N59*10000/'数据-汇总表'!E3,0)</f>
        <v>#VALUE!</v>
      </c>
      <c r="O61" s="2540"/>
    </row>
    <row r="62" spans="1:35" ht="13.2">
      <c r="A62" s="3588" t="s">
        <v>1374</v>
      </c>
      <c r="B62" s="3589"/>
      <c r="C62" s="2020"/>
      <c r="D62" s="2020" t="s">
        <v>1375</v>
      </c>
      <c r="E62" s="166" t="s">
        <v>1376</v>
      </c>
      <c r="F62" s="1807"/>
      <c r="G62" s="1807"/>
      <c r="H62" s="1809"/>
      <c r="I62" s="129"/>
    </row>
    <row r="63" spans="1:35" ht="13.2">
      <c r="A63" s="173" t="s">
        <v>330</v>
      </c>
      <c r="B63" s="167" t="s">
        <v>1377</v>
      </c>
      <c r="C63" s="2562" t="e">
        <f ca="1">ROUND((C64+C65)/(1+'数据-取费表'!C42),0)</f>
        <v>#REF!</v>
      </c>
      <c r="D63" s="167"/>
      <c r="E63" s="168"/>
      <c r="F63" s="1807"/>
      <c r="G63" s="1807"/>
      <c r="H63" s="1809"/>
      <c r="I63" s="129"/>
      <c r="J63" s="3647" t="s">
        <v>1378</v>
      </c>
      <c r="K63" s="1331" t="s">
        <v>1379</v>
      </c>
      <c r="L63" s="1331" t="e">
        <f ca="1">IF(M49&gt;10000,M49*0.5%,IF(AND(M49&gt;1000,M49&lt;=10000),M49*1%,IF(AND(M49&gt;100,M49&lt;=1000),M49*3%,IF(AND(M49&gt;10,M49&lt;=100),M49*5%,M49*8%))))</f>
        <v>#VALUE!</v>
      </c>
      <c r="M63" s="302" t="e">
        <f ca="1">ROUND(L63,1)</f>
        <v>#VALUE!</v>
      </c>
      <c r="N63" s="2541"/>
      <c r="Z63" s="1751"/>
      <c r="AI63" s="1752"/>
    </row>
    <row r="64" spans="1:35" ht="14.25" customHeight="1">
      <c r="A64" s="169" t="s">
        <v>325</v>
      </c>
      <c r="B64" s="170" t="s">
        <v>1380</v>
      </c>
      <c r="C64" s="2563" t="e">
        <f ca="1">D45</f>
        <v>#REF!</v>
      </c>
      <c r="D64" s="170" t="s">
        <v>26</v>
      </c>
      <c r="E64" s="172"/>
      <c r="F64" s="1807"/>
      <c r="G64" s="1807"/>
      <c r="H64" s="1809"/>
      <c r="I64" s="129"/>
      <c r="J64" s="3647"/>
      <c r="K64" s="1331" t="s">
        <v>1381</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1382</v>
      </c>
      <c r="Z64" s="1751"/>
      <c r="AI64" s="1752"/>
    </row>
    <row r="65" spans="1:35" ht="14.25" customHeight="1">
      <c r="A65" s="169" t="s">
        <v>326</v>
      </c>
      <c r="B65" s="170" t="s">
        <v>1383</v>
      </c>
      <c r="C65" s="2564"/>
      <c r="D65" s="170"/>
      <c r="E65" s="172"/>
      <c r="F65" s="1807"/>
      <c r="G65" s="1807"/>
      <c r="H65" s="1809"/>
      <c r="I65" s="129"/>
      <c r="J65" s="3647"/>
      <c r="K65" s="1331" t="s">
        <v>1384</v>
      </c>
      <c r="L65" s="1331" t="e">
        <f ca="1">IF(M49&gt;1000,M49*0.1%,IF(AND(M49&gt;500,M49&lt;=1000),M49*0.5%,IF(AND(M49&gt;50,M49&lt;=500),M49*1%,IF(AND(M49&gt;1,M49&lt;=50),M49*1.5%))))</f>
        <v>#VALUE!</v>
      </c>
      <c r="M65" s="302" t="e">
        <f t="shared" ca="1" si="1"/>
        <v>#VALUE!</v>
      </c>
      <c r="N65" s="2542" t="s">
        <v>1382</v>
      </c>
      <c r="Z65" s="1751"/>
      <c r="AI65" s="1752"/>
    </row>
    <row r="66" spans="1:35" ht="14.25" customHeight="1">
      <c r="A66" s="173" t="s">
        <v>327</v>
      </c>
      <c r="B66" s="174" t="s">
        <v>1385</v>
      </c>
      <c r="C66" s="2565"/>
      <c r="D66" s="174" t="s">
        <v>26</v>
      </c>
      <c r="E66" s="1337" t="s">
        <v>671</v>
      </c>
      <c r="F66" s="1807"/>
      <c r="G66" s="1807"/>
      <c r="H66" s="1809"/>
      <c r="I66" s="129"/>
      <c r="J66" s="3647"/>
      <c r="K66" s="1331" t="s">
        <v>1386</v>
      </c>
      <c r="L66" s="1331" t="e">
        <f ca="1">M49*0.5%</f>
        <v>#VALUE!</v>
      </c>
      <c r="M66" s="302" t="e">
        <f ca="1">IF(L66&gt;0.5,0.5,ROUND(L66,0))</f>
        <v>#VALUE!</v>
      </c>
      <c r="N66" s="2542" t="s">
        <v>1387</v>
      </c>
      <c r="Z66" s="1751"/>
      <c r="AI66" s="1752"/>
    </row>
    <row r="67" spans="1:35" ht="14.25" customHeight="1">
      <c r="A67" s="173" t="s">
        <v>328</v>
      </c>
      <c r="B67" s="174" t="s">
        <v>1388</v>
      </c>
      <c r="C67" s="2566" t="e">
        <f ca="1">C63-C66</f>
        <v>#REF!</v>
      </c>
      <c r="D67" s="170" t="s">
        <v>26</v>
      </c>
      <c r="E67" s="172"/>
      <c r="F67" s="1807"/>
      <c r="G67" s="1807"/>
      <c r="H67" s="1809"/>
      <c r="I67" s="129"/>
      <c r="J67" s="3647"/>
      <c r="K67" s="1331" t="s">
        <v>1389</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1"/>
      <c r="AI67" s="1752"/>
    </row>
    <row r="68" spans="1:35" ht="14.25" customHeight="1" thickBot="1">
      <c r="A68" s="176" t="s">
        <v>329</v>
      </c>
      <c r="B68" s="177" t="s">
        <v>1390</v>
      </c>
      <c r="C68" s="2567" t="e">
        <f ca="1">IF(C67&lt;=0,0,ROUND(C67*D68,0))</f>
        <v>#REF!</v>
      </c>
      <c r="D68" s="2568">
        <f>'数据-取费表'!B41</f>
        <v>5.5000000000000007E-2</v>
      </c>
      <c r="E68" s="178"/>
      <c r="F68" s="1807"/>
      <c r="G68" s="1807"/>
      <c r="H68" s="1809"/>
      <c r="I68" s="129"/>
      <c r="J68" s="3647"/>
      <c r="K68" s="1331" t="s">
        <v>1391</v>
      </c>
      <c r="L68" s="1331" t="e">
        <f ca="1">IF(M49&gt;10000,M49*0.5%,IF(AND(M49&gt;5000,M49&lt;=10000),M49*1%,IF(AND(M49&gt;1000,M49&lt;=5000),M49*2%,IF(AND(M49&gt;200,M49&lt;=1000),M49*3%,M49*5%))))</f>
        <v>#VALUE!</v>
      </c>
      <c r="M68" s="302" t="e">
        <f ca="1">ROUND(L68,1)</f>
        <v>#VALUE!</v>
      </c>
      <c r="N68" s="2541"/>
      <c r="Z68" s="1751"/>
      <c r="AI68" s="1752"/>
    </row>
    <row r="69" spans="1:35" s="1771" customFormat="1" ht="16.5" customHeight="1">
      <c r="A69" s="1810"/>
      <c r="B69" s="1811"/>
      <c r="C69" s="1812"/>
      <c r="D69" s="1813"/>
      <c r="E69" s="1814"/>
      <c r="F69" s="1577"/>
      <c r="G69" s="1577"/>
      <c r="H69" s="1576"/>
      <c r="I69" s="1746"/>
      <c r="J69" s="3647"/>
      <c r="K69" s="1331" t="s">
        <v>1392</v>
      </c>
      <c r="L69" s="1331"/>
      <c r="M69" s="302" t="e">
        <f ca="1">ROUND(SUM(M63:M68),0)</f>
        <v>#VALUE!</v>
      </c>
      <c r="N69" s="2543" t="e">
        <f ca="1">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09" t="s">
        <v>1393</v>
      </c>
      <c r="B70" s="3610"/>
      <c r="C70" s="3610"/>
      <c r="D70" s="3610"/>
      <c r="E70" s="3610"/>
      <c r="F70" s="3610"/>
      <c r="G70" s="3610"/>
      <c r="H70" s="3610"/>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88" t="s">
        <v>1374</v>
      </c>
      <c r="B71" s="3589"/>
      <c r="C71" s="2020"/>
      <c r="D71" s="2020" t="s">
        <v>1375</v>
      </c>
      <c r="E71" s="179" t="s">
        <v>1376</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1394</v>
      </c>
      <c r="C72" s="2566" t="e">
        <f ca="1">ROUND(D45/(1+'数据-取费表'!C42),0)</f>
        <v>#REF!</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1395</v>
      </c>
      <c r="C73" s="2566"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1397</v>
      </c>
      <c r="C75" s="2569"/>
      <c r="D75" s="170" t="s">
        <v>26</v>
      </c>
      <c r="E75" s="184" t="s">
        <v>1398</v>
      </c>
      <c r="F75" s="2570"/>
      <c r="G75" s="184" t="s">
        <v>1399</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2">
        <v>0.05</v>
      </c>
      <c r="E76" s="3583" t="s">
        <v>1401</v>
      </c>
      <c r="F76" s="3557"/>
      <c r="G76" s="3557"/>
      <c r="H76" s="360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3">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4" t="e">
        <f ca="1">ROUND(D45*D78/(1+'数据-取费表'!C42),0)</f>
        <v>#REF!</v>
      </c>
      <c r="D78" s="2575">
        <f>'数据-取费表'!B43</f>
        <v>5.000000000000001E-3</v>
      </c>
      <c r="E78" s="3567" t="s">
        <v>1405</v>
      </c>
      <c r="F78" s="3568"/>
      <c r="G78" s="3568"/>
      <c r="H78" s="357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1406</v>
      </c>
      <c r="C79" s="2566"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1408</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09" t="s">
        <v>1409</v>
      </c>
      <c r="B83" s="3610"/>
      <c r="C83" s="3610"/>
      <c r="D83" s="3610"/>
      <c r="E83" s="3610"/>
      <c r="F83" s="3610"/>
      <c r="G83" s="3610"/>
      <c r="H83" s="361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88" t="s">
        <v>1374</v>
      </c>
      <c r="B84" s="3589"/>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1394</v>
      </c>
      <c r="C85" s="2566"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1395</v>
      </c>
      <c r="C86" s="2566" t="e">
        <f ca="1">IF(H88="仅含出让金",C87+C90+C91+C92+C93+C94,C87+C91+C92+C93+C94)</f>
        <v>#REF!</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1410</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1411</v>
      </c>
      <c r="C88" s="2580"/>
      <c r="D88" s="2575"/>
      <c r="E88" s="193" t="s">
        <v>1412</v>
      </c>
      <c r="F88" s="2326"/>
      <c r="G88" s="194" t="s">
        <v>1413</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1402</v>
      </c>
      <c r="C89" s="2574">
        <f>ROUND(C88*D89,0)</f>
        <v>0</v>
      </c>
      <c r="D89" s="2575">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1415</v>
      </c>
      <c r="C90" s="2580"/>
      <c r="D90" s="2575"/>
      <c r="E90" s="193" t="str">
        <f>IF(H88="-","土地取得成本中已包含该笔费用"," ")</f>
        <v xml:space="preserve"> </v>
      </c>
      <c r="F90" s="2326"/>
      <c r="G90" s="3649" t="s">
        <v>2128</v>
      </c>
      <c r="H90" s="3650"/>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4">
        <f>IF(H91="——",成本法!C33,I91)</f>
        <v>0</v>
      </c>
      <c r="D91" s="2575"/>
      <c r="E91" s="3567" t="s">
        <v>1418</v>
      </c>
      <c r="F91" s="3568"/>
      <c r="G91" s="356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4">
        <f>ROUND((C87+C90+C91)*D92,0)</f>
        <v>0</v>
      </c>
      <c r="D92" s="2581"/>
      <c r="E92" s="3567" t="s">
        <v>1421</v>
      </c>
      <c r="F92" s="3568"/>
      <c r="G92" s="3568"/>
      <c r="H92" s="3577"/>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4" t="e">
        <f ca="1">ROUND(D45*D93/(1+'数据-取费表'!C42),0)</f>
        <v>#REF!</v>
      </c>
      <c r="D93" s="2575">
        <f>'数据-取费表'!B43</f>
        <v>5.000000000000001E-3</v>
      </c>
      <c r="E93" s="3567" t="s">
        <v>1405</v>
      </c>
      <c r="F93" s="3568"/>
      <c r="G93" s="3568"/>
      <c r="H93" s="357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80">
        <f>ROUND((C87+C90+C91)*D94,0)</f>
        <v>0</v>
      </c>
      <c r="D94" s="2575">
        <v>0.2</v>
      </c>
      <c r="E94" s="3578" t="s">
        <v>1425</v>
      </c>
      <c r="F94" s="3579"/>
      <c r="G94" s="3579"/>
      <c r="H94" s="358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1406</v>
      </c>
      <c r="C95" s="2566"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1408</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51" t="s">
        <v>1427</v>
      </c>
      <c r="B100" s="3552"/>
      <c r="C100" s="3552"/>
      <c r="D100" s="3569"/>
      <c r="E100" s="3552" t="s">
        <v>1428</v>
      </c>
      <c r="F100" s="3552"/>
      <c r="G100" s="3552"/>
      <c r="H100" s="3569"/>
      <c r="I100" s="129"/>
    </row>
    <row r="101" spans="1:35" ht="18.75" customHeight="1">
      <c r="A101" s="3630" t="s">
        <v>1429</v>
      </c>
      <c r="B101" s="3631"/>
      <c r="C101" s="2583" t="str">
        <f>C4</f>
        <v>成本法</v>
      </c>
      <c r="D101" s="2584" t="str">
        <f>D4</f>
        <v>假设开发法</v>
      </c>
      <c r="E101" s="3644" t="s">
        <v>1430</v>
      </c>
      <c r="F101" s="3601"/>
      <c r="G101" s="1826" t="s">
        <v>1431</v>
      </c>
      <c r="H101" s="2593" t="e">
        <f ca="1">H118</f>
        <v>#REF!</v>
      </c>
      <c r="I101" s="129"/>
    </row>
    <row r="102" spans="1:35" ht="18.75" customHeight="1">
      <c r="A102" s="3603" t="s">
        <v>1432</v>
      </c>
      <c r="B102" s="2582" t="s">
        <v>1431</v>
      </c>
      <c r="C102" s="2583">
        <f ca="1">C19</f>
        <v>237305</v>
      </c>
      <c r="D102" s="2584">
        <f ca="1">D19</f>
        <v>100463</v>
      </c>
      <c r="E102" s="3644"/>
      <c r="F102" s="3601"/>
      <c r="G102" s="1826" t="s">
        <v>1433</v>
      </c>
      <c r="H102" s="2553" t="e">
        <f ca="1">I118</f>
        <v>#REF!</v>
      </c>
      <c r="I102" s="129"/>
    </row>
    <row r="103" spans="1:35" ht="42.75" customHeight="1">
      <c r="A103" s="3603"/>
      <c r="B103" s="2582" t="s">
        <v>1433</v>
      </c>
      <c r="C103" s="2585">
        <f ca="1">C20</f>
        <v>15880</v>
      </c>
      <c r="D103" s="2586">
        <f ca="1">D20</f>
        <v>6723</v>
      </c>
      <c r="E103" s="3638" t="s">
        <v>1434</v>
      </c>
      <c r="F103" s="3639"/>
      <c r="G103" s="1827" t="s">
        <v>1435</v>
      </c>
      <c r="H103" s="2593">
        <f>IF(D36="正常操作",H104+H105+H106,H105+H106)</f>
        <v>0</v>
      </c>
      <c r="I103" s="129"/>
    </row>
    <row r="104" spans="1:35" ht="18.75" customHeight="1">
      <c r="A104" s="3603" t="s">
        <v>1436</v>
      </c>
      <c r="B104" s="2587" t="s">
        <v>1431</v>
      </c>
      <c r="C104" s="2588" t="e">
        <f ca="1">H118</f>
        <v>#REF!</v>
      </c>
      <c r="D104" s="2589"/>
      <c r="E104" s="1673" t="s">
        <v>1437</v>
      </c>
      <c r="F104" s="1665"/>
      <c r="G104" s="1827" t="s">
        <v>1435</v>
      </c>
      <c r="H104" s="2594">
        <f>IF(D36="同一抵押权人同一抵押物续贷",C36&amp;"（续贷，未扣减，详见特别提示）",C36)</f>
        <v>0</v>
      </c>
      <c r="I104" s="129"/>
    </row>
    <row r="105" spans="1:35" ht="18.75" customHeight="1" thickBot="1">
      <c r="A105" s="3604"/>
      <c r="B105" s="2590" t="s">
        <v>1433</v>
      </c>
      <c r="C105" s="2591" t="e">
        <f ca="1">I118</f>
        <v>#REF!</v>
      </c>
      <c r="D105" s="2592"/>
      <c r="E105" s="1673" t="s">
        <v>1438</v>
      </c>
      <c r="F105" s="1665"/>
      <c r="G105" s="1827" t="s">
        <v>1435</v>
      </c>
      <c r="H105" s="2595">
        <f>C37</f>
        <v>0</v>
      </c>
      <c r="I105" s="129"/>
    </row>
    <row r="106" spans="1:35" ht="18.75" customHeight="1">
      <c r="A106" s="1746" t="s">
        <v>1439</v>
      </c>
      <c r="B106" s="1746"/>
      <c r="C106" s="1746"/>
      <c r="D106" s="1746"/>
      <c r="E106" s="1828" t="s">
        <v>1440</v>
      </c>
      <c r="F106" s="1665"/>
      <c r="G106" s="1827" t="s">
        <v>1435</v>
      </c>
      <c r="H106" s="2595">
        <f>C38</f>
        <v>0</v>
      </c>
      <c r="I106" s="129"/>
    </row>
    <row r="107" spans="1:35" ht="18.75" customHeight="1">
      <c r="A107" s="129"/>
      <c r="B107" s="129"/>
      <c r="C107" s="129"/>
      <c r="D107" s="129"/>
      <c r="E107" s="3600" t="str">
        <f>IF(项目基本情况!E8="已注销","——","3.房地产抵押价值")</f>
        <v>3.房地产抵押价值</v>
      </c>
      <c r="F107" s="3601"/>
      <c r="G107" s="1826" t="s">
        <v>1431</v>
      </c>
      <c r="H107" s="2593" t="e">
        <f ca="1">IF(E107="——","——",H101-H103)</f>
        <v>#REF!</v>
      </c>
      <c r="I107" s="129"/>
    </row>
    <row r="108" spans="1:35" ht="18.75" customHeight="1">
      <c r="A108" s="129"/>
      <c r="B108" s="129"/>
      <c r="C108" s="129"/>
      <c r="D108" s="129"/>
      <c r="E108" s="3600"/>
      <c r="F108" s="3601"/>
      <c r="G108" s="1826" t="s">
        <v>1433</v>
      </c>
      <c r="H108" s="2553" t="e">
        <f ca="1">ROUND(H107*10000/'数据-汇总表'!E3,0)</f>
        <v>#REF!</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6" t="s">
        <v>1431</v>
      </c>
      <c r="H109" s="2596" t="str">
        <f>IF(E109="——","——",H101-H105-H106)</f>
        <v>——</v>
      </c>
      <c r="I109" s="129"/>
    </row>
    <row r="110" spans="1:35" ht="18.75" customHeight="1">
      <c r="A110" s="129"/>
      <c r="B110" s="129"/>
      <c r="C110" s="129"/>
      <c r="D110" s="129"/>
      <c r="E110" s="3600"/>
      <c r="F110" s="3601"/>
      <c r="G110" s="1826" t="s">
        <v>1433</v>
      </c>
      <c r="H110" s="2553"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6" t="s">
        <v>1431</v>
      </c>
      <c r="H111" s="2593" t="str">
        <f>IF(E111="——","——",N59)</f>
        <v>——</v>
      </c>
      <c r="I111" s="129"/>
    </row>
    <row r="112" spans="1:35" ht="18.75" customHeight="1" thickBot="1">
      <c r="A112" s="129"/>
      <c r="B112" s="129"/>
      <c r="C112" s="129"/>
      <c r="D112" s="129"/>
      <c r="E112" s="3633"/>
      <c r="F112" s="3634"/>
      <c r="G112" s="1829" t="s">
        <v>1433</v>
      </c>
      <c r="H112" s="2597" t="str">
        <f>IF(E111="——","——",N61)</f>
        <v>——</v>
      </c>
      <c r="I112" s="129"/>
    </row>
    <row r="113" spans="1:27" ht="18.75" customHeight="1">
      <c r="A113" s="129"/>
      <c r="B113" s="129"/>
      <c r="C113" s="129"/>
      <c r="D113" s="129"/>
      <c r="E113" s="3605" t="s">
        <v>1439</v>
      </c>
      <c r="F113" s="3605"/>
      <c r="G113" s="3605"/>
      <c r="H113" s="3605"/>
      <c r="I113" s="129"/>
    </row>
    <row r="114" spans="1:27" ht="3.75" customHeight="1">
      <c r="A114" s="1746"/>
      <c r="B114" s="1746"/>
      <c r="C114" s="1746"/>
      <c r="D114" s="1746"/>
      <c r="E114" s="1808"/>
      <c r="F114" s="1808"/>
      <c r="G114" s="1808"/>
      <c r="H114" s="1808"/>
      <c r="I114" s="1746"/>
    </row>
    <row r="115" spans="1:27" ht="18.75" customHeight="1">
      <c r="A115" s="3615" t="s">
        <v>1441</v>
      </c>
      <c r="B115" s="3616"/>
      <c r="C115" s="3616"/>
      <c r="D115" s="3616"/>
      <c r="E115" s="3616"/>
      <c r="F115" s="3616"/>
      <c r="G115" s="3616"/>
      <c r="H115" s="3616"/>
      <c r="I115" s="3617"/>
    </row>
    <row r="116" spans="1:27" ht="27" customHeight="1">
      <c r="A116" s="3571" t="s">
        <v>1442</v>
      </c>
      <c r="B116" s="3606" t="s">
        <v>1443</v>
      </c>
      <c r="C116" s="3606" t="s">
        <v>1444</v>
      </c>
      <c r="D116" s="3619" t="s">
        <v>1445</v>
      </c>
      <c r="E116" s="3620"/>
      <c r="F116" s="3614" t="s">
        <v>1446</v>
      </c>
      <c r="G116" s="3614"/>
      <c r="H116" s="3571" t="s">
        <v>1447</v>
      </c>
      <c r="I116" s="3571"/>
    </row>
    <row r="117" spans="1:27" ht="18.75" customHeight="1">
      <c r="A117" s="3571"/>
      <c r="B117" s="3607"/>
      <c r="C117" s="3607"/>
      <c r="D117" s="2328" t="s">
        <v>1448</v>
      </c>
      <c r="E117" s="2328" t="s">
        <v>1449</v>
      </c>
      <c r="F117" s="2328" t="s">
        <v>1448</v>
      </c>
      <c r="G117" s="2328" t="s">
        <v>1450</v>
      </c>
      <c r="H117" s="2328" t="s">
        <v>1448</v>
      </c>
      <c r="I117" s="2328" t="s">
        <v>1450</v>
      </c>
    </row>
    <row r="118" spans="1:27" ht="24.75" customHeight="1">
      <c r="A118" s="2598" t="str">
        <f>项目基本情况!S2</f>
        <v>北京市出让国有建设用地使用权及在建建筑物房地产</v>
      </c>
      <c r="B118" s="2328">
        <f>M18</f>
        <v>149436.09</v>
      </c>
      <c r="C118" s="2328">
        <f>M19</f>
        <v>37315.089999999997</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71" t="s">
        <v>1451</v>
      </c>
      <c r="B119" s="3571"/>
      <c r="C119" s="3571"/>
      <c r="D119" s="3611" t="e">
        <f ca="1">NUMBERSTRING(INT(D118*10000),2)&amp;"元整"</f>
        <v>#REF!</v>
      </c>
      <c r="E119" s="3613"/>
      <c r="F119" s="3611" t="e">
        <f ca="1">NUMBERSTRING(INT(F118*10000),2)&amp;"元整"</f>
        <v>#REF!</v>
      </c>
      <c r="G119" s="3613"/>
      <c r="H119" s="3611" t="e">
        <f ca="1">NUMBERSTRING(INT(H118*10000),2)&amp;"元整"</f>
        <v>#REF!</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1" t="s">
        <v>1451</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t="e">
        <f ca="1">H107</f>
        <v>#REF!</v>
      </c>
      <c r="E122" s="3636"/>
      <c r="F122" s="3636"/>
      <c r="G122" s="3636"/>
      <c r="H122" s="3636"/>
      <c r="I122" s="3637"/>
      <c r="AA122" s="725"/>
    </row>
    <row r="123" spans="1:27" ht="18.75" customHeight="1">
      <c r="A123" s="3571" t="s">
        <v>1451</v>
      </c>
      <c r="B123" s="3571"/>
      <c r="C123" s="3571"/>
      <c r="D123" s="3611" t="e">
        <f ca="1">NUMBERSTRING(INT(D122*10000),2)&amp;"元整"</f>
        <v>#REF!</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1451</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1451</v>
      </c>
      <c r="B127" s="3571"/>
      <c r="C127" s="3571"/>
      <c r="D127" s="3611" t="e">
        <f>NUMBERSTRING(INT(D126*10000),2)&amp;"元整"</f>
        <v>#VALUE!</v>
      </c>
      <c r="E127" s="3612"/>
      <c r="F127" s="3612"/>
      <c r="G127" s="3612"/>
      <c r="H127" s="3612"/>
      <c r="I127" s="3613"/>
      <c r="AA127" s="725"/>
    </row>
    <row r="128" spans="1:27" ht="21.75" customHeight="1">
      <c r="A128" s="3618" t="s">
        <v>1452</v>
      </c>
      <c r="B128" s="3618"/>
      <c r="C128" s="3618"/>
      <c r="D128" s="3618"/>
      <c r="E128" s="3618"/>
      <c r="F128" s="3618"/>
      <c r="G128" s="3618"/>
      <c r="H128" s="3618"/>
      <c r="I128" s="3618"/>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67"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北京市出让国有建设用地使用权及在建建筑物房地产抵押价值预评估</v>
      </c>
      <c r="C37" s="3468"/>
      <c r="D37" s="3468"/>
      <c r="E37" s="3468"/>
      <c r="F37" s="3468"/>
      <c r="G37" s="3468"/>
      <c r="H37" s="3468"/>
      <c r="I37" s="346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49" sqref="C4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69"/>
      <c r="C1" s="198"/>
      <c r="D1" s="198"/>
      <c r="E1" s="198"/>
      <c r="F1" s="198"/>
      <c r="G1" s="1126">
        <f>MATCH(B1,'数据-取费表'!A6:A16,0)+5</f>
        <v>9</v>
      </c>
    </row>
    <row r="2" spans="1:9" s="200" customFormat="1" ht="18" customHeight="1">
      <c r="A2" s="201" t="s">
        <v>1461</v>
      </c>
      <c r="B2" s="202">
        <f ca="1">IF(D2="——",C52,C52-E2)</f>
        <v>237305</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15880</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 ca="1">C6+C7+C8</f>
        <v>143607</v>
      </c>
      <c r="D5" s="211" t="s">
        <v>1468</v>
      </c>
      <c r="E5" s="212" t="s">
        <v>1469</v>
      </c>
      <c r="F5" s="212" t="s">
        <v>1470</v>
      </c>
      <c r="G5" s="213"/>
    </row>
    <row r="6" spans="1:9" s="214" customFormat="1" ht="13.5" customHeight="1">
      <c r="A6" s="778" t="s">
        <v>1471</v>
      </c>
      <c r="B6" s="215" t="s">
        <v>1472</v>
      </c>
      <c r="C6" s="216">
        <f>'土地比较法-住宅、综合'!B2</f>
        <v>136456</v>
      </c>
      <c r="D6" s="217"/>
      <c r="E6" s="218"/>
      <c r="F6" s="218"/>
      <c r="G6" s="219"/>
    </row>
    <row r="7" spans="1:9" s="214" customFormat="1" ht="13.5" customHeight="1">
      <c r="A7" s="778" t="s">
        <v>1473</v>
      </c>
      <c r="B7" s="215" t="s">
        <v>1474</v>
      </c>
      <c r="C7" s="220">
        <f>ROUND(C6*F7,0)</f>
        <v>4162</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2989</v>
      </c>
      <c r="D8" s="222"/>
      <c r="E8" s="220"/>
      <c r="F8" s="221"/>
      <c r="G8" s="1855" t="s">
        <v>3489</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t="s">
        <v>3490</v>
      </c>
      <c r="H9" s="1137"/>
      <c r="I9" s="1857" t="s">
        <v>1478</v>
      </c>
    </row>
    <row r="10" spans="1:9" s="214" customFormat="1" ht="13.5" customHeight="1">
      <c r="A10" s="779" t="s">
        <v>356</v>
      </c>
      <c r="B10" s="224" t="s">
        <v>1479</v>
      </c>
      <c r="C10" s="225">
        <f ca="1">ROUND(D10*E10/10000,0)</f>
        <v>2989</v>
      </c>
      <c r="D10" s="845">
        <f ca="1">IF(B1="",'数据-汇总表'!E6,IF(INDIRECT("'数据-取费表'!c"&amp;$G$1)="住宅",INDIRECT("'数据-取费表'!s"&amp;$G$1),INDIRECT("'数据-取费表'!k"&amp;$G$1)+INDIRECT("'数据-取费表'!s"&amp;$G$1)))</f>
        <v>149436.09</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149436.09</v>
      </c>
      <c r="E19" s="211">
        <f>'数据-取费表'!B31</f>
        <v>200</v>
      </c>
      <c r="F19" s="231"/>
      <c r="G19" s="1855" t="s">
        <v>3491</v>
      </c>
    </row>
    <row r="20" spans="1:7" s="214" customFormat="1" ht="13.5" customHeight="1">
      <c r="A20" s="255" t="s">
        <v>1492</v>
      </c>
      <c r="B20" s="210" t="s">
        <v>1493</v>
      </c>
      <c r="C20" s="232">
        <f ca="1">ROUND((C5+C19)*F20,0)</f>
        <v>2872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9648</v>
      </c>
      <c r="D22" s="235">
        <f ca="1">C26</f>
        <v>6.9999999999999999E-4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9554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94</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6.4">
      <c r="A27" s="255" t="s">
        <v>1511</v>
      </c>
      <c r="B27" s="244" t="s">
        <v>1512</v>
      </c>
      <c r="C27" s="245">
        <f ca="1">C28</f>
        <v>10054</v>
      </c>
      <c r="D27" s="235">
        <f ca="1">C29</f>
        <v>1.4E-3</v>
      </c>
      <c r="E27" s="236" t="s">
        <v>1513</v>
      </c>
      <c r="F27" s="246">
        <f ca="1">IF(B1="",'数据-取费表'!Q16,INDIRECT("'数据-取费表'!q"&amp;$G$1))</f>
        <v>0.13</v>
      </c>
      <c r="G27" s="247" t="s">
        <v>1514</v>
      </c>
    </row>
    <row r="28" spans="1:7" s="214" customFormat="1" ht="13.5" customHeight="1">
      <c r="A28" s="780" t="s">
        <v>346</v>
      </c>
      <c r="B28" s="248" t="s">
        <v>1515</v>
      </c>
      <c r="C28" s="249">
        <f ca="1">ROUND((C5+C19+C20)*F27*'数据-取费表'!B21/'数据-取费表'!B20,0)</f>
        <v>10054</v>
      </c>
      <c r="D28" s="235"/>
      <c r="E28" s="236"/>
      <c r="F28" s="246"/>
      <c r="G28" s="247"/>
    </row>
    <row r="29" spans="1:7" s="214" customFormat="1" ht="13.5" customHeight="1">
      <c r="A29" s="780" t="s">
        <v>347</v>
      </c>
      <c r="B29" s="248" t="s">
        <v>1516</v>
      </c>
      <c r="C29" s="238">
        <f ca="1">ROUND(C21*F27*'数据-取费表'!B21/'数据-取费表'!B20,4)</f>
        <v>1.4E-3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179558</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45006</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41164</v>
      </c>
      <c r="D34" s="217"/>
      <c r="E34" s="220"/>
      <c r="F34" s="257">
        <f ca="1">IF('数据-取费表'!B24=0,1,IF(B1="",'数据-取费表'!N16,INDIRECT("'数据-取费表'!n"&amp;$G$1)))</f>
        <v>0.52800000000000002</v>
      </c>
      <c r="G34" s="219" t="s">
        <v>1525</v>
      </c>
    </row>
    <row r="35" spans="1:7" ht="13.5" customHeight="1">
      <c r="A35" s="780" t="s">
        <v>351</v>
      </c>
      <c r="B35" s="215" t="s">
        <v>1526</v>
      </c>
      <c r="C35" s="220">
        <f ca="1">ROUND(C34*F35,0)</f>
        <v>1647</v>
      </c>
      <c r="D35" s="220"/>
      <c r="E35" s="220"/>
      <c r="F35" s="259">
        <f>'数据-取费表'!B33</f>
        <v>0.04</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1578</v>
      </c>
      <c r="D37" s="217">
        <f ca="1">D19</f>
        <v>149436.09</v>
      </c>
      <c r="E37" s="249">
        <f>'数据-取费表'!B35</f>
        <v>200</v>
      </c>
      <c r="F37" s="259"/>
      <c r="G37" s="261" t="s">
        <v>1531</v>
      </c>
    </row>
    <row r="38" spans="1:7" ht="13.5" customHeight="1">
      <c r="A38" s="780" t="s">
        <v>354</v>
      </c>
      <c r="B38" s="215" t="s">
        <v>1532</v>
      </c>
      <c r="C38" s="220">
        <f ca="1">ROUND(C34*F38,0)</f>
        <v>617</v>
      </c>
      <c r="D38" s="220"/>
      <c r="E38" s="220"/>
      <c r="F38" s="259">
        <f>'数据-取费表'!B36</f>
        <v>1.4999999999999999E-2</v>
      </c>
      <c r="G38" s="219" t="s">
        <v>1527</v>
      </c>
    </row>
    <row r="39" spans="1:7" s="214" customFormat="1" ht="13.5" customHeight="1">
      <c r="A39" s="255" t="s">
        <v>1533</v>
      </c>
      <c r="B39" s="210" t="s">
        <v>1534</v>
      </c>
      <c r="C39" s="232">
        <f ca="1">ROUND(C33*F20,0)</f>
        <v>900</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1502</v>
      </c>
      <c r="D41" s="235">
        <f ca="1">C44</f>
        <v>6.9999999999999999E-4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1473</v>
      </c>
      <c r="D42" s="238"/>
      <c r="E42" s="238"/>
      <c r="F42" s="239"/>
      <c r="G42" s="3651" t="s">
        <v>1543</v>
      </c>
    </row>
    <row r="43" spans="1:7" ht="13.5" customHeight="1">
      <c r="A43" s="780" t="s">
        <v>347</v>
      </c>
      <c r="B43" s="215" t="s">
        <v>1544</v>
      </c>
      <c r="C43" s="238">
        <f ca="1">ROUND(IF('数据-取费表'!B22&lt;=1,C39*F22*'数据-取费表'!B21/2,C39*(POWER((1+F22),'数据-取费表'!B21/2)-1)),0)</f>
        <v>29</v>
      </c>
      <c r="D43" s="238"/>
      <c r="E43" s="238"/>
      <c r="F43" s="239"/>
      <c r="G43" s="3652"/>
    </row>
    <row r="44" spans="1:7" ht="13.5" customHeight="1">
      <c r="A44" s="780" t="s">
        <v>348</v>
      </c>
      <c r="B44" s="215" t="s">
        <v>1545</v>
      </c>
      <c r="C44" s="238">
        <f ca="1">ROUND(IF('数据-取费表'!B22&lt;=1,C40*F22*'数据-取费表'!B21/2,C40*(POWER((1+F22),'数据-取费表'!B21/2)-1)),4)</f>
        <v>6.9999999999999999E-4</v>
      </c>
      <c r="D44" s="238"/>
      <c r="E44" s="238"/>
      <c r="F44" s="239"/>
      <c r="G44" s="3653"/>
    </row>
    <row r="45" spans="1:7" s="214" customFormat="1" ht="13.5" customHeight="1">
      <c r="A45" s="255" t="s">
        <v>1546</v>
      </c>
      <c r="B45" s="244" t="s">
        <v>1512</v>
      </c>
      <c r="C45" s="245">
        <f ca="1">C46</f>
        <v>5968</v>
      </c>
      <c r="D45" s="235">
        <f ca="1">C47</f>
        <v>2.5999999999999999E-3</v>
      </c>
      <c r="E45" s="236" t="s">
        <v>1538</v>
      </c>
      <c r="F45" s="246">
        <f ca="1">F27</f>
        <v>0.13</v>
      </c>
      <c r="G45" s="247" t="s">
        <v>1547</v>
      </c>
    </row>
    <row r="46" spans="1:7" s="214" customFormat="1" ht="13.5" customHeight="1">
      <c r="A46" s="780" t="s">
        <v>346</v>
      </c>
      <c r="B46" s="248" t="s">
        <v>1548</v>
      </c>
      <c r="C46" s="249">
        <f ca="1">ROUND((C33+C39)*F27,0)</f>
        <v>5968</v>
      </c>
      <c r="D46" s="263"/>
      <c r="E46" s="236"/>
      <c r="F46" s="246"/>
      <c r="G46" s="247"/>
    </row>
    <row r="47" spans="1:7" s="214" customFormat="1" ht="13.5" customHeight="1">
      <c r="A47" s="780" t="s">
        <v>347</v>
      </c>
      <c r="B47" s="248" t="s">
        <v>1549</v>
      </c>
      <c r="C47" s="238">
        <f ca="1">ROUND(C40*F27,4)</f>
        <v>2.5999999999999999E-3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57747</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57747</v>
      </c>
      <c r="D51" s="232"/>
      <c r="E51" s="232"/>
      <c r="F51" s="264"/>
      <c r="G51" s="234" t="s">
        <v>1559</v>
      </c>
    </row>
    <row r="52" spans="1:7" s="208" customFormat="1" ht="16.8" thickBot="1">
      <c r="A52" s="265" t="s">
        <v>1560</v>
      </c>
      <c r="B52" s="266"/>
      <c r="C52" s="267">
        <f ca="1">C31+C51</f>
        <v>237305</v>
      </c>
      <c r="D52" s="266"/>
      <c r="E52" s="266"/>
      <c r="F52" s="266"/>
      <c r="G52" s="268"/>
    </row>
    <row r="55" spans="1:7" ht="15">
      <c r="B55" s="270" t="s">
        <v>1561</v>
      </c>
      <c r="C55" s="271"/>
    </row>
    <row r="56" spans="1:7">
      <c r="B56" s="273" t="s">
        <v>802</v>
      </c>
      <c r="C56" s="275">
        <f ca="1">1-C57</f>
        <v>0.75700000000000001</v>
      </c>
    </row>
    <row r="57" spans="1:7">
      <c r="B57" s="273" t="s">
        <v>803</v>
      </c>
      <c r="C57" s="274">
        <f ca="1">ROUND(C51/C52,3)</f>
        <v>0.24299999999999999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69"/>
      <c r="C1" s="1858" t="s">
        <v>1562</v>
      </c>
      <c r="D1" s="198"/>
      <c r="E1" s="198"/>
      <c r="F1" s="198"/>
      <c r="G1" s="1126">
        <f>MATCH(B1,'数据-取费表'!A6:A16,0)+5</f>
        <v>9</v>
      </c>
      <c r="H1" s="1061" t="str">
        <f>IF(ISERROR(FIND("住宅",B1)),"非住宅","住宅")</f>
        <v>非住宅</v>
      </c>
    </row>
    <row r="2" spans="1:8" s="200" customFormat="1" ht="18" customHeight="1">
      <c r="A2" s="201" t="s">
        <v>1461</v>
      </c>
      <c r="B2" s="3424">
        <f ca="1">ROUND(IF(D2="——",C52/10000,C52/10000-E2),4)</f>
        <v>120505.776</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8064</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29887218</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29887218</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29887218</v>
      </c>
      <c r="D10" s="845">
        <f ca="1">IF(B1="",'数据-汇总表'!E6,IF(INDIRECT("'数据-取费表'!c"&amp;$G$1)="住宅",INDIRECT("'数据-取费表'!s"&amp;$G$1),INDIRECT("'数据-取费表'!k"&amp;$G$1)+INDIRECT("'数据-取费表'!s"&amp;$G$1)))</f>
        <v>149436.09</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29887218</v>
      </c>
      <c r="D19" s="849">
        <f ca="1">D9+D10</f>
        <v>149436.09</v>
      </c>
      <c r="E19" s="211">
        <f>'数据-取费表'!B31</f>
        <v>200</v>
      </c>
      <c r="F19" s="231"/>
      <c r="G19" s="1855"/>
    </row>
    <row r="20" spans="1:7" s="214" customFormat="1" ht="13.5" customHeight="1">
      <c r="A20" s="255" t="s">
        <v>1573</v>
      </c>
      <c r="B20" s="210" t="s">
        <v>1574</v>
      </c>
      <c r="C20" s="232">
        <f ca="1">ROUND((C5+C19)*F20,0)</f>
        <v>1195489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7830216</v>
      </c>
      <c r="D22" s="235">
        <f ca="1">C26</f>
        <v>1.2999999999999999E-3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3877515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3877515</v>
      </c>
      <c r="D24" s="238"/>
      <c r="E24" s="238"/>
      <c r="F24" s="239"/>
      <c r="G24" s="240" t="s">
        <v>1585</v>
      </c>
    </row>
    <row r="25" spans="1:7" s="214" customFormat="1" ht="24">
      <c r="A25" s="780" t="s">
        <v>1475</v>
      </c>
      <c r="B25" s="215" t="s">
        <v>1586</v>
      </c>
      <c r="C25" s="1128">
        <f ca="1">ROUND(IF('数据-取费表'!B22&lt;=1,C20*F22*'数据-取费表'!B22/2,C20*(POWER((1+F22),'数据-取费表'!B22/2)-1)),0)</f>
        <v>75186</v>
      </c>
      <c r="D25" s="238"/>
      <c r="E25" s="241"/>
      <c r="F25" s="239"/>
      <c r="G25" s="242" t="s">
        <v>1587</v>
      </c>
    </row>
    <row r="26" spans="1:7" s="214" customFormat="1">
      <c r="A26" s="780" t="s">
        <v>350</v>
      </c>
      <c r="B26" s="215" t="s">
        <v>1510</v>
      </c>
      <c r="C26" s="238">
        <f ca="1">ROUND(IF('数据-取费表'!B22&lt;=1,F21*F22*'数据-取费表'!B22/2,F21*(POWER((1+F22),'数据-取费表'!B22/2)-1)),4)</f>
        <v>1.2999999999999999E-3</v>
      </c>
      <c r="D26" s="238"/>
      <c r="E26" s="241"/>
      <c r="F26" s="239"/>
      <c r="G26" s="243"/>
    </row>
    <row r="27" spans="1:7" s="214" customFormat="1" ht="26.4">
      <c r="A27" s="255" t="s">
        <v>1511</v>
      </c>
      <c r="B27" s="244" t="s">
        <v>1512</v>
      </c>
      <c r="C27" s="245">
        <f ca="1">C28</f>
        <v>7926090</v>
      </c>
      <c r="D27" s="235">
        <f ca="1">C29</f>
        <v>2.5999999999999999E-3</v>
      </c>
      <c r="E27" s="236" t="s">
        <v>1513</v>
      </c>
      <c r="F27" s="246">
        <f ca="1">IF(B1="",'数据-取费表'!Q16,INDIRECT("'数据-取费表'!q"&amp;$G$1))</f>
        <v>0.13</v>
      </c>
      <c r="G27" s="247" t="s">
        <v>1514</v>
      </c>
    </row>
    <row r="28" spans="1:7" s="214" customFormat="1" ht="13.5" customHeight="1">
      <c r="A28" s="780" t="s">
        <v>346</v>
      </c>
      <c r="B28" s="248" t="s">
        <v>1515</v>
      </c>
      <c r="C28" s="249">
        <f ca="1">ROUND((C5+C19+C20)*F27,0)</f>
        <v>7926090</v>
      </c>
      <c r="D28" s="235"/>
      <c r="E28" s="236"/>
      <c r="F28" s="246"/>
      <c r="G28" s="247"/>
    </row>
    <row r="29" spans="1:7" s="214" customFormat="1" ht="13.5" customHeight="1">
      <c r="A29" s="780" t="s">
        <v>347</v>
      </c>
      <c r="B29" s="248" t="s">
        <v>1516</v>
      </c>
      <c r="C29" s="238">
        <f ca="1">ROUND(C21*F27,4)</f>
        <v>2.5999999999999999E-3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83064015</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851765968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779031990</v>
      </c>
      <c r="D34" s="217"/>
      <c r="E34" s="220"/>
      <c r="F34" s="257"/>
      <c r="G34" s="219"/>
    </row>
    <row r="35" spans="1:7" ht="13.5" customHeight="1">
      <c r="A35" s="780" t="s">
        <v>351</v>
      </c>
      <c r="B35" s="215" t="s">
        <v>1526</v>
      </c>
      <c r="C35" s="220">
        <f ca="1">ROUND(C34*F35,0)</f>
        <v>31161280</v>
      </c>
      <c r="D35" s="220"/>
      <c r="E35" s="220"/>
      <c r="F35" s="259">
        <f>'数据-取费表'!B33</f>
        <v>0.04</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29887218</v>
      </c>
      <c r="D37" s="217">
        <f ca="1">D19</f>
        <v>149436.09</v>
      </c>
      <c r="E37" s="249">
        <f>'数据-取费表'!B35</f>
        <v>200</v>
      </c>
      <c r="F37" s="259"/>
      <c r="G37" s="261"/>
    </row>
    <row r="38" spans="1:7" ht="13.5" customHeight="1">
      <c r="A38" s="780" t="s">
        <v>354</v>
      </c>
      <c r="B38" s="215" t="s">
        <v>1532</v>
      </c>
      <c r="C38" s="220">
        <f ca="1">ROUND(C34*F38,0)</f>
        <v>11685480</v>
      </c>
      <c r="D38" s="220"/>
      <c r="E38" s="220"/>
      <c r="F38" s="259">
        <f>'数据-取费表'!B36</f>
        <v>1.4999999999999999E-2</v>
      </c>
      <c r="G38" s="219" t="s">
        <v>1527</v>
      </c>
    </row>
    <row r="39" spans="1:7" s="214" customFormat="1" ht="13.5" customHeight="1">
      <c r="A39" s="255" t="s">
        <v>1533</v>
      </c>
      <c r="B39" s="210" t="s">
        <v>1534</v>
      </c>
      <c r="C39" s="232">
        <f ca="1">ROUND(C33*F20,0)</f>
        <v>17035319</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54640168</v>
      </c>
      <c r="D41" s="235">
        <f ca="1">C44</f>
        <v>1.2999999999999999E-3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53568792</v>
      </c>
      <c r="D42" s="238"/>
      <c r="E42" s="238"/>
      <c r="F42" s="239"/>
      <c r="G42" s="3651" t="s">
        <v>1590</v>
      </c>
    </row>
    <row r="43" spans="1:7" ht="13.5" customHeight="1">
      <c r="A43" s="780" t="s">
        <v>347</v>
      </c>
      <c r="B43" s="215" t="s">
        <v>1544</v>
      </c>
      <c r="C43" s="238">
        <f ca="1">ROUND(IF('数据-取费表'!B22&lt;=1,C39*F22*'数据-取费表'!B20/2,C39*(POWER((1+F22),'数据-取费表'!B20/2)-1)),0)</f>
        <v>1071376</v>
      </c>
      <c r="D43" s="238"/>
      <c r="E43" s="238"/>
      <c r="F43" s="239"/>
      <c r="G43" s="3652"/>
    </row>
    <row r="44" spans="1:7" ht="13.5" customHeight="1">
      <c r="A44" s="780" t="s">
        <v>348</v>
      </c>
      <c r="B44" s="215" t="s">
        <v>1545</v>
      </c>
      <c r="C44" s="238">
        <f ca="1">ROUND(IF('数据-取费表'!B22&lt;=1,C40*F22*'数据-取费表'!B20/2,C40*(POWER((1+F22),'数据-取费表'!B20/2)-1)),4)</f>
        <v>1.2999999999999999E-3</v>
      </c>
      <c r="D44" s="238"/>
      <c r="E44" s="238"/>
      <c r="F44" s="239"/>
      <c r="G44" s="3653"/>
    </row>
    <row r="45" spans="1:7" s="214" customFormat="1" ht="13.5" customHeight="1">
      <c r="A45" s="255" t="s">
        <v>1546</v>
      </c>
      <c r="B45" s="244" t="s">
        <v>1512</v>
      </c>
      <c r="C45" s="245">
        <f ca="1">C46</f>
        <v>112944167</v>
      </c>
      <c r="D45" s="235">
        <f ca="1">C47</f>
        <v>2.5999999999999999E-3</v>
      </c>
      <c r="E45" s="236" t="s">
        <v>1538</v>
      </c>
      <c r="F45" s="246">
        <f ca="1">F27</f>
        <v>0.13</v>
      </c>
      <c r="G45" s="247" t="s">
        <v>1547</v>
      </c>
    </row>
    <row r="46" spans="1:7" s="214" customFormat="1" ht="13.5" customHeight="1">
      <c r="A46" s="780" t="s">
        <v>346</v>
      </c>
      <c r="B46" s="248" t="s">
        <v>1548</v>
      </c>
      <c r="C46" s="249">
        <f ca="1">ROUND((C33+C39)*F27,0)</f>
        <v>112944167</v>
      </c>
      <c r="D46" s="263"/>
      <c r="E46" s="236"/>
      <c r="F46" s="246"/>
      <c r="G46" s="247"/>
    </row>
    <row r="47" spans="1:7" s="214" customFormat="1" ht="13.5" customHeight="1">
      <c r="A47" s="780" t="s">
        <v>347</v>
      </c>
      <c r="B47" s="248" t="s">
        <v>1549</v>
      </c>
      <c r="C47" s="238">
        <f ca="1">ROUND(C40*F27,4)</f>
        <v>2.5999999999999999E-3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1121993745</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1121993745</v>
      </c>
      <c r="D51" s="232"/>
      <c r="E51" s="232"/>
      <c r="F51" s="264"/>
      <c r="G51" s="234" t="s">
        <v>1559</v>
      </c>
    </row>
    <row r="52" spans="1:7" s="208" customFormat="1" ht="16.8" thickBot="1">
      <c r="A52" s="265" t="s">
        <v>1560</v>
      </c>
      <c r="B52" s="266"/>
      <c r="C52" s="267">
        <f ca="1">C31+C51</f>
        <v>1205057760</v>
      </c>
      <c r="D52" s="266"/>
      <c r="E52" s="266"/>
      <c r="F52" s="266"/>
      <c r="G52" s="268"/>
    </row>
    <row r="55" spans="1:7" ht="15">
      <c r="B55" s="270" t="s">
        <v>1561</v>
      </c>
      <c r="C55" s="271"/>
    </row>
    <row r="56" spans="1:7">
      <c r="B56" s="273" t="s">
        <v>802</v>
      </c>
      <c r="C56" s="275">
        <f ca="1">1-C57</f>
        <v>6.899999999999995E-2</v>
      </c>
    </row>
    <row r="57" spans="1:7">
      <c r="B57" s="273" t="s">
        <v>803</v>
      </c>
      <c r="C57" s="274">
        <f ca="1">ROUND(C51/C52,3)</f>
        <v>0.93100000000000005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L62" sqref="L6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136456</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9131</v>
      </c>
      <c r="C3" s="203" t="s">
        <v>1868</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1768</v>
      </c>
      <c r="B4" s="356"/>
      <c r="C4" s="3658" t="s">
        <v>1769</v>
      </c>
      <c r="D4" s="3670"/>
      <c r="E4" s="3671" t="s">
        <v>1770</v>
      </c>
      <c r="F4" s="3672"/>
      <c r="G4" s="3658" t="s">
        <v>1771</v>
      </c>
      <c r="H4" s="3670"/>
      <c r="I4" s="3658" t="s">
        <v>1772</v>
      </c>
      <c r="J4" s="3670"/>
      <c r="K4" s="559" t="s">
        <v>1773</v>
      </c>
      <c r="L4" s="2713"/>
      <c r="M4" s="2714"/>
      <c r="N4" s="2714"/>
      <c r="O4" s="2714"/>
      <c r="P4" s="3673" t="s">
        <v>1774</v>
      </c>
      <c r="Q4" s="3674"/>
      <c r="R4" s="3679" t="s">
        <v>1770</v>
      </c>
      <c r="S4" s="3680"/>
      <c r="T4" s="3679" t="s">
        <v>1771</v>
      </c>
      <c r="U4" s="3680"/>
      <c r="V4" s="3666" t="s">
        <v>1772</v>
      </c>
      <c r="W4" s="3666"/>
      <c r="X4" s="1354"/>
      <c r="Y4" s="3679" t="s">
        <v>1774</v>
      </c>
      <c r="Z4" s="3680"/>
      <c r="AA4" s="3667" t="s">
        <v>1770</v>
      </c>
      <c r="AB4" s="3668" t="s">
        <v>1771</v>
      </c>
      <c r="AC4" s="3667" t="s">
        <v>1772</v>
      </c>
    </row>
    <row r="5" spans="1:30">
      <c r="A5" s="358"/>
      <c r="B5" s="359"/>
      <c r="C5" s="3687" t="s">
        <v>1672</v>
      </c>
      <c r="D5" s="3688"/>
      <c r="E5" s="3694" t="str">
        <f>土地案例!A2</f>
        <v>北京市大兴区瀛海镇集体经营性建设用地入市试点(一期) YZ00-0803-0012 地块</v>
      </c>
      <c r="F5" s="3695"/>
      <c r="G5" s="3687" t="str">
        <f>土地案例!A6</f>
        <v>北京市大兴区西红门镇集体经营性建设用地2号地D地块</v>
      </c>
      <c r="H5" s="3688"/>
      <c r="I5" s="3687" t="str">
        <f>土地案例!A7</f>
        <v>北京市大兴区黄村镇狼垡地区集体产业用地2号地DX00-1002-L06地块</v>
      </c>
      <c r="J5" s="3688"/>
      <c r="K5" s="559"/>
      <c r="L5" s="2713"/>
      <c r="M5" s="2714"/>
      <c r="N5" s="2714"/>
      <c r="O5" s="2714"/>
      <c r="P5" s="3675"/>
      <c r="Q5" s="3676"/>
      <c r="R5" s="3681"/>
      <c r="S5" s="3682"/>
      <c r="T5" s="3681"/>
      <c r="U5" s="3682"/>
      <c r="V5" s="3666"/>
      <c r="W5" s="3666"/>
      <c r="X5" s="1354"/>
      <c r="Y5" s="3681"/>
      <c r="Z5" s="3682"/>
      <c r="AA5" s="3668"/>
      <c r="AB5" s="3668"/>
      <c r="AC5" s="3668"/>
    </row>
    <row r="6" spans="1:30" ht="15" thickBot="1">
      <c r="A6" s="360"/>
      <c r="B6" s="361"/>
      <c r="C6" s="3685" t="s">
        <v>1676</v>
      </c>
      <c r="D6" s="3686"/>
      <c r="E6" s="3692" t="s">
        <v>1676</v>
      </c>
      <c r="F6" s="3693"/>
      <c r="G6" s="3685" t="s">
        <v>1676</v>
      </c>
      <c r="H6" s="3686"/>
      <c r="I6" s="3685" t="s">
        <v>1676</v>
      </c>
      <c r="J6" s="3686"/>
      <c r="K6" s="559" t="s">
        <v>1677</v>
      </c>
      <c r="L6" s="2713"/>
      <c r="M6" s="2714"/>
      <c r="N6" s="2714"/>
      <c r="O6" s="2714"/>
      <c r="P6" s="3677"/>
      <c r="Q6" s="3678"/>
      <c r="R6" s="3681"/>
      <c r="S6" s="3682"/>
      <c r="T6" s="3683"/>
      <c r="U6" s="3684"/>
      <c r="V6" s="3666"/>
      <c r="W6" s="3666"/>
      <c r="X6" s="1354"/>
      <c r="Y6" s="3683"/>
      <c r="Z6" s="3684"/>
      <c r="AA6" s="3669"/>
      <c r="AB6" s="3669"/>
      <c r="AC6" s="3669"/>
    </row>
    <row r="7" spans="1:30" s="108" customFormat="1" ht="15" thickBot="1">
      <c r="A7" s="362" t="s">
        <v>1678</v>
      </c>
      <c r="B7" s="363"/>
      <c r="C7" s="364">
        <f>'数据-取费表'!B2</f>
        <v>44917</v>
      </c>
      <c r="D7" s="365">
        <v>100</v>
      </c>
      <c r="E7" s="366" t="str">
        <f>土地案例!J2</f>
        <v>2021-12-20</v>
      </c>
      <c r="F7" s="367">
        <f>SUMIF(69:69,YEAR(E7)&amp;"-"&amp;INT((MONTH(E7)+2)/3),70:70)</f>
        <v>98.800000000000011</v>
      </c>
      <c r="G7" s="1973" t="str">
        <f>土地案例!J6</f>
        <v>2020-12-24</v>
      </c>
      <c r="H7" s="365">
        <f>SUMIF(69:69,YEAR(G7)&amp;"-"&amp;INT((MONTH(G7)+2)/3),70:70)</f>
        <v>97.600000000000023</v>
      </c>
      <c r="I7" s="1973" t="str">
        <f>土地案例!J7</f>
        <v>2020-12-22</v>
      </c>
      <c r="J7" s="365">
        <f>SUMIF(69:69,YEAR(I7)&amp;"-"&amp;INT((MONTH(I7)+2)/3),70:70)</f>
        <v>97.600000000000023</v>
      </c>
      <c r="K7" s="560"/>
      <c r="L7" s="2715"/>
      <c r="M7" s="2716"/>
      <c r="N7" s="2716"/>
      <c r="O7" s="2716"/>
      <c r="P7" s="3689" t="s">
        <v>1679</v>
      </c>
      <c r="Q7" s="3691"/>
      <c r="R7" s="701" t="s">
        <v>14</v>
      </c>
      <c r="S7" s="702">
        <f t="shared" ref="S7:S15" si="0">F7</f>
        <v>98.800000000000011</v>
      </c>
      <c r="T7" s="701" t="s">
        <v>14</v>
      </c>
      <c r="U7" s="702">
        <f t="shared" ref="U7:U15" si="1">H7</f>
        <v>97.600000000000023</v>
      </c>
      <c r="V7" s="701" t="s">
        <v>14</v>
      </c>
      <c r="W7" s="702">
        <f t="shared" ref="W7:W15" si="2">J7</f>
        <v>97.600000000000023</v>
      </c>
      <c r="X7" s="703"/>
      <c r="Y7" s="3689" t="s">
        <v>1679</v>
      </c>
      <c r="Z7" s="3690"/>
      <c r="AA7" s="704">
        <f>D7/F7</f>
        <v>1.012145748987854</v>
      </c>
      <c r="AB7" s="704">
        <f>D7/H7</f>
        <v>1.0245901639344259</v>
      </c>
      <c r="AC7" s="704">
        <f>D7/J7</f>
        <v>1.0245901639344259</v>
      </c>
    </row>
    <row r="8" spans="1:30" s="108" customFormat="1" ht="1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15"/>
      <c r="M8" s="2716"/>
      <c r="N8" s="2716"/>
      <c r="O8" s="2716"/>
      <c r="P8" s="3689" t="s">
        <v>1682</v>
      </c>
      <c r="Q8" s="3690"/>
      <c r="R8" s="701" t="s">
        <v>14</v>
      </c>
      <c r="S8" s="702">
        <f t="shared" si="0"/>
        <v>100</v>
      </c>
      <c r="T8" s="701" t="s">
        <v>14</v>
      </c>
      <c r="U8" s="702">
        <f t="shared" si="1"/>
        <v>100</v>
      </c>
      <c r="V8" s="701" t="s">
        <v>14</v>
      </c>
      <c r="W8" s="702">
        <f t="shared" si="2"/>
        <v>100</v>
      </c>
      <c r="X8" s="703"/>
      <c r="Y8" s="3689" t="s">
        <v>1682</v>
      </c>
      <c r="Z8" s="3690"/>
      <c r="AA8" s="704">
        <f t="shared" ref="AA8:AA45" si="3">D8/F8</f>
        <v>1</v>
      </c>
      <c r="AB8" s="704">
        <f t="shared" ref="AB8:AB45" si="4">D8/H8</f>
        <v>1</v>
      </c>
      <c r="AC8" s="704">
        <f t="shared" ref="AC8:AC45" si="5">D8/J8</f>
        <v>1</v>
      </c>
    </row>
    <row r="9" spans="1:30" s="108" customFormat="1" ht="27.6">
      <c r="A9" s="369" t="s">
        <v>1683</v>
      </c>
      <c r="B9" s="63" t="s">
        <v>1684</v>
      </c>
      <c r="C9" s="1976" t="s">
        <v>3467</v>
      </c>
      <c r="D9" s="126">
        <v>100</v>
      </c>
      <c r="E9" s="1976" t="s">
        <v>3469</v>
      </c>
      <c r="F9" s="126">
        <f>SUMIF(74:74,E9,75:75)-SUMIF(74:74,C9,75:75)+100</f>
        <v>100</v>
      </c>
      <c r="G9" s="1976" t="s">
        <v>3471</v>
      </c>
      <c r="H9" s="126">
        <f>SUMIF(74:74,G9,75:75)-SUMIF(74:74,C9,75:75)+100</f>
        <v>100</v>
      </c>
      <c r="I9" s="1976" t="s">
        <v>3469</v>
      </c>
      <c r="J9" s="126">
        <f>SUMIF(74:74,I9,75:75)-SUMIF(74:74,C9,75:75)+100</f>
        <v>100</v>
      </c>
      <c r="K9" s="560"/>
      <c r="L9" s="2715"/>
      <c r="M9" s="2716"/>
      <c r="N9" s="2716"/>
      <c r="O9" s="2770"/>
      <c r="P9" s="3661" t="s">
        <v>1685</v>
      </c>
      <c r="Q9" s="1342"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30" s="378" customFormat="1" ht="28.8">
      <c r="A10" s="374"/>
      <c r="B10" s="375" t="s">
        <v>1687</v>
      </c>
      <c r="C10" s="383">
        <f>项目基本情况!E15</f>
        <v>46.3</v>
      </c>
      <c r="D10" s="127">
        <v>100</v>
      </c>
      <c r="E10" s="416" t="s">
        <v>3473</v>
      </c>
      <c r="F10" s="127">
        <f>ROUND(100/'数据-取费表'!G16,0)</f>
        <v>103</v>
      </c>
      <c r="G10" s="414" t="s">
        <v>3474</v>
      </c>
      <c r="H10" s="3465">
        <v>97</v>
      </c>
      <c r="I10" s="414" t="s">
        <v>3473</v>
      </c>
      <c r="J10" s="127">
        <f>ROUND(100/'数据-取费表'!G16,0)</f>
        <v>103</v>
      </c>
      <c r="K10" s="620"/>
      <c r="L10" s="2717"/>
      <c r="M10" s="2718"/>
      <c r="N10" s="2718"/>
      <c r="O10" s="2771"/>
      <c r="P10" s="3661"/>
      <c r="Q10" s="1342" t="str">
        <f t="shared" si="6"/>
        <v>土地使用年限（年）</v>
      </c>
      <c r="R10" s="701" t="s">
        <v>14</v>
      </c>
      <c r="S10" s="702">
        <f t="shared" si="0"/>
        <v>103</v>
      </c>
      <c r="T10" s="701" t="s">
        <v>14</v>
      </c>
      <c r="U10" s="702">
        <f t="shared" si="1"/>
        <v>97</v>
      </c>
      <c r="V10" s="701" t="s">
        <v>14</v>
      </c>
      <c r="W10" s="702">
        <f t="shared" si="2"/>
        <v>103</v>
      </c>
      <c r="X10" s="703"/>
      <c r="Y10" s="3558"/>
      <c r="Z10" s="52" t="str">
        <f t="shared" si="7"/>
        <v>土地使用年限（年）</v>
      </c>
      <c r="AA10" s="704">
        <f t="shared" si="3"/>
        <v>0.970873786407767</v>
      </c>
      <c r="AB10" s="704">
        <f t="shared" si="4"/>
        <v>1.0309278350515463</v>
      </c>
      <c r="AC10" s="704">
        <f t="shared" si="5"/>
        <v>0.970873786407767</v>
      </c>
    </row>
    <row r="11" spans="1:30" ht="15">
      <c r="A11" s="379"/>
      <c r="B11" s="375" t="s">
        <v>1688</v>
      </c>
      <c r="C11" s="380">
        <f>'数据-汇总表'!I4</f>
        <v>2.39</v>
      </c>
      <c r="D11" s="127">
        <v>100</v>
      </c>
      <c r="E11" s="380">
        <v>1.5</v>
      </c>
      <c r="F11" s="127">
        <f>LOOKUP(E11,79:79,80:80)-LOOKUP(C11,79:79,80:80)+100</f>
        <v>102</v>
      </c>
      <c r="G11" s="381">
        <v>2.2000000000000002</v>
      </c>
      <c r="H11" s="127">
        <f>LOOKUP(G11,79:79,80:80)-LOOKUP(C11,79:79,80:80)+100</f>
        <v>100</v>
      </c>
      <c r="I11" s="380">
        <v>2.5</v>
      </c>
      <c r="J11" s="127">
        <f>LOOKUP(I11,79:79,80:80)-LOOKUP(C11,79:79,80:80)+100</f>
        <v>100</v>
      </c>
      <c r="K11" s="621">
        <v>2</v>
      </c>
      <c r="L11" s="2719"/>
      <c r="M11" s="2714"/>
      <c r="N11" s="2714"/>
      <c r="O11" s="2772"/>
      <c r="P11" s="3661"/>
      <c r="Q11" s="1342" t="str">
        <f t="shared" si="6"/>
        <v>容积率</v>
      </c>
      <c r="R11" s="701" t="s">
        <v>14</v>
      </c>
      <c r="S11" s="702">
        <f t="shared" si="0"/>
        <v>102</v>
      </c>
      <c r="T11" s="701" t="s">
        <v>14</v>
      </c>
      <c r="U11" s="702">
        <f t="shared" si="1"/>
        <v>100</v>
      </c>
      <c r="V11" s="701" t="s">
        <v>14</v>
      </c>
      <c r="W11" s="702">
        <f t="shared" si="2"/>
        <v>100</v>
      </c>
      <c r="X11" s="703"/>
      <c r="Y11" s="3558"/>
      <c r="Z11" s="52" t="str">
        <f t="shared" si="7"/>
        <v>容积率</v>
      </c>
      <c r="AA11" s="704">
        <f t="shared" si="3"/>
        <v>0.98039215686274506</v>
      </c>
      <c r="AB11" s="704">
        <f t="shared" si="4"/>
        <v>1</v>
      </c>
      <c r="AC11" s="704">
        <f t="shared" si="5"/>
        <v>1</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1"/>
      <c r="Q12" s="1342"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1"/>
      <c r="Q13" s="1342">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1"/>
      <c r="Q14" s="1342">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6.6" hidden="1">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2" t="s">
        <v>1690</v>
      </c>
      <c r="Q15" s="1351" t="str">
        <f t="shared" si="6"/>
        <v>居住社区成熟度</v>
      </c>
      <c r="R15" s="705" t="s">
        <v>14</v>
      </c>
      <c r="S15" s="706">
        <f t="shared" si="0"/>
        <v>100</v>
      </c>
      <c r="T15" s="705" t="s">
        <v>14</v>
      </c>
      <c r="U15" s="706">
        <f t="shared" si="1"/>
        <v>100</v>
      </c>
      <c r="V15" s="705" t="s">
        <v>14</v>
      </c>
      <c r="W15" s="706">
        <f t="shared" si="2"/>
        <v>100</v>
      </c>
      <c r="X15" s="1354"/>
      <c r="Y15" s="3662" t="s">
        <v>1690</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0"/>
      <c r="M16" s="2714"/>
      <c r="N16" s="2714"/>
      <c r="O16" s="2772"/>
      <c r="P16" s="3663"/>
      <c r="Q16" s="1351"/>
      <c r="R16" s="705"/>
      <c r="S16" s="706"/>
      <c r="T16" s="705"/>
      <c r="U16" s="706"/>
      <c r="V16" s="705"/>
      <c r="W16" s="706"/>
      <c r="X16" s="1354"/>
      <c r="Y16" s="3663"/>
      <c r="Z16" s="1355"/>
      <c r="AA16" s="1352">
        <v>1</v>
      </c>
      <c r="AB16" s="1352">
        <v>1</v>
      </c>
      <c r="AC16" s="1352">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103</v>
      </c>
      <c r="I17" s="405"/>
      <c r="J17" s="406">
        <f>SUMIF(89:89,I18,90:90)-SUMIF(89:89,C18,90:90)+100</f>
        <v>100</v>
      </c>
      <c r="K17" s="621">
        <v>3</v>
      </c>
      <c r="L17" s="2720"/>
      <c r="M17" s="2714"/>
      <c r="N17" s="2714"/>
      <c r="O17" s="2772"/>
      <c r="P17" s="3663"/>
      <c r="Q17" s="1351" t="str">
        <f>B17</f>
        <v>商业繁华度</v>
      </c>
      <c r="R17" s="705" t="s">
        <v>14</v>
      </c>
      <c r="S17" s="706">
        <f>F17</f>
        <v>100</v>
      </c>
      <c r="T17" s="705" t="s">
        <v>14</v>
      </c>
      <c r="U17" s="706">
        <f>H17</f>
        <v>103</v>
      </c>
      <c r="V17" s="705" t="s">
        <v>14</v>
      </c>
      <c r="W17" s="706">
        <f>J17</f>
        <v>100</v>
      </c>
      <c r="X17" s="1354"/>
      <c r="Y17" s="3663"/>
      <c r="Z17" s="1355" t="str">
        <f>Q17</f>
        <v>商业繁华度</v>
      </c>
      <c r="AA17" s="1352">
        <f t="shared" si="3"/>
        <v>1</v>
      </c>
      <c r="AB17" s="1352">
        <f t="shared" si="4"/>
        <v>0.970873786407767</v>
      </c>
      <c r="AC17" s="1352">
        <f t="shared" si="5"/>
        <v>1</v>
      </c>
    </row>
    <row r="18" spans="1:29" ht="15">
      <c r="A18" s="379"/>
      <c r="B18" s="407"/>
      <c r="C18" s="1900" t="s">
        <v>3475</v>
      </c>
      <c r="D18" s="401"/>
      <c r="E18" s="1900" t="s">
        <v>3475</v>
      </c>
      <c r="F18" s="401"/>
      <c r="G18" s="1900" t="s">
        <v>3476</v>
      </c>
      <c r="H18" s="399"/>
      <c r="I18" s="1900" t="s">
        <v>3475</v>
      </c>
      <c r="J18" s="399"/>
      <c r="K18" s="620"/>
      <c r="L18" s="2720"/>
      <c r="M18" s="2714"/>
      <c r="N18" s="2714"/>
      <c r="O18" s="2772"/>
      <c r="P18" s="3663"/>
      <c r="Q18" s="1351"/>
      <c r="R18" s="705"/>
      <c r="S18" s="706"/>
      <c r="T18" s="705"/>
      <c r="U18" s="706"/>
      <c r="V18" s="705"/>
      <c r="W18" s="706"/>
      <c r="X18" s="1354"/>
      <c r="Y18" s="3663"/>
      <c r="Z18" s="1355"/>
      <c r="AA18" s="1352">
        <v>1</v>
      </c>
      <c r="AB18" s="1352">
        <v>1</v>
      </c>
      <c r="AC18" s="1352">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103</v>
      </c>
      <c r="I19" s="410"/>
      <c r="J19" s="401">
        <f>SUMIF(91:91,I20,92:92)-SUMIF(91:91,C20,92:92)+100</f>
        <v>100</v>
      </c>
      <c r="K19" s="621">
        <v>3</v>
      </c>
      <c r="L19" s="2720"/>
      <c r="M19" s="2714"/>
      <c r="N19" s="2714"/>
      <c r="O19" s="2772"/>
      <c r="P19" s="3663"/>
      <c r="Q19" s="1351" t="str">
        <f>B19</f>
        <v>办公集聚程度</v>
      </c>
      <c r="R19" s="705" t="s">
        <v>14</v>
      </c>
      <c r="S19" s="706">
        <f>F19</f>
        <v>100</v>
      </c>
      <c r="T19" s="705" t="s">
        <v>14</v>
      </c>
      <c r="U19" s="706">
        <f>H19</f>
        <v>103</v>
      </c>
      <c r="V19" s="705" t="s">
        <v>14</v>
      </c>
      <c r="W19" s="706">
        <f>J19</f>
        <v>100</v>
      </c>
      <c r="X19" s="1354"/>
      <c r="Y19" s="3663"/>
      <c r="Z19" s="1355" t="str">
        <f>Q19</f>
        <v>办公集聚程度</v>
      </c>
      <c r="AA19" s="1352">
        <f t="shared" si="3"/>
        <v>1</v>
      </c>
      <c r="AB19" s="1352">
        <f t="shared" si="4"/>
        <v>0.970873786407767</v>
      </c>
      <c r="AC19" s="1352">
        <f t="shared" si="5"/>
        <v>1</v>
      </c>
    </row>
    <row r="20" spans="1:29" ht="15">
      <c r="A20" s="379"/>
      <c r="B20" s="407"/>
      <c r="C20" s="398" t="s">
        <v>3475</v>
      </c>
      <c r="D20" s="399"/>
      <c r="E20" s="398" t="s">
        <v>3475</v>
      </c>
      <c r="F20" s="399"/>
      <c r="G20" s="398" t="s">
        <v>3476</v>
      </c>
      <c r="H20" s="399"/>
      <c r="I20" s="398" t="s">
        <v>3475</v>
      </c>
      <c r="J20" s="399"/>
      <c r="K20" s="620"/>
      <c r="L20" s="2720"/>
      <c r="M20" s="2714"/>
      <c r="N20" s="2714"/>
      <c r="O20" s="2772"/>
      <c r="P20" s="3663"/>
      <c r="Q20" s="1351"/>
      <c r="R20" s="705"/>
      <c r="S20" s="706"/>
      <c r="T20" s="705"/>
      <c r="U20" s="706"/>
      <c r="V20" s="705"/>
      <c r="W20" s="706"/>
      <c r="X20" s="1354"/>
      <c r="Y20" s="3663"/>
      <c r="Z20" s="1355"/>
      <c r="AA20" s="1352">
        <v>1</v>
      </c>
      <c r="AB20" s="1352">
        <v>1</v>
      </c>
      <c r="AC20" s="1352">
        <v>1</v>
      </c>
    </row>
    <row r="21" spans="1:29" ht="96.6">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100</v>
      </c>
      <c r="K21" s="621">
        <v>3</v>
      </c>
      <c r="L21" s="2720"/>
      <c r="M21" s="2714"/>
      <c r="N21" s="2714"/>
      <c r="O21" s="2772"/>
      <c r="P21" s="3663"/>
      <c r="Q21" s="1351" t="str">
        <f>B21</f>
        <v>交通便捷度</v>
      </c>
      <c r="R21" s="705" t="s">
        <v>14</v>
      </c>
      <c r="S21" s="706">
        <f>F21</f>
        <v>100</v>
      </c>
      <c r="T21" s="705" t="s">
        <v>14</v>
      </c>
      <c r="U21" s="706">
        <f>H21</f>
        <v>103</v>
      </c>
      <c r="V21" s="705" t="s">
        <v>14</v>
      </c>
      <c r="W21" s="706">
        <f>J21</f>
        <v>100</v>
      </c>
      <c r="X21" s="1354"/>
      <c r="Y21" s="3663"/>
      <c r="Z21" s="1355" t="str">
        <f>Q21</f>
        <v>交通便捷度</v>
      </c>
      <c r="AA21" s="1352">
        <f t="shared" si="3"/>
        <v>1</v>
      </c>
      <c r="AB21" s="1352">
        <f t="shared" si="4"/>
        <v>0.970873786407767</v>
      </c>
      <c r="AC21" s="1352">
        <f t="shared" si="5"/>
        <v>1</v>
      </c>
    </row>
    <row r="22" spans="1:29" ht="15">
      <c r="A22" s="379"/>
      <c r="B22" s="1131"/>
      <c r="C22" s="398" t="s">
        <v>3475</v>
      </c>
      <c r="D22" s="401"/>
      <c r="E22" s="398" t="s">
        <v>3475</v>
      </c>
      <c r="F22" s="399"/>
      <c r="G22" s="398" t="s">
        <v>3476</v>
      </c>
      <c r="H22" s="399"/>
      <c r="I22" s="398" t="s">
        <v>3475</v>
      </c>
      <c r="J22" s="399"/>
      <c r="K22" s="620"/>
      <c r="L22" s="2720"/>
      <c r="M22" s="2714"/>
      <c r="N22" s="2714"/>
      <c r="O22" s="2772"/>
      <c r="P22" s="3663"/>
      <c r="Q22" s="1351"/>
      <c r="R22" s="705"/>
      <c r="S22" s="706"/>
      <c r="T22" s="705"/>
      <c r="U22" s="706"/>
      <c r="V22" s="705"/>
      <c r="W22" s="706"/>
      <c r="X22" s="1354"/>
      <c r="Y22" s="3663"/>
      <c r="Z22" s="1355"/>
      <c r="AA22" s="1352">
        <v>1</v>
      </c>
      <c r="AB22" s="1352">
        <v>1</v>
      </c>
      <c r="AC22" s="1352">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0"/>
      <c r="M23" s="2714"/>
      <c r="N23" s="2714"/>
      <c r="O23" s="2772"/>
      <c r="P23" s="3663"/>
      <c r="Q23" s="1351" t="str">
        <f t="shared" ref="Q23:Q37" si="8">B23</f>
        <v>区域土地利用方向</v>
      </c>
      <c r="R23" s="705" t="s">
        <v>14</v>
      </c>
      <c r="S23" s="706">
        <f>F23</f>
        <v>100</v>
      </c>
      <c r="T23" s="705" t="s">
        <v>14</v>
      </c>
      <c r="U23" s="706">
        <f>H23</f>
        <v>100</v>
      </c>
      <c r="V23" s="705" t="s">
        <v>14</v>
      </c>
      <c r="W23" s="706">
        <f>J23</f>
        <v>100</v>
      </c>
      <c r="X23" s="1354"/>
      <c r="Y23" s="3663"/>
      <c r="Z23" s="1355" t="str">
        <f>Q23</f>
        <v>区域土地利用方向</v>
      </c>
      <c r="AA23" s="1352">
        <f t="shared" si="3"/>
        <v>1</v>
      </c>
      <c r="AB23" s="1352">
        <f t="shared" si="4"/>
        <v>1</v>
      </c>
      <c r="AC23" s="1352">
        <f t="shared" si="5"/>
        <v>1</v>
      </c>
    </row>
    <row r="24" spans="1:29" ht="15">
      <c r="A24" s="358"/>
      <c r="B24" s="407"/>
      <c r="C24" s="565" t="s">
        <v>3476</v>
      </c>
      <c r="D24" s="399"/>
      <c r="E24" s="565" t="s">
        <v>3476</v>
      </c>
      <c r="F24" s="399"/>
      <c r="G24" s="565" t="s">
        <v>3476</v>
      </c>
      <c r="H24" s="399"/>
      <c r="I24" s="565" t="s">
        <v>3476</v>
      </c>
      <c r="J24" s="399"/>
      <c r="K24" s="740"/>
      <c r="L24" s="2720"/>
      <c r="M24" s="2714"/>
      <c r="N24" s="2714"/>
      <c r="O24" s="2772"/>
      <c r="P24" s="3663"/>
      <c r="Q24" s="1351"/>
      <c r="R24" s="705"/>
      <c r="S24" s="706"/>
      <c r="T24" s="705"/>
      <c r="U24" s="706"/>
      <c r="V24" s="705"/>
      <c r="W24" s="706"/>
      <c r="X24" s="1354"/>
      <c r="Y24" s="3663"/>
      <c r="Z24" s="1355"/>
      <c r="AA24" s="1352"/>
      <c r="AB24" s="1352"/>
      <c r="AC24" s="1352"/>
    </row>
    <row r="25" spans="1:29" ht="55.2">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20"/>
      <c r="M25" s="2714"/>
      <c r="N25" s="2714"/>
      <c r="O25" s="2772"/>
      <c r="P25" s="3663"/>
      <c r="Q25" s="1351" t="str">
        <f t="shared" si="8"/>
        <v>自然及人文环境状况</v>
      </c>
      <c r="R25" s="705" t="s">
        <v>14</v>
      </c>
      <c r="S25" s="706">
        <f>F25</f>
        <v>100</v>
      </c>
      <c r="T25" s="705" t="s">
        <v>14</v>
      </c>
      <c r="U25" s="706">
        <f>H25</f>
        <v>100</v>
      </c>
      <c r="V25" s="705" t="s">
        <v>14</v>
      </c>
      <c r="W25" s="706">
        <f>J25</f>
        <v>100</v>
      </c>
      <c r="X25" s="1354"/>
      <c r="Y25" s="3663"/>
      <c r="Z25" s="1355" t="str">
        <f>Q25</f>
        <v>自然及人文环境状况</v>
      </c>
      <c r="AA25" s="1352">
        <f t="shared" si="3"/>
        <v>1</v>
      </c>
      <c r="AB25" s="1352">
        <f t="shared" si="4"/>
        <v>1</v>
      </c>
      <c r="AC25" s="1352">
        <f t="shared" si="5"/>
        <v>1</v>
      </c>
    </row>
    <row r="26" spans="1:29" ht="15">
      <c r="A26" s="358"/>
      <c r="B26" s="407"/>
      <c r="C26" s="398" t="s">
        <v>3475</v>
      </c>
      <c r="D26" s="399"/>
      <c r="E26" s="398" t="s">
        <v>3475</v>
      </c>
      <c r="F26" s="399"/>
      <c r="G26" s="398" t="s">
        <v>3475</v>
      </c>
      <c r="H26" s="399"/>
      <c r="I26" s="398" t="s">
        <v>3475</v>
      </c>
      <c r="J26" s="399"/>
      <c r="K26" s="620"/>
      <c r="L26" s="2720"/>
      <c r="M26" s="2714"/>
      <c r="N26" s="2714"/>
      <c r="O26" s="2772"/>
      <c r="P26" s="3663"/>
      <c r="Q26" s="1351"/>
      <c r="R26" s="705"/>
      <c r="S26" s="706"/>
      <c r="T26" s="705"/>
      <c r="U26" s="706"/>
      <c r="V26" s="705"/>
      <c r="W26" s="706"/>
      <c r="X26" s="1354"/>
      <c r="Y26" s="3663"/>
      <c r="Z26" s="1355"/>
      <c r="AA26" s="1352">
        <v>1</v>
      </c>
      <c r="AB26" s="1352">
        <v>1</v>
      </c>
      <c r="AC26" s="1352">
        <v>1</v>
      </c>
    </row>
    <row r="27" spans="1:29" s="108" customFormat="1" ht="41.4">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100</v>
      </c>
      <c r="K27" s="621">
        <v>3</v>
      </c>
      <c r="L27" s="2715"/>
      <c r="M27" s="2716"/>
      <c r="N27" s="2716"/>
      <c r="O27" s="2770"/>
      <c r="P27" s="3663"/>
      <c r="Q27" s="1342" t="str">
        <f t="shared" si="8"/>
        <v>公共配套设施</v>
      </c>
      <c r="R27" s="701" t="s">
        <v>14</v>
      </c>
      <c r="S27" s="702">
        <f>F27</f>
        <v>100</v>
      </c>
      <c r="T27" s="701" t="s">
        <v>14</v>
      </c>
      <c r="U27" s="702">
        <f>H27</f>
        <v>103</v>
      </c>
      <c r="V27" s="701" t="s">
        <v>14</v>
      </c>
      <c r="W27" s="702">
        <f>J27</f>
        <v>100</v>
      </c>
      <c r="X27" s="703"/>
      <c r="Y27" s="3663"/>
      <c r="Z27" s="52" t="str">
        <f>Q27</f>
        <v>公共配套设施</v>
      </c>
      <c r="AA27" s="1352">
        <f>D27/F27</f>
        <v>1</v>
      </c>
      <c r="AB27" s="1352">
        <f>D27/H27</f>
        <v>0.970873786407767</v>
      </c>
      <c r="AC27" s="1352">
        <f>D27/J27</f>
        <v>1</v>
      </c>
    </row>
    <row r="28" spans="1:29" s="108" customFormat="1" ht="15">
      <c r="A28" s="597"/>
      <c r="B28" s="407"/>
      <c r="C28" s="1977" t="s">
        <v>3475</v>
      </c>
      <c r="D28" s="399"/>
      <c r="E28" s="1977" t="s">
        <v>3475</v>
      </c>
      <c r="F28" s="399"/>
      <c r="G28" s="1977" t="s">
        <v>3476</v>
      </c>
      <c r="H28" s="399"/>
      <c r="I28" s="1977" t="s">
        <v>3475</v>
      </c>
      <c r="J28" s="399"/>
      <c r="K28" s="620"/>
      <c r="L28" s="2715"/>
      <c r="M28" s="2716"/>
      <c r="N28" s="2716"/>
      <c r="O28" s="2770"/>
      <c r="P28" s="3663"/>
      <c r="Q28" s="1342"/>
      <c r="R28" s="701"/>
      <c r="S28" s="702"/>
      <c r="T28" s="701"/>
      <c r="U28" s="702"/>
      <c r="V28" s="701"/>
      <c r="W28" s="702"/>
      <c r="X28" s="703"/>
      <c r="Y28" s="3663"/>
      <c r="Z28" s="52"/>
      <c r="AA28" s="1352">
        <v>1</v>
      </c>
      <c r="AB28" s="1352">
        <v>1</v>
      </c>
      <c r="AC28" s="1352">
        <v>1</v>
      </c>
    </row>
    <row r="29" spans="1:29" s="108" customFormat="1" ht="41.4">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5"/>
      <c r="M29" s="2716"/>
      <c r="N29" s="2716"/>
      <c r="O29" s="2770"/>
      <c r="P29" s="3663"/>
      <c r="Q29" s="1342" t="str">
        <f t="shared" ref="Q29" si="9">B29</f>
        <v>基础设施水平</v>
      </c>
      <c r="R29" s="701" t="s">
        <v>14</v>
      </c>
      <c r="S29" s="702">
        <f>F29</f>
        <v>100</v>
      </c>
      <c r="T29" s="701" t="s">
        <v>14</v>
      </c>
      <c r="U29" s="702">
        <f>H29</f>
        <v>100</v>
      </c>
      <c r="V29" s="701" t="s">
        <v>14</v>
      </c>
      <c r="W29" s="702">
        <f>J29</f>
        <v>100</v>
      </c>
      <c r="X29" s="703"/>
      <c r="Y29" s="3663"/>
      <c r="Z29" s="52" t="str">
        <f>Q29</f>
        <v>基础设施水平</v>
      </c>
      <c r="AA29" s="1352">
        <f>D29/F29</f>
        <v>1</v>
      </c>
      <c r="AB29" s="1352">
        <f>D29/H29</f>
        <v>1</v>
      </c>
      <c r="AC29" s="1352">
        <f>D29/J29</f>
        <v>1</v>
      </c>
    </row>
    <row r="30" spans="1:29" s="108" customFormat="1" ht="15.6" thickBot="1">
      <c r="A30" s="597"/>
      <c r="B30" s="407"/>
      <c r="C30" s="1977" t="s">
        <v>3477</v>
      </c>
      <c r="D30" s="399"/>
      <c r="E30" s="1977" t="s">
        <v>3477</v>
      </c>
      <c r="F30" s="399"/>
      <c r="G30" s="1977" t="s">
        <v>3477</v>
      </c>
      <c r="H30" s="399"/>
      <c r="I30" s="1977" t="s">
        <v>3477</v>
      </c>
      <c r="J30" s="399"/>
      <c r="K30" s="620"/>
      <c r="L30" s="2715"/>
      <c r="M30" s="2716"/>
      <c r="N30" s="2716"/>
      <c r="O30" s="2770"/>
      <c r="P30" s="3663"/>
      <c r="Q30" s="1342"/>
      <c r="R30" s="701"/>
      <c r="S30" s="702"/>
      <c r="T30" s="701"/>
      <c r="U30" s="702"/>
      <c r="V30" s="701"/>
      <c r="W30" s="702"/>
      <c r="X30" s="703"/>
      <c r="Y30" s="3663"/>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3"/>
      <c r="Z31" s="1355" t="str">
        <f t="shared" ref="Z31:Z45" si="13">Q31</f>
        <v>临街状况</v>
      </c>
      <c r="AA31" s="1352">
        <f t="shared" si="3"/>
        <v>1</v>
      </c>
      <c r="AB31" s="1352">
        <f t="shared" si="4"/>
        <v>1</v>
      </c>
      <c r="AC31" s="1352">
        <f t="shared" si="5"/>
        <v>1</v>
      </c>
    </row>
    <row r="32" spans="1:29" ht="28.8"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3"/>
      <c r="Q32" s="1351" t="str">
        <f t="shared" si="8"/>
        <v>毗邻道路的类型与等级</v>
      </c>
      <c r="R32" s="705" t="s">
        <v>14</v>
      </c>
      <c r="S32" s="706">
        <f t="shared" si="10"/>
        <v>100</v>
      </c>
      <c r="T32" s="705" t="s">
        <v>14</v>
      </c>
      <c r="U32" s="706">
        <f t="shared" si="11"/>
        <v>100</v>
      </c>
      <c r="V32" s="705" t="s">
        <v>14</v>
      </c>
      <c r="W32" s="706">
        <f t="shared" si="12"/>
        <v>100</v>
      </c>
      <c r="X32" s="1354"/>
      <c r="Y32" s="3663"/>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20"/>
      <c r="M33" s="2714"/>
      <c r="N33" s="2714"/>
      <c r="O33" s="2772"/>
      <c r="P33" s="3663"/>
      <c r="Q33" s="1351"/>
      <c r="R33" s="705"/>
      <c r="S33" s="706"/>
      <c r="T33" s="705"/>
      <c r="U33" s="706"/>
      <c r="V33" s="705"/>
      <c r="W33" s="706"/>
      <c r="X33" s="1354"/>
      <c r="Y33" s="3663"/>
      <c r="Z33" s="1355"/>
      <c r="AA33" s="1352">
        <v>1</v>
      </c>
      <c r="AB33" s="1352">
        <v>1</v>
      </c>
      <c r="AC33" s="1352">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3"/>
      <c r="Q34" s="1351" t="str">
        <f t="shared" si="8"/>
        <v>土地级别</v>
      </c>
      <c r="R34" s="705" t="s">
        <v>14</v>
      </c>
      <c r="S34" s="706">
        <f t="shared" si="10"/>
        <v>100</v>
      </c>
      <c r="T34" s="705" t="s">
        <v>14</v>
      </c>
      <c r="U34" s="706">
        <f t="shared" si="11"/>
        <v>100</v>
      </c>
      <c r="V34" s="705" t="s">
        <v>14</v>
      </c>
      <c r="W34" s="706">
        <f t="shared" si="12"/>
        <v>100</v>
      </c>
      <c r="X34" s="1354"/>
      <c r="Y34" s="3663"/>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3"/>
      <c r="Q35" s="1351">
        <f t="shared" si="8"/>
        <v>111</v>
      </c>
      <c r="R35" s="705" t="s">
        <v>14</v>
      </c>
      <c r="S35" s="706">
        <f t="shared" si="10"/>
        <v>100</v>
      </c>
      <c r="T35" s="705" t="s">
        <v>14</v>
      </c>
      <c r="U35" s="706">
        <f t="shared" si="11"/>
        <v>100</v>
      </c>
      <c r="V35" s="705" t="s">
        <v>14</v>
      </c>
      <c r="W35" s="706">
        <f t="shared" si="12"/>
        <v>100</v>
      </c>
      <c r="X35" s="1354"/>
      <c r="Y35" s="3663"/>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64" t="s">
        <v>1695</v>
      </c>
      <c r="Q36" s="1351">
        <f t="shared" si="8"/>
        <v>111</v>
      </c>
      <c r="R36" s="705" t="s">
        <v>14</v>
      </c>
      <c r="S36" s="706">
        <f t="shared" si="10"/>
        <v>100</v>
      </c>
      <c r="T36" s="705" t="s">
        <v>14</v>
      </c>
      <c r="U36" s="706">
        <f t="shared" si="11"/>
        <v>100</v>
      </c>
      <c r="V36" s="705" t="s">
        <v>14</v>
      </c>
      <c r="W36" s="706">
        <f t="shared" si="12"/>
        <v>100</v>
      </c>
      <c r="X36" s="1354"/>
      <c r="Y36" s="3665" t="s">
        <v>1695</v>
      </c>
      <c r="Z36" s="1355">
        <f t="shared" si="13"/>
        <v>111</v>
      </c>
      <c r="AA36" s="1352">
        <f t="shared" si="3"/>
        <v>1</v>
      </c>
      <c r="AB36" s="1352">
        <f t="shared" si="4"/>
        <v>1</v>
      </c>
      <c r="AC36" s="1352">
        <f t="shared" si="5"/>
        <v>1</v>
      </c>
    </row>
    <row r="37" spans="1:29" s="422" customFormat="1" ht="15.6"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5"/>
      <c r="Q37" s="1351">
        <f t="shared" si="8"/>
        <v>111</v>
      </c>
      <c r="R37" s="708" t="s">
        <v>14</v>
      </c>
      <c r="S37" s="709">
        <f t="shared" si="10"/>
        <v>100</v>
      </c>
      <c r="T37" s="708" t="s">
        <v>14</v>
      </c>
      <c r="U37" s="709">
        <f t="shared" si="11"/>
        <v>100</v>
      </c>
      <c r="V37" s="708" t="s">
        <v>14</v>
      </c>
      <c r="W37" s="709">
        <f t="shared" si="12"/>
        <v>100</v>
      </c>
      <c r="X37" s="710"/>
      <c r="Y37" s="3665"/>
      <c r="Z37" s="711">
        <f t="shared" si="13"/>
        <v>111</v>
      </c>
      <c r="AA37" s="1352">
        <f t="shared" si="3"/>
        <v>1</v>
      </c>
      <c r="AB37" s="1352">
        <f t="shared" si="4"/>
        <v>1</v>
      </c>
      <c r="AC37" s="1352">
        <f t="shared" si="5"/>
        <v>1</v>
      </c>
    </row>
    <row r="38" spans="1:29" ht="15.6">
      <c r="A38" s="423" t="s">
        <v>1693</v>
      </c>
      <c r="B38" s="407" t="s">
        <v>1873</v>
      </c>
      <c r="C38" s="627">
        <f>'数据-基础表'!A3</f>
        <v>39972.519999999997</v>
      </c>
      <c r="D38" s="418">
        <v>100</v>
      </c>
      <c r="E38" s="627">
        <f>土地案例!I2</f>
        <v>40082.199999999997</v>
      </c>
      <c r="F38" s="418">
        <f>LOOKUP(E38,116:116,117:117)-LOOKUP(C38,116:116,117:117)+100</f>
        <v>100</v>
      </c>
      <c r="G38" s="627">
        <f>土地案例!I6</f>
        <v>72673.490000000005</v>
      </c>
      <c r="H38" s="418">
        <f>LOOKUP(G38,116:116,117:117)-LOOKUP(C38,116:116,117:117)+100</f>
        <v>102</v>
      </c>
      <c r="I38" s="479">
        <f>土地案例!I7</f>
        <v>43870.1</v>
      </c>
      <c r="J38" s="418">
        <f>LOOKUP(I38,116:116,117:117)-LOOKUP(C38,116:116,117:117)+100</f>
        <v>100</v>
      </c>
      <c r="K38" s="562"/>
      <c r="L38" s="2720"/>
      <c r="M38" s="2714"/>
      <c r="N38" s="2714"/>
      <c r="O38" s="2772"/>
      <c r="P38" s="3665"/>
      <c r="Q38" s="1351" t="str">
        <f>B38</f>
        <v>宗地面积</v>
      </c>
      <c r="R38" s="705" t="s">
        <v>14</v>
      </c>
      <c r="S38" s="706">
        <f t="shared" si="10"/>
        <v>100</v>
      </c>
      <c r="T38" s="705" t="s">
        <v>14</v>
      </c>
      <c r="U38" s="706">
        <f t="shared" si="11"/>
        <v>102</v>
      </c>
      <c r="V38" s="705" t="s">
        <v>14</v>
      </c>
      <c r="W38" s="706">
        <f t="shared" si="12"/>
        <v>100</v>
      </c>
      <c r="X38" s="1354"/>
      <c r="Y38" s="3665"/>
      <c r="Z38" s="1355" t="str">
        <f t="shared" si="13"/>
        <v>宗地面积</v>
      </c>
      <c r="AA38" s="1352">
        <f t="shared" si="3"/>
        <v>1</v>
      </c>
      <c r="AB38" s="1352">
        <f t="shared" si="4"/>
        <v>0.98039215686274506</v>
      </c>
      <c r="AC38" s="1352">
        <f t="shared" si="5"/>
        <v>1</v>
      </c>
    </row>
    <row r="39" spans="1:29" ht="15">
      <c r="A39" s="423"/>
      <c r="B39" s="375" t="s">
        <v>1874</v>
      </c>
      <c r="C39" s="1905" t="s">
        <v>3478</v>
      </c>
      <c r="D39" s="386">
        <v>100</v>
      </c>
      <c r="E39" s="1905" t="s">
        <v>3478</v>
      </c>
      <c r="F39" s="386">
        <f>SUMIF(118:118,E39,119:119)-SUMIF(118:118,C39,119:119)+100</f>
        <v>100</v>
      </c>
      <c r="G39" s="1905" t="s">
        <v>3478</v>
      </c>
      <c r="H39" s="386">
        <f>SUMIF(118:118,G39,119:119)-SUMIF(118:118,C39,119:119)+100</f>
        <v>100</v>
      </c>
      <c r="I39" s="1905" t="s">
        <v>3478</v>
      </c>
      <c r="J39" s="386">
        <f>SUMIF(118:118,I39,119:119)-SUMIF(118:118,C39,119:119)+100</f>
        <v>100</v>
      </c>
      <c r="K39" s="561">
        <v>1</v>
      </c>
      <c r="L39" s="2720"/>
      <c r="M39" s="2714"/>
      <c r="N39" s="2714"/>
      <c r="O39" s="2772"/>
      <c r="P39" s="3665"/>
      <c r="Q39" s="1351" t="str">
        <f t="shared" ref="Q39:Q45" si="14">B39</f>
        <v>宗地形状</v>
      </c>
      <c r="R39" s="705" t="s">
        <v>14</v>
      </c>
      <c r="S39" s="706">
        <f t="shared" si="10"/>
        <v>100</v>
      </c>
      <c r="T39" s="705" t="s">
        <v>14</v>
      </c>
      <c r="U39" s="706">
        <f t="shared" si="11"/>
        <v>100</v>
      </c>
      <c r="V39" s="705" t="s">
        <v>14</v>
      </c>
      <c r="W39" s="706">
        <f t="shared" si="12"/>
        <v>100</v>
      </c>
      <c r="X39" s="1354"/>
      <c r="Y39" s="3665"/>
      <c r="Z39" s="1355" t="str">
        <f t="shared" si="13"/>
        <v>宗地形状</v>
      </c>
      <c r="AA39" s="1352">
        <f t="shared" si="3"/>
        <v>1</v>
      </c>
      <c r="AB39" s="1352">
        <f t="shared" si="4"/>
        <v>1</v>
      </c>
      <c r="AC39" s="1352">
        <f t="shared" si="5"/>
        <v>1</v>
      </c>
    </row>
    <row r="40" spans="1:29" ht="15">
      <c r="A40" s="423"/>
      <c r="B40" s="375" t="s">
        <v>1875</v>
      </c>
      <c r="C40" s="1905" t="s">
        <v>3480</v>
      </c>
      <c r="D40" s="386">
        <v>100</v>
      </c>
      <c r="E40" s="1905" t="s">
        <v>3480</v>
      </c>
      <c r="F40" s="386">
        <f>SUMIF(120:120,E40,121:121)-SUMIF(120:120,C40,121:121)+100</f>
        <v>100</v>
      </c>
      <c r="G40" s="1905" t="s">
        <v>3480</v>
      </c>
      <c r="H40" s="386">
        <f>SUMIF(120:120,G40,121:121)-SUMIF(120:120,C40,121:121)+100</f>
        <v>100</v>
      </c>
      <c r="I40" s="1905" t="s">
        <v>3480</v>
      </c>
      <c r="J40" s="386">
        <f>SUMIF(120:120,I40,121:121)-SUMIF(120:120,C40,121:121)+100</f>
        <v>100</v>
      </c>
      <c r="K40" s="561">
        <v>1</v>
      </c>
      <c r="L40" s="2720"/>
      <c r="M40" s="2714"/>
      <c r="N40" s="2714"/>
      <c r="O40" s="2772"/>
      <c r="P40" s="3665"/>
      <c r="Q40" s="1351" t="str">
        <f t="shared" si="14"/>
        <v>临街宽度及深度</v>
      </c>
      <c r="R40" s="705" t="s">
        <v>14</v>
      </c>
      <c r="S40" s="706">
        <f t="shared" si="10"/>
        <v>100</v>
      </c>
      <c r="T40" s="705" t="s">
        <v>14</v>
      </c>
      <c r="U40" s="706">
        <f t="shared" si="11"/>
        <v>100</v>
      </c>
      <c r="V40" s="705" t="s">
        <v>14</v>
      </c>
      <c r="W40" s="706">
        <f t="shared" si="12"/>
        <v>100</v>
      </c>
      <c r="X40" s="1354"/>
      <c r="Y40" s="3665"/>
      <c r="Z40" s="1355" t="str">
        <f t="shared" si="13"/>
        <v>临街宽度及深度</v>
      </c>
      <c r="AA40" s="1352">
        <f t="shared" si="3"/>
        <v>1</v>
      </c>
      <c r="AB40" s="1352">
        <f t="shared" si="4"/>
        <v>1</v>
      </c>
      <c r="AC40" s="1352">
        <f t="shared" si="5"/>
        <v>1</v>
      </c>
    </row>
    <row r="41" spans="1:29" s="108" customFormat="1" ht="15">
      <c r="A41" s="424"/>
      <c r="B41" s="375" t="s">
        <v>1876</v>
      </c>
      <c r="C41" s="1979" t="s">
        <v>3477</v>
      </c>
      <c r="D41" s="127">
        <v>100</v>
      </c>
      <c r="E41" s="1979" t="s">
        <v>3477</v>
      </c>
      <c r="F41" s="386">
        <f>SUMIF(122:122,E41,123:123)-SUMIF(122:122,C41,123:123)+100</f>
        <v>100</v>
      </c>
      <c r="G41" s="1979" t="s">
        <v>3487</v>
      </c>
      <c r="H41" s="386">
        <f>SUMIF(122:122,G41,123:123)-SUMIF(122:122,C41,123:123)+100</f>
        <v>96</v>
      </c>
      <c r="I41" s="1979" t="s">
        <v>3487</v>
      </c>
      <c r="J41" s="386">
        <f>SUMIF(122:122,I41,123:123)-SUMIF(122:122,C41,123:123)+100</f>
        <v>96</v>
      </c>
      <c r="K41" s="561">
        <v>1</v>
      </c>
      <c r="L41" s="2715"/>
      <c r="M41" s="2716"/>
      <c r="N41" s="2716"/>
      <c r="O41" s="2770"/>
      <c r="P41" s="3665"/>
      <c r="Q41" s="1351" t="str">
        <f t="shared" si="14"/>
        <v>宗地开发程度</v>
      </c>
      <c r="R41" s="701" t="s">
        <v>14</v>
      </c>
      <c r="S41" s="702">
        <f t="shared" si="10"/>
        <v>100</v>
      </c>
      <c r="T41" s="701" t="s">
        <v>14</v>
      </c>
      <c r="U41" s="702">
        <f t="shared" si="11"/>
        <v>96</v>
      </c>
      <c r="V41" s="701" t="s">
        <v>14</v>
      </c>
      <c r="W41" s="702">
        <f t="shared" si="12"/>
        <v>96</v>
      </c>
      <c r="X41" s="703"/>
      <c r="Y41" s="3665"/>
      <c r="Z41" s="52" t="str">
        <f t="shared" si="13"/>
        <v>宗地开发程度</v>
      </c>
      <c r="AA41" s="704">
        <f t="shared" si="3"/>
        <v>1</v>
      </c>
      <c r="AB41" s="704">
        <f t="shared" si="4"/>
        <v>1.0416666666666667</v>
      </c>
      <c r="AC41" s="704">
        <f t="shared" si="5"/>
        <v>1.0416666666666667</v>
      </c>
    </row>
    <row r="42" spans="1:29" ht="15.6" thickBot="1">
      <c r="A42" s="423"/>
      <c r="B42" s="375" t="s">
        <v>1877</v>
      </c>
      <c r="C42" s="1905" t="s">
        <v>3476</v>
      </c>
      <c r="D42" s="386">
        <v>100</v>
      </c>
      <c r="E42" s="1905" t="s">
        <v>3476</v>
      </c>
      <c r="F42" s="386">
        <f>SUMIF(124:124,E42,125:125)-SUMIF(124:124,C42,125:125)+100</f>
        <v>100</v>
      </c>
      <c r="G42" s="1905" t="s">
        <v>3476</v>
      </c>
      <c r="H42" s="386">
        <f>SUMIF(124:124,G42,125:125)-SUMIF(124:124,C42,125:125)+100</f>
        <v>100</v>
      </c>
      <c r="I42" s="1905" t="s">
        <v>3476</v>
      </c>
      <c r="J42" s="386">
        <f>SUMIF(124:124,I42,125:125)-SUMIF(124:124,C42,125:125)+100</f>
        <v>100</v>
      </c>
      <c r="K42" s="561">
        <v>1</v>
      </c>
      <c r="L42" s="2720"/>
      <c r="M42" s="2714"/>
      <c r="N42" s="2714"/>
      <c r="O42" s="2772"/>
      <c r="P42" s="3665" t="s">
        <v>1695</v>
      </c>
      <c r="Q42" s="1351" t="str">
        <f t="shared" si="14"/>
        <v>工程地质条件</v>
      </c>
      <c r="R42" s="705" t="s">
        <v>14</v>
      </c>
      <c r="S42" s="706">
        <f t="shared" si="10"/>
        <v>100</v>
      </c>
      <c r="T42" s="705" t="s">
        <v>14</v>
      </c>
      <c r="U42" s="706">
        <f t="shared" si="11"/>
        <v>100</v>
      </c>
      <c r="V42" s="705" t="s">
        <v>14</v>
      </c>
      <c r="W42" s="706">
        <f t="shared" si="12"/>
        <v>100</v>
      </c>
      <c r="X42" s="1354"/>
      <c r="Y42" s="3665" t="s">
        <v>1695</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5"/>
      <c r="Q43" s="1351">
        <f t="shared" si="14"/>
        <v>111</v>
      </c>
      <c r="R43" s="705" t="s">
        <v>14</v>
      </c>
      <c r="S43" s="706">
        <f t="shared" si="10"/>
        <v>100</v>
      </c>
      <c r="T43" s="705" t="s">
        <v>14</v>
      </c>
      <c r="U43" s="706">
        <f t="shared" si="11"/>
        <v>100</v>
      </c>
      <c r="V43" s="705" t="s">
        <v>14</v>
      </c>
      <c r="W43" s="706">
        <f t="shared" si="12"/>
        <v>100</v>
      </c>
      <c r="X43" s="1354"/>
      <c r="Y43" s="3665"/>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5"/>
      <c r="Q44" s="1351">
        <f t="shared" si="14"/>
        <v>111</v>
      </c>
      <c r="R44" s="705" t="s">
        <v>14</v>
      </c>
      <c r="S44" s="706">
        <f t="shared" si="10"/>
        <v>100</v>
      </c>
      <c r="T44" s="705" t="s">
        <v>14</v>
      </c>
      <c r="U44" s="706">
        <f t="shared" si="11"/>
        <v>100</v>
      </c>
      <c r="V44" s="705" t="s">
        <v>14</v>
      </c>
      <c r="W44" s="706">
        <f t="shared" si="12"/>
        <v>100</v>
      </c>
      <c r="X44" s="1354"/>
      <c r="Y44" s="3665"/>
      <c r="Z44" s="1355">
        <f t="shared" si="13"/>
        <v>111</v>
      </c>
      <c r="AA44" s="1352">
        <f t="shared" si="3"/>
        <v>1</v>
      </c>
      <c r="AB44" s="1352">
        <f t="shared" si="4"/>
        <v>1</v>
      </c>
      <c r="AC44" s="1352">
        <f t="shared" si="5"/>
        <v>1</v>
      </c>
    </row>
    <row r="45" spans="1:29" s="422" customFormat="1" ht="15.6"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5"/>
      <c r="Q45" s="1351">
        <f t="shared" si="14"/>
        <v>111</v>
      </c>
      <c r="R45" s="708" t="s">
        <v>14</v>
      </c>
      <c r="S45" s="709">
        <f t="shared" si="10"/>
        <v>100</v>
      </c>
      <c r="T45" s="708" t="s">
        <v>14</v>
      </c>
      <c r="U45" s="709">
        <f t="shared" si="11"/>
        <v>100</v>
      </c>
      <c r="V45" s="708" t="s">
        <v>14</v>
      </c>
      <c r="W45" s="709">
        <f t="shared" si="12"/>
        <v>100</v>
      </c>
      <c r="X45" s="710"/>
      <c r="Y45" s="3665"/>
      <c r="Z45" s="711">
        <f t="shared" si="13"/>
        <v>111</v>
      </c>
      <c r="AA45" s="1352">
        <f t="shared" si="3"/>
        <v>1</v>
      </c>
      <c r="AB45" s="1352">
        <f t="shared" si="4"/>
        <v>1</v>
      </c>
      <c r="AC45" s="1352">
        <f t="shared" si="5"/>
        <v>1</v>
      </c>
    </row>
    <row r="46" spans="1:29" ht="14.4">
      <c r="A46" s="430" t="s">
        <v>1843</v>
      </c>
      <c r="B46" s="1981" t="s">
        <v>1878</v>
      </c>
      <c r="C46" s="630" t="s">
        <v>0</v>
      </c>
      <c r="D46" s="432"/>
      <c r="E46" s="433">
        <f>土地案例!N2</f>
        <v>13626</v>
      </c>
      <c r="F46" s="434"/>
      <c r="G46" s="435">
        <f>土地案例!N6</f>
        <v>15800</v>
      </c>
      <c r="H46" s="436"/>
      <c r="I46" s="433">
        <f>土地案例!N7</f>
        <v>13500</v>
      </c>
      <c r="J46" s="436"/>
      <c r="K46" s="714"/>
      <c r="L46" s="2722"/>
      <c r="M46" s="2723"/>
      <c r="N46" s="2714"/>
      <c r="O46" s="2723"/>
      <c r="P46" s="3661" t="str">
        <f>A46</f>
        <v>成交单价</v>
      </c>
      <c r="Q46" s="3661"/>
      <c r="R46" s="3666">
        <f>E46</f>
        <v>13626</v>
      </c>
      <c r="S46" s="3666"/>
      <c r="T46" s="3666">
        <f>G46</f>
        <v>15800</v>
      </c>
      <c r="U46" s="3666"/>
      <c r="V46" s="3666">
        <f>I46</f>
        <v>13500</v>
      </c>
      <c r="W46" s="3666"/>
      <c r="X46" s="690"/>
      <c r="Y46" s="712"/>
      <c r="Z46" s="690"/>
      <c r="AA46" s="690"/>
      <c r="AB46" s="690"/>
      <c r="AC46" s="690"/>
    </row>
    <row r="47" spans="1:29" ht="15" thickBot="1">
      <c r="A47" s="437" t="s">
        <v>1792</v>
      </c>
      <c r="B47" s="631"/>
      <c r="C47" s="440">
        <f>R48</f>
        <v>14086</v>
      </c>
      <c r="D47" s="2316" t="s">
        <v>2137</v>
      </c>
      <c r="E47" s="440">
        <f>R47</f>
        <v>13127</v>
      </c>
      <c r="F47" s="2317"/>
      <c r="G47" s="439">
        <f>T47</f>
        <v>15143</v>
      </c>
      <c r="H47" s="2317"/>
      <c r="I47" s="440">
        <f>V47</f>
        <v>13989</v>
      </c>
      <c r="J47" s="2317"/>
      <c r="K47" s="2319">
        <f>F47+H47+J47</f>
        <v>0</v>
      </c>
      <c r="L47" s="2722"/>
      <c r="M47" s="2723"/>
      <c r="N47" s="2723"/>
      <c r="O47" s="2723"/>
      <c r="P47" s="3661" t="str">
        <f>A47</f>
        <v>比较价值（元/平方米）</v>
      </c>
      <c r="Q47" s="3661"/>
      <c r="R47" s="3654">
        <f>ROUND(PRODUCT(R46,AA7:AA45),0)</f>
        <v>13127</v>
      </c>
      <c r="S47" s="3654"/>
      <c r="T47" s="3654">
        <f>ROUND(PRODUCT(T46,AB7:AB45),0)</f>
        <v>15143</v>
      </c>
      <c r="U47" s="3654"/>
      <c r="V47" s="3654">
        <f>ROUND(PRODUCT(V46,AC7:AC45),0)</f>
        <v>13989</v>
      </c>
      <c r="W47" s="3654"/>
      <c r="X47" s="690"/>
      <c r="Y47" s="690"/>
      <c r="Z47" s="690"/>
      <c r="AA47" s="690"/>
      <c r="AB47" s="690"/>
      <c r="AC47" s="690"/>
    </row>
    <row r="48" spans="1:29" ht="15" thickBot="1">
      <c r="A48" s="441" t="s">
        <v>1879</v>
      </c>
      <c r="B48" s="442"/>
      <c r="C48" s="443">
        <f>R48</f>
        <v>14086</v>
      </c>
      <c r="D48" s="443"/>
      <c r="E48" s="443"/>
      <c r="F48" s="443"/>
      <c r="G48" s="443"/>
      <c r="H48" s="443"/>
      <c r="I48" s="443"/>
      <c r="J48" s="443"/>
      <c r="K48" s="715"/>
      <c r="L48" s="2722"/>
      <c r="M48" s="2723"/>
      <c r="N48" s="2723"/>
      <c r="O48" s="2723"/>
      <c r="P48" s="3655" t="str">
        <f>A48</f>
        <v>估价对象XX用房的比较价值（楼面单价，元/平方米）</v>
      </c>
      <c r="Q48" s="3656"/>
      <c r="R48" s="3657">
        <f>ROUND(IF(D47="简单平均",AVERAGE(R47:W47),R47*F47+T47*H47+V47*J47),0)</f>
        <v>14086</v>
      </c>
      <c r="S48" s="3657"/>
      <c r="T48" s="3657"/>
      <c r="U48" s="3657"/>
      <c r="V48" s="3657"/>
      <c r="W48" s="365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f>IF(E46&lt;E47,E47/E46-1,E46/E47-1)</f>
        <v>3.8013255123028777E-2</v>
      </c>
      <c r="F51" s="449" t="str">
        <f>IF(OR(E51&gt;=0.3,E51&lt;=-0.3),"超过30%","")</f>
        <v/>
      </c>
      <c r="G51" s="448">
        <f>IF(G46&lt;G47,G47/G46-1,G46/G47-1)</f>
        <v>4.33863831473289E-2</v>
      </c>
      <c r="H51" s="449" t="str">
        <f>IF(OR(G51&gt;=0.3,G51&lt;=-0.3),"超过30%","")</f>
        <v/>
      </c>
      <c r="I51" s="448">
        <f>IF(I46&lt;I47,I47/I46-1,I46/I47-1)</f>
        <v>3.6222222222222156E-2</v>
      </c>
      <c r="J51" s="449" t="str">
        <f>IF(OR(I51&gt;=0.3,I51&lt;=-0.3),"超过30%","")</f>
        <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f>IF(E47&lt;G47,G47/E47-1,E47/G47-1)</f>
        <v>0.15357659785175581</v>
      </c>
      <c r="F52" s="449" t="str">
        <f>IF(OR(E52&gt;=0.2,E52&lt;=-0.2),"超过20%","")</f>
        <v/>
      </c>
      <c r="G52" s="448">
        <f>IF(G47&lt;I47,I47/G47-1,G47/I47-1)</f>
        <v>8.2493387661734197E-2</v>
      </c>
      <c r="H52" s="449" t="str">
        <f>IF(OR(G52&gt;=0.2,G52&lt;=-0.2),"超过20%","")</f>
        <v/>
      </c>
      <c r="I52" s="448">
        <f>IF(I47&lt;E47,E47/I47-1,I47/E47-1)</f>
        <v>6.5666184200502853E-2</v>
      </c>
      <c r="J52" s="449" t="str">
        <f>IF(OR(I52&gt;=0.2,I52&lt;=-0.2),"超过20%","")</f>
        <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f>IF(E46&lt;G46,G46/E46-1,E46/G46-1)</f>
        <v>0.15954792308821375</v>
      </c>
      <c r="F53" s="449" t="str">
        <f>IF(OR(E53&gt;=0.3,E53&lt;=-0.3),"超过30%","")</f>
        <v/>
      </c>
      <c r="G53" s="448">
        <f>IF(G46&lt;I46,I46/G46-1,G46/I46-1)</f>
        <v>0.17037037037037028</v>
      </c>
      <c r="H53" s="449" t="str">
        <f>IF(OR(G53&gt;=0.3,G53&lt;=-0.3),"超过30%","")</f>
        <v/>
      </c>
      <c r="I53" s="448">
        <f>IF(I46&lt;E46,E46/I46-1,I46/E46-1)</f>
        <v>9.3333333333334156E-3</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2" t="s">
        <v>1882</v>
      </c>
      <c r="D55" s="1983" t="s">
        <v>1883</v>
      </c>
      <c r="E55" s="634" t="s">
        <v>1884</v>
      </c>
      <c r="F55" s="890" t="s">
        <v>1885</v>
      </c>
      <c r="G55" s="3658" t="s">
        <v>1886</v>
      </c>
      <c r="H55" s="3659"/>
      <c r="I55" s="135" t="s">
        <v>1887</v>
      </c>
      <c r="J55" s="1984">
        <f>项目基本情况!F35</f>
        <v>0</v>
      </c>
      <c r="K55" s="1985"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f>C48</f>
        <v>14086</v>
      </c>
      <c r="C56" s="638">
        <v>1</v>
      </c>
      <c r="D56" s="944">
        <v>1</v>
      </c>
      <c r="E56" s="638">
        <f>'数据-汇总表'!E8+'数据-汇总表'!E9</f>
        <v>95690.32</v>
      </c>
      <c r="F56" s="886">
        <f t="shared" ref="F56:F64" si="15">ROUND(B56*E56/10000,0)</f>
        <v>134789</v>
      </c>
      <c r="G56" s="3660"/>
      <c r="H56" s="366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f>ROUND($C$48*C57*D57,0)</f>
        <v>2113</v>
      </c>
      <c r="C57" s="171">
        <f t="shared" ref="C57:C64" si="16">IF($C$55="北京市系数",I57,J57)</f>
        <v>0.6</v>
      </c>
      <c r="D57" s="945">
        <v>0.25</v>
      </c>
      <c r="E57" s="642">
        <f>'数据-汇总表'!G19</f>
        <v>7889.3899999999994</v>
      </c>
      <c r="F57" s="886">
        <f t="shared" si="15"/>
        <v>1667</v>
      </c>
      <c r="G57" s="3004" t="s">
        <v>1891</v>
      </c>
      <c r="H57" s="887" t="str">
        <f>项目基本情况!B37</f>
        <v>七级</v>
      </c>
      <c r="I57" s="891">
        <f>SUMIF(修正!A57:A68,H57,修正!B57:B68)</f>
        <v>0.6</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f t="shared" ref="B58:B64" si="17">ROUND($C$48*C58*D58,0)</f>
        <v>1056</v>
      </c>
      <c r="C58" s="171">
        <f t="shared" si="16"/>
        <v>0.3</v>
      </c>
      <c r="D58" s="945">
        <v>0.25</v>
      </c>
      <c r="E58" s="642"/>
      <c r="F58" s="886">
        <f t="shared" si="15"/>
        <v>0</v>
      </c>
      <c r="G58" s="3005"/>
      <c r="H58" s="887" t="str">
        <f>项目基本情况!B37</f>
        <v>七级</v>
      </c>
      <c r="I58" s="891">
        <f>SUMIF(修正!A57:A68,H58,修正!C57:C68)</f>
        <v>0.3</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f t="shared" si="17"/>
        <v>880</v>
      </c>
      <c r="C59" s="171">
        <f t="shared" si="16"/>
        <v>0.25</v>
      </c>
      <c r="D59" s="945">
        <v>0.25</v>
      </c>
      <c r="E59" s="642"/>
      <c r="F59" s="886">
        <f t="shared" si="15"/>
        <v>0</v>
      </c>
      <c r="G59" s="3005"/>
      <c r="H59" s="887" t="str">
        <f>项目基本情况!B37</f>
        <v>七级</v>
      </c>
      <c r="I59" s="891">
        <f>SUMIF(修正!A57:A68,H59,修正!D57:D68)</f>
        <v>0.25</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f t="shared" si="17"/>
        <v>880</v>
      </c>
      <c r="C60" s="171">
        <f t="shared" si="16"/>
        <v>0.25</v>
      </c>
      <c r="D60" s="945">
        <v>0.25</v>
      </c>
      <c r="E60" s="217">
        <f>'数据-汇总表'!E11</f>
        <v>0</v>
      </c>
      <c r="F60" s="886">
        <f t="shared" si="15"/>
        <v>0</v>
      </c>
      <c r="G60" s="1986" t="s">
        <v>1895</v>
      </c>
      <c r="H60" s="887" t="str">
        <f>项目基本情况!C37</f>
        <v>七级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f t="shared" si="17"/>
        <v>880</v>
      </c>
      <c r="C61" s="171">
        <f t="shared" si="16"/>
        <v>0.25</v>
      </c>
      <c r="D61" s="945">
        <v>0.25</v>
      </c>
      <c r="E61" s="217">
        <f>'数据-汇总表'!E12</f>
        <v>0</v>
      </c>
      <c r="F61" s="886">
        <f t="shared" si="15"/>
        <v>0</v>
      </c>
      <c r="G61" s="892" t="s">
        <v>1897</v>
      </c>
      <c r="H61" s="887" t="str">
        <f>IF(G61="商业",项目基本情况!B37,IF(G61="办公",项目基本情况!C37,IF(G61="住宅",项目基本情况!D37,项目基本情况!E37)))</f>
        <v>七级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f t="shared" si="17"/>
        <v>0</v>
      </c>
      <c r="C62" s="171">
        <f t="shared" si="16"/>
        <v>0</v>
      </c>
      <c r="D62" s="945">
        <v>0.25</v>
      </c>
      <c r="E62" s="217">
        <f>'数据-汇总表'!E13</f>
        <v>24830.799999999999</v>
      </c>
      <c r="F62" s="886">
        <f t="shared" si="15"/>
        <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f t="shared" si="17"/>
        <v>528</v>
      </c>
      <c r="C63" s="171">
        <f t="shared" si="16"/>
        <v>0.15</v>
      </c>
      <c r="D63" s="945">
        <v>0.25</v>
      </c>
      <c r="E63" s="217">
        <f>'数据-汇总表'!E14</f>
        <v>0</v>
      </c>
      <c r="F63" s="886">
        <f t="shared" si="15"/>
        <v>0</v>
      </c>
      <c r="G63" s="1986" t="s">
        <v>1891</v>
      </c>
      <c r="H63" s="887" t="str">
        <f>项目基本情况!B37</f>
        <v>七级</v>
      </c>
      <c r="I63" s="891">
        <f>SUMIF(修正!A57:A68,H63,修正!G57:G68)</f>
        <v>0.15</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1901</v>
      </c>
      <c r="B64" s="218">
        <f t="shared" si="17"/>
        <v>528</v>
      </c>
      <c r="C64" s="171">
        <f t="shared" si="16"/>
        <v>0.15</v>
      </c>
      <c r="D64" s="945">
        <v>0.25</v>
      </c>
      <c r="E64" s="217">
        <f>'数据-汇总表'!E15</f>
        <v>0</v>
      </c>
      <c r="F64" s="886">
        <f t="shared" si="15"/>
        <v>0</v>
      </c>
      <c r="G64" s="1987" t="s">
        <v>1895</v>
      </c>
      <c r="H64" s="897" t="str">
        <f>项目基本情况!C37</f>
        <v>七级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1902</v>
      </c>
      <c r="B65" s="644" t="s">
        <v>22</v>
      </c>
      <c r="C65" s="644" t="s">
        <v>23</v>
      </c>
      <c r="D65" s="644" t="s">
        <v>392</v>
      </c>
      <c r="E65" s="644">
        <f>IF(B46="楼面地价",SUM(E56:E64),'数据-汇总表'!D3)</f>
        <v>128410.51000000001</v>
      </c>
      <c r="F65" s="645">
        <f>IF(B46="楼面地价",SUM(F56:F64),ROUND(C48*E65/10000,0))</f>
        <v>136456</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3"/>
      <c r="Q67" s="2723"/>
      <c r="R67" s="2723"/>
      <c r="S67" s="2723"/>
      <c r="T67" s="2723"/>
      <c r="U67" s="2723"/>
      <c r="V67" s="2723"/>
      <c r="W67" s="2723"/>
      <c r="X67" s="2723"/>
      <c r="Y67" s="2723"/>
      <c r="Z67" s="2723"/>
      <c r="AA67" s="2723"/>
      <c r="AB67" s="2723"/>
      <c r="AC67" s="2723"/>
    </row>
    <row r="68" spans="1:29" ht="22.2"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1903</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4"/>
      <c r="Q69" s="2739"/>
      <c r="R69" s="2739"/>
      <c r="S69" s="2739"/>
      <c r="T69" s="2739"/>
      <c r="U69" s="2739"/>
      <c r="V69" s="2739"/>
      <c r="W69" s="2739"/>
      <c r="X69" s="2739"/>
      <c r="Y69" s="2739"/>
      <c r="Z69" s="2739"/>
      <c r="AA69" s="2739"/>
      <c r="AB69" s="2739"/>
      <c r="AC69" s="2739"/>
    </row>
    <row r="70" spans="1:29" s="108" customFormat="1" ht="30" customHeight="1">
      <c r="A70" s="1989" t="s">
        <v>1904</v>
      </c>
      <c r="B70" s="288" t="str">
        <f>"北京市平均增长率"&amp;TEXT(SUMIF(基准地价修正!N25:N29,A70,基准地价修正!P25:P29),"0.00%")</f>
        <v>北京市平均增长率1.66%</v>
      </c>
      <c r="C70" s="552">
        <v>100</v>
      </c>
      <c r="D70" s="544">
        <f>C70-0.3</f>
        <v>99.7</v>
      </c>
      <c r="E70" s="544">
        <f t="shared" ref="E70:O70" si="20">D70-0.3</f>
        <v>99.4</v>
      </c>
      <c r="F70" s="544">
        <f t="shared" si="20"/>
        <v>99.100000000000009</v>
      </c>
      <c r="G70" s="544">
        <f t="shared" si="20"/>
        <v>98.800000000000011</v>
      </c>
      <c r="H70" s="544">
        <f t="shared" si="20"/>
        <v>98.500000000000014</v>
      </c>
      <c r="I70" s="544">
        <f t="shared" si="20"/>
        <v>98.200000000000017</v>
      </c>
      <c r="J70" s="544">
        <f t="shared" si="20"/>
        <v>97.90000000000002</v>
      </c>
      <c r="K70" s="544">
        <f t="shared" si="20"/>
        <v>97.600000000000023</v>
      </c>
      <c r="L70" s="544">
        <f t="shared" si="20"/>
        <v>97.300000000000026</v>
      </c>
      <c r="M70" s="544">
        <f t="shared" si="20"/>
        <v>97.000000000000028</v>
      </c>
      <c r="N70" s="544">
        <f t="shared" si="20"/>
        <v>96.700000000000031</v>
      </c>
      <c r="O70" s="544">
        <f t="shared" si="20"/>
        <v>96.400000000000034</v>
      </c>
      <c r="P70" s="2737"/>
      <c r="Q70" s="2659"/>
      <c r="R70" s="2659"/>
      <c r="S70" s="2659"/>
      <c r="T70" s="2659"/>
      <c r="U70" s="2659"/>
      <c r="V70" s="2659"/>
      <c r="W70" s="2659"/>
      <c r="X70" s="2659"/>
      <c r="Y70" s="2659"/>
      <c r="Z70" s="2659"/>
      <c r="AA70" s="2659"/>
      <c r="AB70" s="2659"/>
      <c r="AC70" s="2659"/>
    </row>
    <row r="71" spans="1:29" s="108" customFormat="1" ht="1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28.8">
      <c r="A74" s="476" t="s">
        <v>1718</v>
      </c>
      <c r="B74" s="477" t="s">
        <v>1684</v>
      </c>
      <c r="C74" s="3464" t="s">
        <v>3468</v>
      </c>
      <c r="D74" s="3464" t="s">
        <v>3470</v>
      </c>
      <c r="E74" s="3464" t="s">
        <v>3472</v>
      </c>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v>100</v>
      </c>
      <c r="D75" s="485">
        <v>100</v>
      </c>
      <c r="E75" s="485">
        <v>100</v>
      </c>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1688</v>
      </c>
      <c r="C78" s="496" t="str">
        <f>C79&amp;"（含）"&amp;"-"&amp;D79</f>
        <v>0（含）-1</v>
      </c>
      <c r="D78" s="496" t="str">
        <f t="shared" ref="D78:L78" si="21">D79&amp;"（含）"&amp;"-"&amp;E79</f>
        <v>1（含）-2</v>
      </c>
      <c r="E78" s="496" t="str">
        <f t="shared" si="21"/>
        <v>2（含）-3</v>
      </c>
      <c r="F78" s="496" t="str">
        <f t="shared" si="21"/>
        <v>3（含）-4</v>
      </c>
      <c r="G78" s="496" t="str">
        <f t="shared" si="21"/>
        <v>4（含）-</v>
      </c>
      <c r="H78" s="496" t="str">
        <f t="shared" si="21"/>
        <v>（含）-</v>
      </c>
      <c r="I78" s="496" t="str">
        <f t="shared" si="21"/>
        <v>（含）-</v>
      </c>
      <c r="J78" s="496" t="str">
        <f t="shared" si="21"/>
        <v>（含）-</v>
      </c>
      <c r="K78" s="496" t="str">
        <f t="shared" si="21"/>
        <v>（含）-</v>
      </c>
      <c r="L78" s="496" t="str">
        <f t="shared" si="21"/>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v>0</v>
      </c>
      <c r="D79" s="498">
        <v>1</v>
      </c>
      <c r="E79" s="498">
        <v>2</v>
      </c>
      <c r="F79" s="498">
        <v>3</v>
      </c>
      <c r="G79" s="498">
        <v>4</v>
      </c>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97</v>
      </c>
      <c r="E90" s="493">
        <f>D90-$K17</f>
        <v>94</v>
      </c>
      <c r="F90" s="493">
        <f>E90-$K17</f>
        <v>91</v>
      </c>
      <c r="G90" s="493">
        <f>F90-$K17</f>
        <v>88</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97</v>
      </c>
      <c r="E92" s="493">
        <f>D92-$K19</f>
        <v>94</v>
      </c>
      <c r="F92" s="493">
        <f>E92-$K19</f>
        <v>91</v>
      </c>
      <c r="G92" s="493">
        <f>F92-$K19</f>
        <v>88</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97</v>
      </c>
      <c r="E94" s="493">
        <f>D94-$K21</f>
        <v>94</v>
      </c>
      <c r="F94" s="493">
        <f>E94-$K21</f>
        <v>91</v>
      </c>
      <c r="G94" s="493">
        <f>F94-$K21</f>
        <v>88</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98</v>
      </c>
      <c r="E96" s="493">
        <f>D96-$K23</f>
        <v>96</v>
      </c>
      <c r="F96" s="493">
        <f>E96-$K23</f>
        <v>94</v>
      </c>
      <c r="G96" s="493">
        <f>F96-$K23</f>
        <v>92</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98</v>
      </c>
      <c r="E98" s="493">
        <f>D98-$K25</f>
        <v>96</v>
      </c>
      <c r="F98" s="493">
        <f>E98-$K25</f>
        <v>94</v>
      </c>
      <c r="G98" s="493">
        <f>F98-$K25</f>
        <v>92</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97</v>
      </c>
      <c r="E100" s="493">
        <f>D100-$K27</f>
        <v>94</v>
      </c>
      <c r="F100" s="493">
        <f>E100-$K27</f>
        <v>91</v>
      </c>
      <c r="G100" s="493">
        <f>F100-$K27</f>
        <v>88</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99</v>
      </c>
      <c r="E102" s="493">
        <f>D102-$K29</f>
        <v>98</v>
      </c>
      <c r="F102" s="493">
        <f>E102-$K29</f>
        <v>97</v>
      </c>
      <c r="G102" s="493">
        <f>F102-$K29</f>
        <v>96</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27.6">
      <c r="A115" s="476" t="s">
        <v>1693</v>
      </c>
      <c r="B115" s="477" t="s">
        <v>1912</v>
      </c>
      <c r="C115" s="478" t="str">
        <f>C116&amp;"(含)"&amp;"-"&amp;D116</f>
        <v>0(含)-50000</v>
      </c>
      <c r="D115" s="478" t="str">
        <f t="shared" ref="D115:M115" si="26">D116&amp;"(含)"&amp;"-"&amp;E116</f>
        <v>50000(含)-100000</v>
      </c>
      <c r="E115" s="478" t="str">
        <f t="shared" si="26"/>
        <v>100000(含)-150000</v>
      </c>
      <c r="F115" s="478" t="str">
        <f t="shared" si="26"/>
        <v>150000(含)-200000</v>
      </c>
      <c r="G115" s="478" t="str">
        <f t="shared" si="26"/>
        <v>200000(含)-</v>
      </c>
      <c r="H115" s="478" t="str">
        <f t="shared" si="26"/>
        <v>(含)-</v>
      </c>
      <c r="I115" s="478" t="str">
        <f t="shared" si="26"/>
        <v>(含)-</v>
      </c>
      <c r="J115" s="478" t="str">
        <f t="shared" si="26"/>
        <v>(含)-</v>
      </c>
      <c r="K115" s="478" t="str">
        <f t="shared" si="26"/>
        <v>(含)-</v>
      </c>
      <c r="L115" s="478" t="str">
        <f t="shared" si="26"/>
        <v>(含)-</v>
      </c>
      <c r="M115" s="478" t="str">
        <f t="shared" si="26"/>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v>0</v>
      </c>
      <c r="D116" s="544">
        <v>50000</v>
      </c>
      <c r="E116" s="544">
        <v>100000</v>
      </c>
      <c r="F116" s="544">
        <v>150000</v>
      </c>
      <c r="G116" s="544">
        <v>200000</v>
      </c>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v>96</v>
      </c>
      <c r="D117" s="540">
        <v>98</v>
      </c>
      <c r="E117" s="540">
        <v>100</v>
      </c>
      <c r="F117" s="540">
        <v>98</v>
      </c>
      <c r="G117" s="540">
        <v>96</v>
      </c>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3466" t="s">
        <v>3479</v>
      </c>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7">C119-$K39</f>
        <v>99</v>
      </c>
      <c r="E119" s="493">
        <f t="shared" si="27"/>
        <v>98</v>
      </c>
      <c r="F119" s="493">
        <f t="shared" si="27"/>
        <v>97</v>
      </c>
      <c r="G119" s="493">
        <f t="shared" si="27"/>
        <v>96</v>
      </c>
      <c r="H119" s="493">
        <f t="shared" si="27"/>
        <v>95</v>
      </c>
      <c r="I119" s="493">
        <f t="shared" si="27"/>
        <v>94</v>
      </c>
      <c r="J119" s="493">
        <f t="shared" si="27"/>
        <v>93</v>
      </c>
      <c r="K119" s="493">
        <f t="shared" si="27"/>
        <v>92</v>
      </c>
      <c r="L119" s="493">
        <f t="shared" si="27"/>
        <v>91</v>
      </c>
      <c r="M119" s="494">
        <f t="shared" si="27"/>
        <v>90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3467" t="s">
        <v>3481</v>
      </c>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8">C121-$K40</f>
        <v>99</v>
      </c>
      <c r="E121" s="493">
        <f t="shared" si="28"/>
        <v>98</v>
      </c>
      <c r="F121" s="493">
        <f t="shared" si="28"/>
        <v>97</v>
      </c>
      <c r="G121" s="493">
        <f t="shared" si="28"/>
        <v>96</v>
      </c>
      <c r="H121" s="493">
        <f t="shared" si="28"/>
        <v>95</v>
      </c>
      <c r="I121" s="493">
        <f t="shared" si="28"/>
        <v>94</v>
      </c>
      <c r="J121" s="493">
        <f t="shared" si="28"/>
        <v>93</v>
      </c>
      <c r="K121" s="493">
        <f t="shared" si="28"/>
        <v>92</v>
      </c>
      <c r="L121" s="493">
        <f t="shared" si="28"/>
        <v>91</v>
      </c>
      <c r="M121" s="494">
        <f t="shared" si="28"/>
        <v>90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3467" t="s">
        <v>3482</v>
      </c>
      <c r="D122" s="3467" t="s">
        <v>3484</v>
      </c>
      <c r="E122" s="3467" t="s">
        <v>3485</v>
      </c>
      <c r="F122" s="3467" t="s">
        <v>3486</v>
      </c>
      <c r="G122" s="3467" t="s">
        <v>3488</v>
      </c>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3467" t="s">
        <v>3483</v>
      </c>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0"/>
  <sheetViews>
    <sheetView workbookViewId="0">
      <selection activeCell="F7" sqref="F7"/>
    </sheetView>
  </sheetViews>
  <sheetFormatPr defaultRowHeight="14.4"/>
  <cols>
    <col min="1" max="1" width="46.33203125" customWidth="1"/>
    <col min="4" max="4" width="10.44140625" customWidth="1"/>
  </cols>
  <sheetData>
    <row r="1" spans="1:17" ht="15.6">
      <c r="A1" s="3696" t="s">
        <v>3401</v>
      </c>
      <c r="B1" s="3696" t="s">
        <v>3402</v>
      </c>
      <c r="C1" s="3696" t="s">
        <v>3403</v>
      </c>
      <c r="D1" s="3696" t="s">
        <v>3404</v>
      </c>
      <c r="E1" s="3696" t="s">
        <v>3405</v>
      </c>
      <c r="F1" s="3696" t="s">
        <v>3406</v>
      </c>
      <c r="G1" s="3696" t="s">
        <v>3407</v>
      </c>
      <c r="H1" s="3696" t="s">
        <v>3408</v>
      </c>
      <c r="I1" s="3696" t="s">
        <v>3409</v>
      </c>
      <c r="J1" s="3696" t="s">
        <v>3410</v>
      </c>
      <c r="K1" s="3696" t="s">
        <v>3411</v>
      </c>
      <c r="L1" s="3696" t="s">
        <v>3412</v>
      </c>
      <c r="M1" s="3696" t="s">
        <v>3413</v>
      </c>
      <c r="N1" s="3696" t="s">
        <v>3414</v>
      </c>
      <c r="O1" s="3696" t="s">
        <v>3415</v>
      </c>
      <c r="P1" s="3696" t="s">
        <v>3416</v>
      </c>
      <c r="Q1" s="3696" t="s">
        <v>3417</v>
      </c>
    </row>
    <row r="2" spans="1:17" s="3463" customFormat="1" ht="15.6">
      <c r="A2" s="3697" t="s">
        <v>3418</v>
      </c>
      <c r="B2" s="3697" t="s">
        <v>3419</v>
      </c>
      <c r="C2" s="3697" t="s">
        <v>3420</v>
      </c>
      <c r="D2" s="3697" t="s">
        <v>3421</v>
      </c>
      <c r="E2" s="3697" t="s">
        <v>3422</v>
      </c>
      <c r="F2" s="3697">
        <v>1.5</v>
      </c>
      <c r="G2" s="3697" t="s">
        <v>3423</v>
      </c>
      <c r="H2" s="3697">
        <v>60123.3</v>
      </c>
      <c r="I2" s="3697">
        <v>40082.199999999997</v>
      </c>
      <c r="J2" s="3697" t="s">
        <v>3424</v>
      </c>
      <c r="K2" s="3697">
        <v>81924.009999999995</v>
      </c>
      <c r="L2" s="3698">
        <v>44550.000497685185</v>
      </c>
      <c r="M2" s="3697">
        <v>81924.009999999995</v>
      </c>
      <c r="N2" s="3697">
        <v>13626</v>
      </c>
      <c r="O2" s="3697">
        <v>0</v>
      </c>
      <c r="P2" s="3697" t="s">
        <v>3425</v>
      </c>
      <c r="Q2" s="3697">
        <v>16400</v>
      </c>
    </row>
    <row r="3" spans="1:17" ht="15.6">
      <c r="A3" s="3696" t="s">
        <v>3426</v>
      </c>
      <c r="B3" s="3696" t="s">
        <v>3427</v>
      </c>
      <c r="C3" s="3696" t="s">
        <v>3420</v>
      </c>
      <c r="D3" s="3696" t="s">
        <v>3428</v>
      </c>
      <c r="E3" s="3696" t="s">
        <v>3422</v>
      </c>
      <c r="F3" s="3696" t="s">
        <v>3429</v>
      </c>
      <c r="G3" s="3696" t="s">
        <v>3430</v>
      </c>
      <c r="H3" s="3696">
        <v>105361.45</v>
      </c>
      <c r="I3" s="3696">
        <v>47891.57</v>
      </c>
      <c r="J3" s="3696" t="s">
        <v>3431</v>
      </c>
      <c r="K3" s="3696">
        <v>91664.46</v>
      </c>
      <c r="L3" s="3699">
        <v>44410.000497685185</v>
      </c>
      <c r="M3" s="3696">
        <v>91664.46</v>
      </c>
      <c r="N3" s="3696">
        <v>8700</v>
      </c>
      <c r="O3" s="3696">
        <v>0</v>
      </c>
      <c r="P3" s="3696" t="s">
        <v>3432</v>
      </c>
      <c r="Q3" s="3696">
        <v>27500</v>
      </c>
    </row>
    <row r="4" spans="1:17" s="3461" customFormat="1" ht="15.6">
      <c r="A4" s="3700" t="s">
        <v>3433</v>
      </c>
      <c r="B4" s="3700" t="s">
        <v>3434</v>
      </c>
      <c r="C4" s="3700" t="s">
        <v>3420</v>
      </c>
      <c r="D4" s="3700" t="s">
        <v>3435</v>
      </c>
      <c r="E4" s="3700" t="s">
        <v>3422</v>
      </c>
      <c r="F4" s="3700" t="s">
        <v>3436</v>
      </c>
      <c r="G4" s="3700" t="s">
        <v>3430</v>
      </c>
      <c r="H4" s="3700">
        <v>102502</v>
      </c>
      <c r="I4" s="3700">
        <v>41000.75</v>
      </c>
      <c r="J4" s="3700" t="s">
        <v>3437</v>
      </c>
      <c r="K4" s="3700">
        <v>146578</v>
      </c>
      <c r="L4" s="3701">
        <v>44237.000497685185</v>
      </c>
      <c r="M4" s="3700">
        <v>146578</v>
      </c>
      <c r="N4" s="3700">
        <v>14300</v>
      </c>
      <c r="O4" s="3700">
        <v>0</v>
      </c>
      <c r="P4" s="3700" t="s">
        <v>3438</v>
      </c>
      <c r="Q4" s="3700">
        <v>45000</v>
      </c>
    </row>
    <row r="5" spans="1:17" ht="15.6">
      <c r="A5" s="3696" t="s">
        <v>3439</v>
      </c>
      <c r="B5" s="3696" t="s">
        <v>3440</v>
      </c>
      <c r="C5" s="3696" t="s">
        <v>3420</v>
      </c>
      <c r="D5" s="3696" t="s">
        <v>3435</v>
      </c>
      <c r="E5" s="3696" t="s">
        <v>3422</v>
      </c>
      <c r="F5" s="3696" t="s">
        <v>3436</v>
      </c>
      <c r="G5" s="3696" t="s">
        <v>3441</v>
      </c>
      <c r="H5" s="3696">
        <v>147241</v>
      </c>
      <c r="I5" s="3696">
        <v>62136.68</v>
      </c>
      <c r="J5" s="3696" t="s">
        <v>3442</v>
      </c>
      <c r="K5" s="3696">
        <v>206138</v>
      </c>
      <c r="L5" s="3699">
        <v>44190.000497685185</v>
      </c>
      <c r="M5" s="3696">
        <v>206138</v>
      </c>
      <c r="N5" s="3696">
        <v>14000</v>
      </c>
      <c r="O5" s="3696">
        <v>0</v>
      </c>
      <c r="P5" s="3696" t="s">
        <v>3443</v>
      </c>
      <c r="Q5" s="3696">
        <v>62000</v>
      </c>
    </row>
    <row r="6" spans="1:17" s="3463" customFormat="1" ht="15.6">
      <c r="A6" s="3697" t="s">
        <v>3444</v>
      </c>
      <c r="B6" s="3697" t="s">
        <v>3445</v>
      </c>
      <c r="C6" s="3697" t="s">
        <v>3420</v>
      </c>
      <c r="D6" s="3697" t="s">
        <v>3428</v>
      </c>
      <c r="E6" s="3697" t="s">
        <v>3422</v>
      </c>
      <c r="F6" s="3697" t="s">
        <v>3429</v>
      </c>
      <c r="G6" s="3697" t="s">
        <v>3430</v>
      </c>
      <c r="H6" s="3697">
        <v>159882</v>
      </c>
      <c r="I6" s="3697">
        <v>72673.490000000005</v>
      </c>
      <c r="J6" s="3697" t="s">
        <v>3446</v>
      </c>
      <c r="K6" s="3697">
        <v>252613.56</v>
      </c>
      <c r="L6" s="3698">
        <v>44189.000497685185</v>
      </c>
      <c r="M6" s="3697">
        <v>252613.56</v>
      </c>
      <c r="N6" s="3697">
        <v>15800</v>
      </c>
      <c r="O6" s="3697">
        <v>0</v>
      </c>
      <c r="P6" s="3697" t="s">
        <v>3447</v>
      </c>
      <c r="Q6" s="3697">
        <v>80000</v>
      </c>
    </row>
    <row r="7" spans="1:17" s="3463" customFormat="1" ht="15.6">
      <c r="A7" s="3697" t="s">
        <v>3448</v>
      </c>
      <c r="B7" s="3697" t="s">
        <v>3449</v>
      </c>
      <c r="C7" s="3697" t="s">
        <v>3420</v>
      </c>
      <c r="D7" s="3697" t="s">
        <v>3435</v>
      </c>
      <c r="E7" s="3697" t="s">
        <v>3422</v>
      </c>
      <c r="F7" s="3697" t="s">
        <v>3450</v>
      </c>
      <c r="G7" s="3697" t="s">
        <v>3430</v>
      </c>
      <c r="H7" s="3697">
        <v>109675.25</v>
      </c>
      <c r="I7" s="3697">
        <v>43870.1</v>
      </c>
      <c r="J7" s="3697" t="s">
        <v>3451</v>
      </c>
      <c r="K7" s="3697">
        <v>148061.57999999999</v>
      </c>
      <c r="L7" s="3698">
        <v>44187.000497685185</v>
      </c>
      <c r="M7" s="3697">
        <v>148061.57999999999</v>
      </c>
      <c r="N7" s="3697">
        <v>13500</v>
      </c>
      <c r="O7" s="3697">
        <v>0</v>
      </c>
      <c r="P7" s="3697" t="s">
        <v>3452</v>
      </c>
      <c r="Q7" s="3697">
        <v>45000</v>
      </c>
    </row>
    <row r="8" spans="1:17" ht="15.6">
      <c r="A8" s="3696" t="s">
        <v>3453</v>
      </c>
      <c r="B8" s="3696" t="s">
        <v>3454</v>
      </c>
      <c r="C8" s="3696" t="s">
        <v>3420</v>
      </c>
      <c r="D8" s="3696" t="s">
        <v>3435</v>
      </c>
      <c r="E8" s="3696" t="s">
        <v>3422</v>
      </c>
      <c r="F8" s="3696" t="s">
        <v>3436</v>
      </c>
      <c r="G8" s="3696" t="s">
        <v>3441</v>
      </c>
      <c r="H8" s="3696">
        <v>108059</v>
      </c>
      <c r="I8" s="3696">
        <v>47891.78</v>
      </c>
      <c r="J8" s="3696" t="s">
        <v>3455</v>
      </c>
      <c r="K8" s="3696">
        <v>151283</v>
      </c>
      <c r="L8" s="3699">
        <v>43720.000497685185</v>
      </c>
      <c r="M8" s="3696">
        <v>151283</v>
      </c>
      <c r="N8" s="3696">
        <v>14000</v>
      </c>
      <c r="O8" s="3696">
        <v>0</v>
      </c>
      <c r="P8" s="3696" t="s">
        <v>3456</v>
      </c>
      <c r="Q8" s="3696">
        <v>50000</v>
      </c>
    </row>
    <row r="9" spans="1:17" ht="15.6">
      <c r="A9" s="3696" t="s">
        <v>3457</v>
      </c>
      <c r="B9" s="3696" t="s">
        <v>3458</v>
      </c>
      <c r="C9" s="3696" t="s">
        <v>3420</v>
      </c>
      <c r="D9" s="3696" t="s">
        <v>3428</v>
      </c>
      <c r="E9" s="3696" t="s">
        <v>3422</v>
      </c>
      <c r="F9" s="3696" t="s">
        <v>3459</v>
      </c>
      <c r="G9" s="3696" t="s">
        <v>3430</v>
      </c>
      <c r="H9" s="3696">
        <v>80571</v>
      </c>
      <c r="I9" s="3696">
        <v>40285.32</v>
      </c>
      <c r="J9" s="3696" t="s">
        <v>3460</v>
      </c>
      <c r="K9" s="3696">
        <v>127302.2</v>
      </c>
      <c r="L9" s="3699">
        <v>43532.000497685185</v>
      </c>
      <c r="M9" s="3696">
        <v>127302.2</v>
      </c>
      <c r="N9" s="3696">
        <v>15800</v>
      </c>
      <c r="O9" s="3696">
        <v>0</v>
      </c>
      <c r="P9" s="3696" t="s">
        <v>3461</v>
      </c>
      <c r="Q9" s="3696">
        <v>40000</v>
      </c>
    </row>
    <row r="10" spans="1:17" ht="15.6">
      <c r="A10" s="3696" t="s">
        <v>3462</v>
      </c>
      <c r="B10" s="3696" t="s">
        <v>3463</v>
      </c>
      <c r="C10" s="3696" t="s">
        <v>3420</v>
      </c>
      <c r="D10" s="3696" t="s">
        <v>3428</v>
      </c>
      <c r="E10" s="3696" t="s">
        <v>3422</v>
      </c>
      <c r="F10" s="3696" t="s">
        <v>3464</v>
      </c>
      <c r="G10" s="3696" t="s">
        <v>3430</v>
      </c>
      <c r="H10" s="3696">
        <v>53400</v>
      </c>
      <c r="I10" s="3696">
        <v>26700</v>
      </c>
      <c r="J10" s="3696" t="s">
        <v>3465</v>
      </c>
      <c r="K10" s="3696">
        <v>45428</v>
      </c>
      <c r="L10" s="3699">
        <v>42384.000497685185</v>
      </c>
      <c r="M10" s="3696">
        <v>80500</v>
      </c>
      <c r="N10" s="3696">
        <v>15075</v>
      </c>
      <c r="O10" s="3696">
        <v>0.77200000000000002</v>
      </c>
      <c r="P10" s="3696" t="s">
        <v>3466</v>
      </c>
      <c r="Q10" s="3696">
        <v>9000</v>
      </c>
    </row>
  </sheetData>
  <mergeCells count="170">
    <mergeCell ref="P9"/>
    <mergeCell ref="I8"/>
    <mergeCell ref="J8"/>
    <mergeCell ref="K8"/>
    <mergeCell ref="L8"/>
    <mergeCell ref="M8"/>
    <mergeCell ref="N8"/>
    <mergeCell ref="O8"/>
    <mergeCell ref="Q10"/>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A8"/>
    <mergeCell ref="B8"/>
    <mergeCell ref="C8"/>
    <mergeCell ref="D8"/>
    <mergeCell ref="E8"/>
    <mergeCell ref="F8"/>
    <mergeCell ref="G8"/>
    <mergeCell ref="H8"/>
    <mergeCell ref="Q9"/>
    <mergeCell ref="A9"/>
    <mergeCell ref="B9"/>
    <mergeCell ref="C9"/>
    <mergeCell ref="D9"/>
    <mergeCell ref="E9"/>
    <mergeCell ref="F9"/>
    <mergeCell ref="G9"/>
    <mergeCell ref="H9"/>
    <mergeCell ref="I9"/>
    <mergeCell ref="J9"/>
    <mergeCell ref="K9"/>
    <mergeCell ref="L9"/>
    <mergeCell ref="M9"/>
    <mergeCell ref="N9"/>
    <mergeCell ref="O9"/>
    <mergeCell ref="J7"/>
    <mergeCell ref="K7"/>
    <mergeCell ref="L7"/>
    <mergeCell ref="M7"/>
    <mergeCell ref="N7"/>
    <mergeCell ref="O7"/>
    <mergeCell ref="P7"/>
    <mergeCell ref="Q7"/>
    <mergeCell ref="P8"/>
    <mergeCell ref="Q8"/>
    <mergeCell ref="A7"/>
    <mergeCell ref="B7"/>
    <mergeCell ref="C7"/>
    <mergeCell ref="D7"/>
    <mergeCell ref="E7"/>
    <mergeCell ref="F7"/>
    <mergeCell ref="G7"/>
    <mergeCell ref="H7"/>
    <mergeCell ref="I7"/>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A4"/>
    <mergeCell ref="B4"/>
    <mergeCell ref="C4"/>
    <mergeCell ref="D4"/>
    <mergeCell ref="E4"/>
    <mergeCell ref="F4"/>
    <mergeCell ref="G4"/>
    <mergeCell ref="H4"/>
    <mergeCell ref="I4"/>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1"/>
    <mergeCell ref="D1"/>
    <mergeCell ref="E1"/>
    <mergeCell ref="F1"/>
    <mergeCell ref="G1"/>
    <mergeCell ref="H1"/>
    <mergeCell ref="I1"/>
  </mergeCells>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38" sqref="N3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10.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0"/>
      <c r="C1" s="1191"/>
      <c r="D1" s="1189"/>
      <c r="E1" s="2804"/>
      <c r="F1" s="2804"/>
      <c r="G1" s="2669"/>
      <c r="H1" s="2804"/>
      <c r="I1" s="2804"/>
      <c r="J1" s="2804"/>
      <c r="K1" s="2805">
        <f>MATCH(C1,'数据-取费表'!A6:A16,0)+5</f>
        <v>9</v>
      </c>
    </row>
    <row r="2" spans="1:33" ht="18" customHeight="1">
      <c r="A2" s="201" t="s">
        <v>1461</v>
      </c>
      <c r="B2" s="204">
        <f ca="1">C32</f>
        <v>100463</v>
      </c>
      <c r="C2" s="276" t="s">
        <v>1594</v>
      </c>
      <c r="D2" s="276"/>
      <c r="E2" s="2804"/>
      <c r="F2" s="2804"/>
      <c r="G2" s="2804"/>
      <c r="H2" s="2804"/>
      <c r="I2" s="2804"/>
      <c r="J2" s="2804"/>
      <c r="K2" s="2804"/>
    </row>
    <row r="3" spans="1:33" ht="18" customHeight="1" thickBot="1">
      <c r="A3" s="203" t="s">
        <v>1463</v>
      </c>
      <c r="B3" s="204">
        <f ca="1">ROUND(B2*10000/IF(C1="",'数据-汇总表'!E3,INDIRECT("'数据-取费表'!K"&amp;$K$1)),0)</f>
        <v>6723</v>
      </c>
      <c r="C3" s="276" t="s">
        <v>1595</v>
      </c>
      <c r="D3" s="276"/>
      <c r="E3" s="2804"/>
      <c r="F3" s="2804"/>
      <c r="G3" s="2804"/>
      <c r="H3" s="2804"/>
      <c r="I3" s="2804"/>
      <c r="J3" s="2804"/>
      <c r="K3" s="2804"/>
    </row>
    <row r="4" spans="1:33" s="785" customFormat="1" ht="16.5" customHeight="1">
      <c r="A4" s="782" t="s">
        <v>1596</v>
      </c>
      <c r="B4" s="783"/>
      <c r="C4" s="824">
        <f ca="1">SUM(C8:K8)</f>
        <v>174385</v>
      </c>
      <c r="D4" s="783"/>
      <c r="E4" s="783"/>
      <c r="F4" s="783"/>
      <c r="G4" s="783"/>
      <c r="H4" s="783"/>
      <c r="I4" s="783"/>
      <c r="J4" s="783"/>
      <c r="K4" s="784"/>
    </row>
    <row r="5" spans="1:33" s="789" customFormat="1" ht="14.4">
      <c r="A5" s="786" t="s">
        <v>1597</v>
      </c>
      <c r="B5" s="787" t="s">
        <v>1598</v>
      </c>
      <c r="C5" s="1859" t="s">
        <v>3378</v>
      </c>
      <c r="D5" s="1859" t="s">
        <v>21</v>
      </c>
      <c r="E5" s="1859" t="s">
        <v>3384</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'收益法-酒店模型'!B3</f>
        <v>16574</v>
      </c>
      <c r="D6" s="791">
        <f ca="1">收益法!B3</f>
        <v>17277</v>
      </c>
      <c r="E6" s="791">
        <f ca="1">'收益法(车库)'!B3</f>
        <v>415</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79695.39</v>
      </c>
      <c r="D7" s="277">
        <f>SUMIF('数据-汇总表'!$C19:$C33,假设开发法!D5,'数据-汇总表'!$E19:$E33)</f>
        <v>23884.32</v>
      </c>
      <c r="E7" s="277">
        <f>SUMIF('数据-汇总表'!$C19:$C33,假设开发法!E5,'数据-汇总表'!$E19:$E33)</f>
        <v>24830.799999999999</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f ca="1">'收益法-酒店模型'!B2</f>
        <v>132090</v>
      </c>
      <c r="D8" s="825">
        <f ca="1">收益法!B2</f>
        <v>41264</v>
      </c>
      <c r="E8" s="825">
        <f ca="1">'收益法(车库)'!B2</f>
        <v>1031</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36740</v>
      </c>
      <c r="D11" s="802"/>
      <c r="E11" s="329"/>
      <c r="F11" s="812">
        <f ca="1">1-IF('数据-取费表'!B24=0,1,IF(C1="",'数据-取费表'!N16,INDIRECT("'数据-取费表'!n"&amp;$K$1)))</f>
        <v>0.47199999999999998</v>
      </c>
      <c r="G11" s="5"/>
      <c r="H11" s="797"/>
      <c r="I11" s="797"/>
      <c r="J11" s="797"/>
      <c r="K11" s="798"/>
    </row>
    <row r="12" spans="1:33" s="803" customFormat="1" ht="13.5" customHeight="1">
      <c r="A12" s="800" t="s">
        <v>636</v>
      </c>
      <c r="B12" s="801" t="s">
        <v>1612</v>
      </c>
      <c r="C12" s="21">
        <f ca="1">ROUND(C11*F12,0)</f>
        <v>1470</v>
      </c>
      <c r="D12" s="802"/>
      <c r="E12" s="329"/>
      <c r="F12" s="812">
        <f>'数据-取费表'!B33</f>
        <v>0.04</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1411</v>
      </c>
      <c r="D14" s="846">
        <f ca="1">IF(C1="",'数据-汇总表'!E3,INDIRECT("'数据-取费表'!K"&amp;$K$1)+INDIRECT("'数据-取费表'!S"&amp;$K$1))</f>
        <v>149436.09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551</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40172</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149436.09</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1626</v>
      </c>
      <c r="C20" s="21">
        <f ca="1">ROUND(D20*E20/10000,0)</f>
        <v>2989</v>
      </c>
      <c r="D20" s="846">
        <f ca="1">IF(C1="",'数据-汇总表'!E6,IF(INDIRECT("'数据-取费表'!c"&amp;$K$1)="住宅",INDIRECT("'数据-取费表'!s"&amp;$K$1),INDIRECT("'数据-取费表'!k"&amp;$K$1)+INDIRECT("'数据-取费表'!s"&amp;$K$1)))</f>
        <v>149436.09</v>
      </c>
      <c r="E20" s="21">
        <f>'数据-取费表'!B28</f>
        <v>200</v>
      </c>
      <c r="F20" s="804"/>
      <c r="G20" s="12"/>
      <c r="H20" s="809"/>
      <c r="I20" s="809"/>
      <c r="J20" s="809"/>
      <c r="K20" s="810"/>
    </row>
    <row r="21" spans="1:33" s="803" customFormat="1" ht="13.5" customHeight="1">
      <c r="A21" s="790" t="s">
        <v>357</v>
      </c>
      <c r="B21" s="813" t="s">
        <v>1627</v>
      </c>
      <c r="C21" s="814">
        <f ca="1">C16+C17+C18</f>
        <v>40172</v>
      </c>
      <c r="D21" s="815"/>
      <c r="E21" s="281"/>
      <c r="F21" s="281"/>
      <c r="G21" s="131" t="s">
        <v>1628</v>
      </c>
      <c r="H21" s="807"/>
      <c r="I21" s="807"/>
      <c r="J21" s="807"/>
      <c r="K21" s="808"/>
    </row>
    <row r="22" spans="1:33" s="803" customFormat="1" ht="13.5" customHeight="1">
      <c r="A22" s="790" t="s">
        <v>1600</v>
      </c>
      <c r="B22" s="813" t="s">
        <v>1629</v>
      </c>
      <c r="C22" s="814">
        <f ca="1">ROUND(C21*F22,0)</f>
        <v>803</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1646</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1245</v>
      </c>
      <c r="D25" s="280">
        <f ca="1">C26</f>
        <v>6.0999999999999999E-2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6.0999999999999999E-2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1245</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5541</v>
      </c>
      <c r="D28" s="280">
        <f ca="1">C29</f>
        <v>6.3100000000000003E-2</v>
      </c>
      <c r="E28" s="282" t="s">
        <v>12</v>
      </c>
      <c r="F28" s="288">
        <f ca="1">IF(C1="",'数据-取费表'!Q16,INDIRECT("'数据-取费表'!q"&amp;$K$1))</f>
        <v>0.13</v>
      </c>
      <c r="G28" s="817"/>
      <c r="H28" s="818"/>
      <c r="I28" s="818"/>
      <c r="J28" s="818"/>
      <c r="K28" s="819"/>
    </row>
    <row r="29" spans="1:33" s="291" customFormat="1" ht="13.5" customHeight="1">
      <c r="A29" s="800" t="s">
        <v>358</v>
      </c>
      <c r="B29" s="822" t="s">
        <v>1642</v>
      </c>
      <c r="C29" s="284">
        <f ca="1">ROUND((1+C24)*F28*'数据-取费表'!B24/'数据-取费表'!B20,4)</f>
        <v>6.3100000000000003E-2</v>
      </c>
      <c r="D29" s="284"/>
      <c r="E29" s="285"/>
      <c r="F29" s="290"/>
      <c r="G29" s="131" t="s">
        <v>1643</v>
      </c>
      <c r="H29" s="807"/>
      <c r="I29" s="807"/>
      <c r="J29" s="807"/>
      <c r="K29" s="808"/>
    </row>
    <row r="30" spans="1:33" s="291" customFormat="1" ht="13.5" customHeight="1">
      <c r="A30" s="800" t="s">
        <v>359</v>
      </c>
      <c r="B30" s="822" t="s">
        <v>1644</v>
      </c>
      <c r="C30" s="292">
        <f ca="1">ROUND((C21+C22+C23)*F28,0)</f>
        <v>5541</v>
      </c>
      <c r="D30" s="284"/>
      <c r="E30" s="285"/>
      <c r="F30" s="290"/>
      <c r="G30" s="131"/>
      <c r="H30" s="807"/>
      <c r="I30" s="807"/>
      <c r="J30" s="807"/>
      <c r="K30" s="808"/>
    </row>
    <row r="31" spans="1:33" s="803" customFormat="1" ht="13.5" customHeight="1" thickBot="1">
      <c r="A31" s="1865" t="s">
        <v>1645</v>
      </c>
      <c r="B31" s="833" t="s">
        <v>1646</v>
      </c>
      <c r="C31" s="834">
        <f ca="1">ROUND(C4*F31/(1+'数据-取费表'!C42),0)</f>
        <v>9134</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100463</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3" sqref="D2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21</v>
      </c>
      <c r="D1" s="1361" t="s">
        <v>3393</v>
      </c>
      <c r="E1" s="1362" t="s">
        <v>678</v>
      </c>
      <c r="F1" s="1062">
        <f ca="1">J53</f>
        <v>44.884</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41264</v>
      </c>
      <c r="C2" s="1386" t="s">
        <v>805</v>
      </c>
      <c r="D2" s="1386"/>
      <c r="E2" s="1387"/>
      <c r="F2" s="1388"/>
      <c r="G2" s="2704"/>
      <c r="H2" s="2693"/>
      <c r="I2" s="2693"/>
      <c r="J2" s="2693"/>
      <c r="K2" s="2694"/>
      <c r="L2" s="2693"/>
      <c r="M2" s="2693"/>
    </row>
    <row r="3" spans="1:37" ht="18" customHeight="1" thickBot="1">
      <c r="A3" s="1389" t="s">
        <v>806</v>
      </c>
      <c r="B3" s="1390">
        <f ca="1">IF(ISERROR(B2*10000/F43),0,ROUND(B2*10000/F43,0))</f>
        <v>17277</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2357</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2354</v>
      </c>
      <c r="D6" s="155" t="s">
        <v>2108</v>
      </c>
      <c r="E6" s="302" t="s">
        <v>696</v>
      </c>
      <c r="F6" s="303">
        <f ca="1">INDIRECT("'数据-取费表'!u"&amp;$G$1)</f>
        <v>3</v>
      </c>
      <c r="G6" s="1383"/>
      <c r="H6" s="1069" t="s">
        <v>398</v>
      </c>
      <c r="I6" s="3704" t="s">
        <v>694</v>
      </c>
      <c r="J6" s="301">
        <f ca="1">ROUND(M6*M8*M7*(1-M9)/10000,0)</f>
        <v>0</v>
      </c>
      <c r="K6" s="155" t="s">
        <v>2107</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23884.32</v>
      </c>
      <c r="G7" s="1383"/>
      <c r="H7" s="304"/>
      <c r="I7" s="3705"/>
      <c r="J7" s="306"/>
      <c r="K7" s="307"/>
      <c r="L7" s="302" t="s">
        <v>697</v>
      </c>
      <c r="M7" s="303">
        <f ca="1">F7</f>
        <v>23884.32</v>
      </c>
    </row>
    <row r="8" spans="1:37" ht="18" customHeight="1">
      <c r="A8" s="304"/>
      <c r="B8" s="3705"/>
      <c r="C8" s="306"/>
      <c r="D8" s="307"/>
      <c r="E8" s="302" t="s">
        <v>698</v>
      </c>
      <c r="F8" s="303">
        <f ca="1">INDIRECT("'数据-取费表'!ai"&amp;$G$1)</f>
        <v>365</v>
      </c>
      <c r="G8" s="1383"/>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3</v>
      </c>
      <c r="D10" s="1365" t="s">
        <v>2116</v>
      </c>
      <c r="E10" s="313" t="s">
        <v>701</v>
      </c>
      <c r="F10" s="1116" t="s">
        <v>3394</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14220</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9533</v>
      </c>
      <c r="D14" s="1344" t="s">
        <v>708</v>
      </c>
      <c r="E14" s="1341"/>
      <c r="F14" s="319"/>
      <c r="G14" s="1383"/>
      <c r="H14" s="982" t="s">
        <v>398</v>
      </c>
      <c r="I14" s="302" t="s">
        <v>709</v>
      </c>
      <c r="J14" s="21">
        <f ca="1">C29</f>
        <v>14220</v>
      </c>
      <c r="K14" s="12"/>
      <c r="L14" s="807"/>
      <c r="M14" s="808"/>
    </row>
    <row r="15" spans="1:37" s="1396" customFormat="1" ht="18" customHeight="1" thickBot="1">
      <c r="A15" s="982" t="s">
        <v>399</v>
      </c>
      <c r="B15" s="302" t="s">
        <v>710</v>
      </c>
      <c r="C15" s="21">
        <f ca="1">ROUND(C14*F15,0)</f>
        <v>381</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214</v>
      </c>
      <c r="K16" s="1087" t="s">
        <v>715</v>
      </c>
      <c r="L16" s="1088"/>
      <c r="M16" s="1072"/>
    </row>
    <row r="17" spans="1:37" s="1396" customFormat="1" ht="18" customHeight="1">
      <c r="A17" s="982" t="s">
        <v>681</v>
      </c>
      <c r="B17" s="302" t="s">
        <v>716</v>
      </c>
      <c r="C17" s="21">
        <f ca="1">ROUND(F17*(F43+INDIRECT("'数据-取费表'!S"&amp;$G$1))/10000,0)</f>
        <v>556</v>
      </c>
      <c r="D17" s="302" t="s">
        <v>717</v>
      </c>
      <c r="E17" s="302" t="s">
        <v>718</v>
      </c>
      <c r="F17" s="23">
        <f>'数据-取费表'!B35</f>
        <v>200</v>
      </c>
      <c r="G17" s="1395"/>
      <c r="H17" s="982" t="s">
        <v>398</v>
      </c>
      <c r="I17" s="302" t="s">
        <v>719</v>
      </c>
      <c r="J17" s="2315">
        <f ca="1">ROUND(IF(AND(项目基本情况!B11="自然人",项目基本情况!B10="北京市"),J6*M17/(1+'数据-取费表'!C42),J18+J19+J20),2)</f>
        <v>1.04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143</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10613</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212</v>
      </c>
      <c r="D20" s="323" t="s">
        <v>729</v>
      </c>
      <c r="E20" s="302" t="s">
        <v>712</v>
      </c>
      <c r="F20" s="322">
        <f>'数据-取费表'!B37</f>
        <v>0.02</v>
      </c>
      <c r="G20" s="1395"/>
      <c r="H20" s="982" t="s">
        <v>680</v>
      </c>
      <c r="I20" s="155" t="s">
        <v>730</v>
      </c>
      <c r="J20" s="22">
        <f ca="1">ROUND(M20*M21/10000,2)</f>
        <v>1.04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6940.6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213.3</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680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-214</v>
      </c>
      <c r="K25" s="1095" t="s">
        <v>753</v>
      </c>
      <c r="L25" s="1096"/>
      <c r="M25" s="1097"/>
    </row>
    <row r="26" spans="1:37">
      <c r="A26" s="982" t="s">
        <v>397</v>
      </c>
      <c r="B26" s="302" t="s">
        <v>754</v>
      </c>
      <c r="C26" s="21">
        <f ca="1">ROUND((C19+C20)*F26,0)</f>
        <v>1624</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14220</v>
      </c>
      <c r="D29" s="1092"/>
      <c r="E29" s="1090"/>
      <c r="F29" s="1093"/>
      <c r="G29" s="1395"/>
      <c r="H29" s="334" t="s">
        <v>396</v>
      </c>
      <c r="I29" s="335" t="s">
        <v>768</v>
      </c>
      <c r="J29" s="336">
        <f ca="1">ROUND(J26/(1+F40)^F41,0)</f>
        <v>0</v>
      </c>
      <c r="K29" s="337" t="s">
        <v>769</v>
      </c>
      <c r="L29" s="338"/>
      <c r="M29" s="339">
        <f ca="1">INDIRECT("'数据-取费表'!k"&amp;$G$1)</f>
        <v>23884.32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652</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393.37</v>
      </c>
      <c r="D31" s="1344" t="s">
        <v>720</v>
      </c>
      <c r="E31" s="1343" t="s">
        <v>770</v>
      </c>
      <c r="F31" s="2314"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IF(项目基本情况!B11="自然人","——",ROUND(C6*F32/(1+'数据-取费表'!C42),2))</f>
        <v>123.3</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269.02999999999997</v>
      </c>
      <c r="D33" s="1369" t="s">
        <v>3343</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1.04</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6940.6</v>
      </c>
      <c r="G35" s="1383"/>
      <c r="H35" s="2695"/>
      <c r="I35" s="1397"/>
      <c r="J35" s="1398"/>
      <c r="K35" s="2699"/>
      <c r="L35" s="2698"/>
      <c r="M35" s="2698"/>
    </row>
    <row r="36" spans="1:18" ht="18" customHeight="1">
      <c r="A36" s="1102" t="s">
        <v>402</v>
      </c>
      <c r="B36" s="302" t="s">
        <v>738</v>
      </c>
      <c r="C36" s="21">
        <f ca="1">ROUND(C29*F36,2)</f>
        <v>213.3</v>
      </c>
      <c r="D36" s="1343" t="s">
        <v>771</v>
      </c>
      <c r="E36" s="302" t="s">
        <v>712</v>
      </c>
      <c r="F36" s="328">
        <f ca="1">INDIRECT("'数据-取费表'!Ak"&amp;$G$1)</f>
        <v>1.4999999999999999E-2</v>
      </c>
      <c r="G36" s="1383"/>
      <c r="H36" s="2698"/>
      <c r="I36" s="1397"/>
      <c r="J36" s="1398"/>
      <c r="K36" s="2542"/>
      <c r="L36" s="2698"/>
      <c r="M36" s="2698"/>
    </row>
    <row r="37" spans="1:18" ht="18" customHeight="1">
      <c r="A37" s="982" t="s">
        <v>437</v>
      </c>
      <c r="B37" s="302" t="s">
        <v>742</v>
      </c>
      <c r="C37" s="21">
        <f ca="1">ROUND(C13*F37,2)</f>
        <v>21.33</v>
      </c>
      <c r="D37" s="1343" t="s">
        <v>743</v>
      </c>
      <c r="E37" s="302" t="s">
        <v>744</v>
      </c>
      <c r="F37" s="330">
        <f ca="1">INDIRECT("'数据-取费表'!Al"&amp;$G$1)</f>
        <v>1.5E-3</v>
      </c>
      <c r="G37" s="1383"/>
      <c r="H37" s="2698"/>
      <c r="I37" s="1397"/>
      <c r="J37" s="1398"/>
      <c r="K37" s="2542"/>
      <c r="L37" s="2698"/>
      <c r="M37" s="2698"/>
    </row>
    <row r="38" spans="1:18" ht="18" customHeight="1" thickBot="1">
      <c r="A38" s="1089" t="s">
        <v>684</v>
      </c>
      <c r="B38" s="1090" t="s">
        <v>728</v>
      </c>
      <c r="C38" s="1091">
        <f ca="1">ROUND(C5*F38,2)</f>
        <v>23.57</v>
      </c>
      <c r="D38" s="1092" t="s">
        <v>748</v>
      </c>
      <c r="E38" s="1090" t="s">
        <v>744</v>
      </c>
      <c r="F38" s="1086">
        <f ca="1">INDIRECT("'数据-取费表'!Am"&amp;$G$1)</f>
        <v>0.01</v>
      </c>
      <c r="G38" s="1383"/>
      <c r="H38" s="2698"/>
      <c r="I38" s="1397"/>
      <c r="J38" s="1398"/>
      <c r="K38" s="2702"/>
      <c r="L38" s="2698"/>
      <c r="M38" s="2698"/>
    </row>
    <row r="39" spans="1:18" ht="24.6" customHeight="1" thickTop="1">
      <c r="A39" s="1079" t="s">
        <v>394</v>
      </c>
      <c r="B39" s="1094" t="s">
        <v>772</v>
      </c>
      <c r="C39" s="310">
        <f ca="1">C5-C30</f>
        <v>1705</v>
      </c>
      <c r="D39" s="1095" t="s">
        <v>773</v>
      </c>
      <c r="E39" s="1096"/>
      <c r="F39" s="1097"/>
      <c r="G39" s="1383"/>
      <c r="H39" s="2698"/>
      <c r="I39" s="1397"/>
      <c r="J39" s="1398"/>
      <c r="K39" s="2702"/>
      <c r="L39" s="2698"/>
      <c r="M39" s="2698"/>
    </row>
    <row r="40" spans="1:18" ht="18" customHeight="1">
      <c r="A40" s="299" t="s">
        <v>395</v>
      </c>
      <c r="B40" s="300" t="s">
        <v>774</v>
      </c>
      <c r="C40" s="301">
        <f ca="1">ROUND(C39*(1-((1+F42)/(1+F40))^F41)/(F40-F42),0)</f>
        <v>41264</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44.884</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ROUND(C40*10000/F43,0)</f>
        <v>17277</v>
      </c>
      <c r="D43" s="337" t="s">
        <v>777</v>
      </c>
      <c r="E43" s="338" t="s">
        <v>778</v>
      </c>
      <c r="F43" s="339">
        <f ca="1">INDIRECT("'数据-取费表'!k"&amp;$G$1)</f>
        <v>23884.32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8" thickBot="1">
      <c r="A46" s="1403" t="s">
        <v>809</v>
      </c>
      <c r="C46" s="1404">
        <f ca="1">C68-C40</f>
        <v>-45167</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t="s">
        <v>3395</v>
      </c>
      <c r="K47" s="1415" t="s">
        <v>816</v>
      </c>
      <c r="L47" s="1416">
        <f ca="1">INDIRECT("'数据-取费表'!d"&amp;$G$1)</f>
        <v>50</v>
      </c>
      <c r="M47" s="1379" t="str">
        <f>IF(ISNUMBER(FIND("住宅",C1)),"住宅","非住宅")</f>
        <v>非住宅</v>
      </c>
      <c r="O47" s="1417" t="s">
        <v>403</v>
      </c>
      <c r="P47" s="1418" t="s">
        <v>817</v>
      </c>
      <c r="Q47" s="1419">
        <f ca="1">C40+J29</f>
        <v>41264</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3396</v>
      </c>
      <c r="K48" s="1422" t="s">
        <v>820</v>
      </c>
      <c r="L48" s="1423">
        <f ca="1">INDIRECT("'数据-取费表'!f"&amp;$G$1)</f>
        <v>46.3</v>
      </c>
      <c r="O48" s="1417" t="s">
        <v>404</v>
      </c>
      <c r="P48" s="1418" t="s">
        <v>821</v>
      </c>
      <c r="Q48" s="1419" t="str">
        <f ca="1">J60</f>
        <v>0</v>
      </c>
      <c r="R48" s="1419" t="s">
        <v>822</v>
      </c>
    </row>
    <row r="49" spans="1:18" s="1383" customFormat="1" ht="13.8" thickBot="1">
      <c r="A49" s="975" t="s">
        <v>439</v>
      </c>
      <c r="B49" s="1370" t="s">
        <v>779</v>
      </c>
      <c r="C49" s="1114">
        <f ca="1">ROUND(F49*F51*F50*(1-F52)/10000,0)</f>
        <v>0</v>
      </c>
      <c r="D49" s="1055" t="s">
        <v>2109</v>
      </c>
      <c r="E49" s="1371" t="s">
        <v>780</v>
      </c>
      <c r="F49" s="1060"/>
      <c r="G49" s="1424"/>
      <c r="H49" s="723"/>
      <c r="I49" s="1420" t="s">
        <v>823</v>
      </c>
      <c r="J49" s="1425"/>
      <c r="K49" s="1422" t="s">
        <v>824</v>
      </c>
      <c r="L49" s="1426"/>
      <c r="O49" s="1427" t="s">
        <v>405</v>
      </c>
      <c r="P49" s="1418" t="s">
        <v>825</v>
      </c>
      <c r="Q49" s="1419">
        <f ca="1">C29</f>
        <v>14220</v>
      </c>
      <c r="R49" s="1419" t="s">
        <v>818</v>
      </c>
    </row>
    <row r="50" spans="1:18" s="1383" customFormat="1" ht="13.8" thickBot="1">
      <c r="A50" s="976"/>
      <c r="B50" s="979"/>
      <c r="C50" s="1118"/>
      <c r="D50" s="953"/>
      <c r="E50" s="1056" t="s">
        <v>697</v>
      </c>
      <c r="F50" s="1057">
        <f ca="1">F7</f>
        <v>23884.32</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12086</v>
      </c>
      <c r="M51" s="1435"/>
      <c r="O51" s="1427" t="s">
        <v>407</v>
      </c>
      <c r="P51" s="1418" t="s">
        <v>831</v>
      </c>
      <c r="Q51" s="1430">
        <f>J52</f>
        <v>0.08</v>
      </c>
      <c r="R51" s="1419"/>
    </row>
    <row r="52" spans="1:18" s="1383" customFormat="1" ht="13.8" thickBot="1">
      <c r="A52" s="977"/>
      <c r="B52" s="979"/>
      <c r="C52" s="980"/>
      <c r="D52" s="953"/>
      <c r="E52" s="981" t="s">
        <v>699</v>
      </c>
      <c r="F52" s="1054"/>
      <c r="I52" s="1436" t="s">
        <v>832</v>
      </c>
      <c r="J52" s="1437">
        <v>0.08</v>
      </c>
      <c r="K52" s="1436" t="s">
        <v>833</v>
      </c>
      <c r="L52" s="1437"/>
      <c r="O52" s="1427" t="s">
        <v>408</v>
      </c>
      <c r="P52" s="1418" t="s">
        <v>834</v>
      </c>
      <c r="Q52" s="1419">
        <f ca="1">J53</f>
        <v>44.884</v>
      </c>
      <c r="R52" s="1419" t="s">
        <v>835</v>
      </c>
    </row>
    <row r="53" spans="1:18" s="1383" customFormat="1" ht="36.6"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44.884</v>
      </c>
      <c r="K53" s="3702" t="s">
        <v>837</v>
      </c>
      <c r="L53" s="3703"/>
      <c r="O53" s="1417" t="s">
        <v>409</v>
      </c>
      <c r="P53" s="1418" t="s">
        <v>838</v>
      </c>
      <c r="Q53" s="1419">
        <f ca="1">Q47+Q48</f>
        <v>41264</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14220</v>
      </c>
      <c r="D56" s="1446"/>
      <c r="E56" s="1447"/>
      <c r="F56" s="1439"/>
      <c r="I56" s="1448" t="s">
        <v>842</v>
      </c>
      <c r="J56" s="1449" t="s">
        <v>3380</v>
      </c>
      <c r="K56" s="1420" t="s">
        <v>843</v>
      </c>
      <c r="L56" s="1423" t="str">
        <f ca="1">IF(L48&lt;J51,"——",L48-J53)</f>
        <v>——</v>
      </c>
      <c r="O56" s="1417" t="s">
        <v>403</v>
      </c>
      <c r="P56" s="1418" t="s">
        <v>817</v>
      </c>
      <c r="Q56" s="1419">
        <f ca="1">C40+J29</f>
        <v>41264</v>
      </c>
      <c r="R56" s="1419" t="s">
        <v>818</v>
      </c>
    </row>
    <row r="57" spans="1:18" s="1383" customFormat="1" ht="24.6" thickBot="1">
      <c r="A57" s="1450"/>
      <c r="B57" s="950" t="s">
        <v>767</v>
      </c>
      <c r="C57" s="238">
        <f ca="1">C29</f>
        <v>14220</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8" t="s">
        <v>714</v>
      </c>
      <c r="C58" s="316">
        <f ca="1">ROUND(C59+C64+C65+C66,0)</f>
        <v>236</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8" thickBot="1">
      <c r="A62" s="982" t="s">
        <v>784</v>
      </c>
      <c r="B62" s="949" t="s">
        <v>785</v>
      </c>
      <c r="C62" s="22">
        <f ca="1">IF(项目基本情况!B11="自然人","——",ROUND(F62*F63/10000,2))</f>
        <v>1.04</v>
      </c>
      <c r="D62" s="965" t="s">
        <v>786</v>
      </c>
      <c r="E62" s="950" t="s">
        <v>787</v>
      </c>
      <c r="F62" s="325">
        <f t="shared" si="0"/>
        <v>1.5</v>
      </c>
      <c r="I62" s="1461" t="s">
        <v>858</v>
      </c>
      <c r="J62" s="1462" t="s">
        <v>859</v>
      </c>
      <c r="K62" s="1462" t="s">
        <v>860</v>
      </c>
      <c r="L62" s="1462" t="s">
        <v>861</v>
      </c>
      <c r="M62" s="1463" t="s">
        <v>862</v>
      </c>
      <c r="O62" s="1417" t="s">
        <v>409</v>
      </c>
      <c r="P62" s="1418" t="s">
        <v>863</v>
      </c>
      <c r="Q62" s="1419">
        <f ca="1">Q56+Q57</f>
        <v>41264</v>
      </c>
      <c r="R62" s="1419" t="s">
        <v>410</v>
      </c>
    </row>
    <row r="63" spans="1:18" s="1383" customFormat="1" ht="13.8" thickBot="1">
      <c r="A63" s="326"/>
      <c r="B63" s="956"/>
      <c r="C63" s="26"/>
      <c r="D63" s="966"/>
      <c r="E63" s="950" t="s">
        <v>788</v>
      </c>
      <c r="F63" s="303">
        <f t="shared" ca="1" si="0"/>
        <v>6940.6</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213.3</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21.33</v>
      </c>
      <c r="D65" s="964" t="s">
        <v>743</v>
      </c>
      <c r="E65" s="950" t="s">
        <v>744</v>
      </c>
      <c r="F65" s="330">
        <f t="shared" ca="1" si="0"/>
        <v>1.5E-3</v>
      </c>
      <c r="I65" s="1461" t="s">
        <v>867</v>
      </c>
      <c r="J65" s="1462">
        <v>40</v>
      </c>
      <c r="K65" s="1462">
        <v>30</v>
      </c>
      <c r="L65" s="1462">
        <v>50</v>
      </c>
      <c r="M65" s="1464">
        <v>0.02</v>
      </c>
      <c r="O65" s="1417" t="s">
        <v>403</v>
      </c>
      <c r="P65" s="1418" t="s">
        <v>868</v>
      </c>
      <c r="Q65" s="1419">
        <f ca="1">C40+J29</f>
        <v>41264</v>
      </c>
      <c r="R65" s="1419" t="s">
        <v>818</v>
      </c>
    </row>
    <row r="66" spans="1:18" s="1383" customFormat="1" ht="16.2"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24.6" thickBot="1">
      <c r="A67" s="957" t="s">
        <v>394</v>
      </c>
      <c r="B67" s="967" t="s">
        <v>752</v>
      </c>
      <c r="C67" s="316">
        <f ca="1">C48-C58</f>
        <v>-236</v>
      </c>
      <c r="D67" s="963" t="s">
        <v>753</v>
      </c>
      <c r="E67" s="968"/>
      <c r="F67" s="969"/>
      <c r="O67" s="1427" t="s">
        <v>405</v>
      </c>
      <c r="P67" s="1418" t="s">
        <v>850</v>
      </c>
      <c r="Q67" s="1465">
        <f ca="1">L51</f>
        <v>12086</v>
      </c>
      <c r="R67" s="1419" t="s">
        <v>870</v>
      </c>
    </row>
    <row r="68" spans="1:18" s="1383" customFormat="1" ht="16.2" thickBot="1">
      <c r="A68" s="947" t="s">
        <v>395</v>
      </c>
      <c r="B68" s="948" t="s">
        <v>774</v>
      </c>
      <c r="C68" s="301">
        <f ca="1">ROUND(C67*(1-((1+F70)/(1+F68))^F69)/(F68-F70),0)</f>
        <v>-3903</v>
      </c>
      <c r="D68" s="965" t="s">
        <v>758</v>
      </c>
      <c r="E68" s="950" t="s">
        <v>759</v>
      </c>
      <c r="F68" s="312">
        <f ca="1">F40</f>
        <v>5.5E-2</v>
      </c>
      <c r="O68" s="1427" t="s">
        <v>406</v>
      </c>
      <c r="P68" s="1466" t="s">
        <v>871</v>
      </c>
      <c r="Q68" s="1419">
        <f ca="1">ROUND(Q69-Q70*Q71,0)</f>
        <v>639</v>
      </c>
      <c r="R68" s="1419" t="s">
        <v>414</v>
      </c>
    </row>
    <row r="69" spans="1:18" s="1383" customFormat="1" ht="13.8" thickBot="1">
      <c r="A69" s="951"/>
      <c r="B69" s="952"/>
      <c r="C69" s="306"/>
      <c r="D69" s="970" t="s">
        <v>762</v>
      </c>
      <c r="E69" s="950" t="s">
        <v>763</v>
      </c>
      <c r="F69" s="333">
        <f ca="1">F41</f>
        <v>44.884</v>
      </c>
      <c r="O69" s="1427" t="s">
        <v>411</v>
      </c>
      <c r="P69" s="1466" t="s">
        <v>872</v>
      </c>
      <c r="Q69" s="1419">
        <f ca="1">C39</f>
        <v>1705</v>
      </c>
      <c r="R69" s="1419" t="s">
        <v>818</v>
      </c>
    </row>
    <row r="70" spans="1:18" s="1383" customFormat="1" ht="13.8" thickBot="1">
      <c r="A70" s="954"/>
      <c r="B70" s="955"/>
      <c r="C70" s="310"/>
      <c r="D70" s="966"/>
      <c r="E70" s="950" t="s">
        <v>766</v>
      </c>
      <c r="F70" s="1054"/>
      <c r="O70" s="1427" t="s">
        <v>412</v>
      </c>
      <c r="P70" s="1466" t="s">
        <v>873</v>
      </c>
      <c r="Q70" s="1419">
        <f ca="1">C13</f>
        <v>14220</v>
      </c>
      <c r="R70" s="1419" t="s">
        <v>818</v>
      </c>
    </row>
    <row r="71" spans="1:18" s="1383" customFormat="1" ht="13.8" thickBot="1">
      <c r="A71" s="971" t="s">
        <v>396</v>
      </c>
      <c r="B71" s="972" t="s">
        <v>776</v>
      </c>
      <c r="C71" s="336">
        <f ca="1">ROUND(C68*10000/F71,0)</f>
        <v>-1634</v>
      </c>
      <c r="D71" s="973" t="s">
        <v>777</v>
      </c>
      <c r="E71" s="974" t="s">
        <v>778</v>
      </c>
      <c r="F71" s="339">
        <f ca="1">F43</f>
        <v>23884.32</v>
      </c>
      <c r="O71" s="1427" t="s">
        <v>413</v>
      </c>
      <c r="P71" s="1466" t="s">
        <v>874</v>
      </c>
      <c r="Q71" s="1430">
        <f ca="1">C76</f>
        <v>7.4999999999999997E-2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8" thickBot="1">
      <c r="A75" s="1383"/>
      <c r="B75" s="340" t="s">
        <v>795</v>
      </c>
      <c r="C75" s="341">
        <f ca="1">ROUND(C13*C76,0)</f>
        <v>1067</v>
      </c>
      <c r="D75" s="1383"/>
      <c r="E75" s="1383"/>
      <c r="F75" s="1383"/>
      <c r="K75" s="1401"/>
      <c r="L75" s="1383"/>
      <c r="O75" s="1417" t="s">
        <v>409</v>
      </c>
      <c r="P75" s="1418" t="s">
        <v>838</v>
      </c>
      <c r="Q75" s="1419">
        <f ca="1">Q65+Q66</f>
        <v>41264</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0.374</v>
      </c>
    </row>
    <row r="80" spans="1:18">
      <c r="B80" s="340" t="s">
        <v>800</v>
      </c>
      <c r="C80" s="274">
        <f ca="1">ROUND(C75/C39,3)</f>
        <v>0.626</v>
      </c>
    </row>
    <row r="81" spans="2:3">
      <c r="B81" s="270" t="s">
        <v>801</v>
      </c>
      <c r="C81" s="238"/>
    </row>
    <row r="82" spans="2:3">
      <c r="B82" s="273" t="s">
        <v>802</v>
      </c>
      <c r="C82" s="275">
        <f ca="1">1-C83</f>
        <v>0.65500000000000003</v>
      </c>
    </row>
    <row r="83" spans="2:3">
      <c r="B83" s="273" t="s">
        <v>803</v>
      </c>
      <c r="C83" s="274">
        <f ca="1">ROUND(C13/C40,3)</f>
        <v>0.34499999999999997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3384</v>
      </c>
      <c r="D1" s="1361" t="s">
        <v>3393</v>
      </c>
      <c r="E1" s="1362" t="s">
        <v>678</v>
      </c>
      <c r="F1" s="1062">
        <f ca="1">J53</f>
        <v>44.884</v>
      </c>
      <c r="G1" s="1377">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1031</v>
      </c>
      <c r="C2" s="1386" t="s">
        <v>805</v>
      </c>
      <c r="D2" s="1386"/>
      <c r="E2" s="1387"/>
      <c r="F2" s="1388"/>
      <c r="G2" s="2704"/>
      <c r="H2" s="2693"/>
      <c r="I2" s="2693"/>
      <c r="J2" s="2693"/>
      <c r="K2" s="2694"/>
      <c r="L2" s="2693"/>
      <c r="M2" s="2693"/>
    </row>
    <row r="3" spans="1:37" ht="18" customHeight="1" thickBot="1">
      <c r="A3" s="1389" t="s">
        <v>806</v>
      </c>
      <c r="B3" s="1390">
        <f ca="1">IF(ISERROR(B2*10000/F43),0,ROUND(B2*10000/F43,0))</f>
        <v>415</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288</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288</v>
      </c>
      <c r="D6" s="155" t="s">
        <v>2108</v>
      </c>
      <c r="E6" s="302" t="s">
        <v>696</v>
      </c>
      <c r="F6" s="303">
        <f ca="1">INDIRECT("'数据-取费表'!u"&amp;$G$1)</f>
        <v>450</v>
      </c>
      <c r="G6" s="1383"/>
      <c r="H6" s="1069" t="s">
        <v>398</v>
      </c>
      <c r="I6" s="3704" t="s">
        <v>694</v>
      </c>
      <c r="J6" s="301">
        <f ca="1">ROUND(M6*M8*M7*(1-M9)/10000,0)</f>
        <v>0</v>
      </c>
      <c r="K6" s="155" t="s">
        <v>2107</v>
      </c>
      <c r="L6" s="302" t="s">
        <v>696</v>
      </c>
      <c r="M6" s="303">
        <f ca="1">INDIRECT("'数据-取费表'!z"&amp;$G$1)</f>
        <v>0</v>
      </c>
    </row>
    <row r="7" spans="1:37" ht="18" customHeight="1">
      <c r="A7" s="1073"/>
      <c r="B7" s="3705"/>
      <c r="C7" s="1075"/>
      <c r="D7" s="307"/>
      <c r="E7" s="3455" t="s">
        <v>697</v>
      </c>
      <c r="F7" s="303">
        <f ca="1">IF(INDIRECT("'数据-取费表'!ah"&amp;$G$1)="",INDIRECT("'数据-取费表'!k"&amp;$G$1),INDIRECT("'数据-取费表'!ah"&amp;$G$1))</f>
        <v>592</v>
      </c>
      <c r="G7" s="1383"/>
      <c r="H7" s="304"/>
      <c r="I7" s="3705"/>
      <c r="J7" s="306"/>
      <c r="K7" s="307"/>
      <c r="L7" s="302" t="s">
        <v>697</v>
      </c>
      <c r="M7" s="303">
        <f ca="1">F7</f>
        <v>592</v>
      </c>
    </row>
    <row r="8" spans="1:37" ht="18" customHeight="1">
      <c r="A8" s="304"/>
      <c r="B8" s="3705"/>
      <c r="C8" s="306"/>
      <c r="D8" s="307"/>
      <c r="E8" s="302" t="s">
        <v>698</v>
      </c>
      <c r="F8" s="303">
        <f ca="1">INDIRECT("'数据-取费表'!ai"&amp;$G$1)</f>
        <v>12</v>
      </c>
      <c r="G8" s="1383"/>
      <c r="H8" s="304"/>
      <c r="I8" s="3705"/>
      <c r="J8" s="306"/>
      <c r="K8" s="307"/>
      <c r="L8" s="302" t="s">
        <v>698</v>
      </c>
      <c r="M8" s="303">
        <f ca="1">INDIRECT("'数据-取费表'!ai"&amp;$G$1)</f>
        <v>12</v>
      </c>
    </row>
    <row r="9" spans="1:37" ht="18" customHeight="1">
      <c r="A9" s="304"/>
      <c r="B9" s="3706"/>
      <c r="C9" s="306"/>
      <c r="D9" s="307"/>
      <c r="E9" s="302" t="s">
        <v>699</v>
      </c>
      <c r="F9" s="312">
        <f ca="1">INDIRECT("'数据-取费表'!w"&amp;$G$1)</f>
        <v>0.1</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t="s">
        <v>3397</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11929</v>
      </c>
      <c r="D13" s="3447" t="s">
        <v>705</v>
      </c>
      <c r="E13" s="3447"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8669</v>
      </c>
      <c r="D14" s="3451" t="s">
        <v>708</v>
      </c>
      <c r="E14" s="3449"/>
      <c r="F14" s="319"/>
      <c r="G14" s="1383"/>
      <c r="H14" s="982" t="s">
        <v>398</v>
      </c>
      <c r="I14" s="302" t="s">
        <v>709</v>
      </c>
      <c r="J14" s="21">
        <f ca="1">C29</f>
        <v>11929</v>
      </c>
      <c r="K14" s="3454"/>
      <c r="L14" s="807"/>
      <c r="M14" s="808"/>
    </row>
    <row r="15" spans="1:37" s="1396" customFormat="1" ht="18" customHeight="1" thickBot="1">
      <c r="A15" s="982" t="s">
        <v>399</v>
      </c>
      <c r="B15" s="302" t="s">
        <v>710</v>
      </c>
      <c r="C15" s="21">
        <f ca="1">ROUND(C14*F15,0)</f>
        <v>347</v>
      </c>
      <c r="D15" s="3448" t="s">
        <v>711</v>
      </c>
      <c r="E15" s="3448"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180</v>
      </c>
      <c r="K16" s="1087" t="s">
        <v>715</v>
      </c>
      <c r="L16" s="3452"/>
      <c r="M16" s="1072"/>
    </row>
    <row r="17" spans="1:37" s="1396" customFormat="1" ht="18" customHeight="1">
      <c r="A17" s="982" t="s">
        <v>681</v>
      </c>
      <c r="B17" s="302" t="s">
        <v>716</v>
      </c>
      <c r="C17" s="21">
        <f ca="1">ROUND(F17*(F43+INDIRECT("'数据-取费表'!S"&amp;$G$1))/10000,0)</f>
        <v>578</v>
      </c>
      <c r="D17" s="302" t="s">
        <v>717</v>
      </c>
      <c r="E17" s="302" t="s">
        <v>718</v>
      </c>
      <c r="F17" s="23">
        <f>'数据-取费表'!B35</f>
        <v>200</v>
      </c>
      <c r="G17" s="1395"/>
      <c r="H17" s="982" t="s">
        <v>398</v>
      </c>
      <c r="I17" s="302" t="s">
        <v>719</v>
      </c>
      <c r="J17" s="2315">
        <f ca="1">ROUND(IF(AND(项目基本情况!B11="自然人",项目基本情况!B10="北京市"),J6*M17/(1+'数据-取费表'!C42),J18+J19+J20),2)</f>
        <v>1.08</v>
      </c>
      <c r="K17" s="3451" t="s">
        <v>720</v>
      </c>
      <c r="L17" s="3450"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130</v>
      </c>
      <c r="D18" s="302" t="s">
        <v>711</v>
      </c>
      <c r="E18" s="302" t="s">
        <v>712</v>
      </c>
      <c r="F18" s="322">
        <f>'数据-取费表'!B36</f>
        <v>1.4999999999999999E-2</v>
      </c>
      <c r="G18" s="1395"/>
      <c r="H18" s="982" t="s">
        <v>397</v>
      </c>
      <c r="I18" s="302" t="s">
        <v>723</v>
      </c>
      <c r="J18" s="21">
        <f ca="1">ROUND(J6*M18/(1+'数据-取费表'!C42),2)</f>
        <v>0</v>
      </c>
      <c r="K18" s="3450"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9724</v>
      </c>
      <c r="D19" s="131" t="s">
        <v>726</v>
      </c>
      <c r="E19" s="3457"/>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194</v>
      </c>
      <c r="D20" s="2426" t="s">
        <v>729</v>
      </c>
      <c r="E20" s="302" t="s">
        <v>712</v>
      </c>
      <c r="F20" s="322">
        <f>'数据-取费表'!B37</f>
        <v>0.02</v>
      </c>
      <c r="G20" s="1395"/>
      <c r="H20" s="982" t="s">
        <v>680</v>
      </c>
      <c r="I20" s="155" t="s">
        <v>730</v>
      </c>
      <c r="J20" s="22">
        <f ca="1">ROUND(M20*M21/10000,2)</f>
        <v>1.08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6" t="s">
        <v>734</v>
      </c>
      <c r="E21" s="302" t="s">
        <v>735</v>
      </c>
      <c r="F21" s="322">
        <f>'数据-取费表'!B38</f>
        <v>0.02</v>
      </c>
      <c r="G21" s="1395"/>
      <c r="H21" s="326"/>
      <c r="I21" s="311"/>
      <c r="J21" s="26"/>
      <c r="K21" s="327"/>
      <c r="L21" s="302" t="s">
        <v>736</v>
      </c>
      <c r="M21" s="303">
        <f ca="1">INDIRECT("'数据-取费表'!r"&amp;$G$1)</f>
        <v>7215.6399999999994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7"/>
      <c r="F22" s="23"/>
      <c r="G22" s="1383"/>
      <c r="H22" s="982" t="s">
        <v>402</v>
      </c>
      <c r="I22" s="302" t="s">
        <v>738</v>
      </c>
      <c r="J22" s="21">
        <f ca="1">ROUND(J14*M22,2)</f>
        <v>178.94</v>
      </c>
      <c r="K22" s="3450"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624</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3450" t="s">
        <v>743</v>
      </c>
      <c r="L23" s="302" t="s">
        <v>712</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5"/>
      <c r="H24" s="1089" t="s">
        <v>683</v>
      </c>
      <c r="I24" s="1090" t="s">
        <v>728</v>
      </c>
      <c r="J24" s="1091">
        <f ca="1">ROUND(J5*M24,2)</f>
        <v>0</v>
      </c>
      <c r="K24" s="1092" t="s">
        <v>748</v>
      </c>
      <c r="L24" s="1090" t="s">
        <v>712</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7"/>
      <c r="F25" s="23"/>
      <c r="G25" s="1383"/>
      <c r="H25" s="1079" t="s">
        <v>394</v>
      </c>
      <c r="I25" s="1094" t="s">
        <v>752</v>
      </c>
      <c r="J25" s="310">
        <f ca="1">J5-J16</f>
        <v>-180</v>
      </c>
      <c r="K25" s="1095" t="s">
        <v>753</v>
      </c>
      <c r="L25" s="1096"/>
      <c r="M25" s="1097"/>
    </row>
    <row r="26" spans="1:37">
      <c r="A26" s="982" t="s">
        <v>397</v>
      </c>
      <c r="B26" s="302" t="s">
        <v>754</v>
      </c>
      <c r="C26" s="21">
        <f ca="1">ROUND((C19+C20)*F26,0)</f>
        <v>496</v>
      </c>
      <c r="D26" s="2426"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6" t="s">
        <v>761</v>
      </c>
      <c r="E27" s="344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6"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11929</v>
      </c>
      <c r="D29" s="1092"/>
      <c r="E29" s="1090"/>
      <c r="F29" s="1093"/>
      <c r="G29" s="1395"/>
      <c r="H29" s="334" t="s">
        <v>396</v>
      </c>
      <c r="I29" s="335" t="s">
        <v>768</v>
      </c>
      <c r="J29" s="336">
        <f ca="1">ROUND(J26/(1+F40)^F41,0)</f>
        <v>0</v>
      </c>
      <c r="K29" s="337" t="s">
        <v>769</v>
      </c>
      <c r="L29" s="338"/>
      <c r="M29" s="339">
        <f ca="1">INDIRECT("'数据-取费表'!k"&amp;$G$1)</f>
        <v>24830.799999999999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249</v>
      </c>
      <c r="D30" s="1087" t="s">
        <v>715</v>
      </c>
      <c r="E30" s="3452"/>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49.08</v>
      </c>
      <c r="D31" s="3451" t="s">
        <v>720</v>
      </c>
      <c r="E31" s="3450" t="s">
        <v>770</v>
      </c>
      <c r="F31" s="2314"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IF(项目基本情况!B11="自然人","——",ROUND(C6*F32/(1+'数据-取费表'!C42),2))</f>
        <v>15.09</v>
      </c>
      <c r="D32" s="3450"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32.909999999999997</v>
      </c>
      <c r="D33" s="1369" t="s">
        <v>3343</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1.08</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7215.6399999999994</v>
      </c>
      <c r="G35" s="1383"/>
      <c r="H35" s="2695"/>
      <c r="I35" s="1397"/>
      <c r="J35" s="1398"/>
      <c r="K35" s="2699"/>
      <c r="L35" s="2698"/>
      <c r="M35" s="2698"/>
    </row>
    <row r="36" spans="1:18" ht="18" customHeight="1">
      <c r="A36" s="1102" t="s">
        <v>402</v>
      </c>
      <c r="B36" s="302" t="s">
        <v>738</v>
      </c>
      <c r="C36" s="21">
        <f ca="1">ROUND(C29*F36,2)</f>
        <v>178.94</v>
      </c>
      <c r="D36" s="3450" t="s">
        <v>771</v>
      </c>
      <c r="E36" s="302" t="s">
        <v>712</v>
      </c>
      <c r="F36" s="328">
        <f ca="1">INDIRECT("'数据-取费表'!Ak"&amp;$G$1)</f>
        <v>1.4999999999999999E-2</v>
      </c>
      <c r="G36" s="1383"/>
      <c r="H36" s="2698"/>
      <c r="I36" s="1397"/>
      <c r="J36" s="1398"/>
      <c r="K36" s="2542"/>
      <c r="L36" s="2698"/>
      <c r="M36" s="2698"/>
    </row>
    <row r="37" spans="1:18" ht="18" customHeight="1">
      <c r="A37" s="982" t="s">
        <v>437</v>
      </c>
      <c r="B37" s="302" t="s">
        <v>742</v>
      </c>
      <c r="C37" s="21">
        <f ca="1">ROUND(C13*F37,2)</f>
        <v>17.89</v>
      </c>
      <c r="D37" s="3450" t="s">
        <v>743</v>
      </c>
      <c r="E37" s="302" t="s">
        <v>712</v>
      </c>
      <c r="F37" s="330">
        <f ca="1">INDIRECT("'数据-取费表'!Al"&amp;$G$1)</f>
        <v>1.5E-3</v>
      </c>
      <c r="G37" s="1383"/>
      <c r="H37" s="2698"/>
      <c r="I37" s="1397"/>
      <c r="J37" s="1398"/>
      <c r="K37" s="2542"/>
      <c r="L37" s="2698"/>
      <c r="M37" s="2698"/>
    </row>
    <row r="38" spans="1:18" ht="18" customHeight="1" thickBot="1">
      <c r="A38" s="1089" t="s">
        <v>683</v>
      </c>
      <c r="B38" s="1090" t="s">
        <v>728</v>
      </c>
      <c r="C38" s="1091">
        <f ca="1">ROUND(C5*F38,2)</f>
        <v>2.88</v>
      </c>
      <c r="D38" s="1092" t="s">
        <v>748</v>
      </c>
      <c r="E38" s="1090" t="s">
        <v>712</v>
      </c>
      <c r="F38" s="1086">
        <f ca="1">INDIRECT("'数据-取费表'!Am"&amp;$G$1)</f>
        <v>0.01</v>
      </c>
      <c r="G38" s="1383"/>
      <c r="H38" s="2698"/>
      <c r="I38" s="1397"/>
      <c r="J38" s="1398"/>
      <c r="K38" s="2702"/>
      <c r="L38" s="2698"/>
      <c r="M38" s="2698"/>
    </row>
    <row r="39" spans="1:18" ht="24.6" customHeight="1" thickTop="1">
      <c r="A39" s="1079" t="s">
        <v>394</v>
      </c>
      <c r="B39" s="1094" t="s">
        <v>752</v>
      </c>
      <c r="C39" s="310">
        <f ca="1">C5-C30</f>
        <v>39</v>
      </c>
      <c r="D39" s="1095" t="s">
        <v>753</v>
      </c>
      <c r="E39" s="1096"/>
      <c r="F39" s="1097"/>
      <c r="G39" s="1383"/>
      <c r="H39" s="2698"/>
      <c r="I39" s="1397"/>
      <c r="J39" s="1398"/>
      <c r="K39" s="2702"/>
      <c r="L39" s="2698"/>
      <c r="M39" s="2698"/>
    </row>
    <row r="40" spans="1:18" ht="18" customHeight="1">
      <c r="A40" s="299" t="s">
        <v>395</v>
      </c>
      <c r="B40" s="300" t="s">
        <v>774</v>
      </c>
      <c r="C40" s="301">
        <f ca="1">ROUND(C39*(1-((1+F42)/(1+F40))^F41)/(F40-F42),0)</f>
        <v>1031</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44.884</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ROUND(C40*10000/F43,0)</f>
        <v>415</v>
      </c>
      <c r="D43" s="337" t="s">
        <v>777</v>
      </c>
      <c r="E43" s="338" t="s">
        <v>778</v>
      </c>
      <c r="F43" s="339">
        <f ca="1">INDIRECT("'数据-取费表'!k"&amp;$G$1)</f>
        <v>24830.799999999999</v>
      </c>
      <c r="G43" s="1383"/>
      <c r="H43" s="1190"/>
      <c r="I43" s="1190"/>
      <c r="J43" s="1190"/>
      <c r="K43" s="2542"/>
      <c r="L43" s="1190"/>
      <c r="M43" s="1190"/>
    </row>
    <row r="44" spans="1:18" s="1383" customFormat="1" ht="18" customHeight="1">
      <c r="A44" s="1399"/>
      <c r="B44" s="1399"/>
      <c r="C44" s="1400">
        <f ca="1">C40/'数据-取费表'!AH8</f>
        <v>1.7415540540540539</v>
      </c>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8" thickBot="1">
      <c r="A46" s="1403" t="s">
        <v>809</v>
      </c>
      <c r="C46" s="1404">
        <f ca="1">C68-C40</f>
        <v>-4548</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t="s">
        <v>3395</v>
      </c>
      <c r="K47" s="1415" t="s">
        <v>816</v>
      </c>
      <c r="L47" s="1416">
        <f ca="1">INDIRECT("'数据-取费表'!d"&amp;$G$1)</f>
        <v>50</v>
      </c>
      <c r="M47" s="1379" t="str">
        <f>IF(ISNUMBER(FIND("住宅",C1)),"住宅","非住宅")</f>
        <v>非住宅</v>
      </c>
      <c r="O47" s="1417" t="s">
        <v>403</v>
      </c>
      <c r="P47" s="1418" t="s">
        <v>817</v>
      </c>
      <c r="Q47" s="1419">
        <f ca="1">C40+J29</f>
        <v>1031</v>
      </c>
      <c r="R47" s="1419" t="s">
        <v>818</v>
      </c>
    </row>
    <row r="48" spans="1:18" s="1383" customFormat="1" ht="40.200000000000003" thickBot="1">
      <c r="A48" s="1110" t="s">
        <v>438</v>
      </c>
      <c r="B48" s="300" t="s">
        <v>692</v>
      </c>
      <c r="C48" s="3456">
        <f ca="1">C49+C53+C55</f>
        <v>0</v>
      </c>
      <c r="D48" s="1112"/>
      <c r="E48" s="1113"/>
      <c r="F48" s="962"/>
      <c r="G48" s="722"/>
      <c r="H48" s="723"/>
      <c r="I48" s="1420" t="s">
        <v>819</v>
      </c>
      <c r="J48" s="1421" t="s">
        <v>3396</v>
      </c>
      <c r="K48" s="1422" t="s">
        <v>820</v>
      </c>
      <c r="L48" s="1423">
        <f ca="1">INDIRECT("'数据-取费表'!f"&amp;$G$1)</f>
        <v>46.3</v>
      </c>
      <c r="O48" s="1417" t="s">
        <v>404</v>
      </c>
      <c r="P48" s="1418" t="s">
        <v>821</v>
      </c>
      <c r="Q48" s="1419" t="str">
        <f ca="1">J60</f>
        <v>0</v>
      </c>
      <c r="R48" s="1419" t="s">
        <v>822</v>
      </c>
    </row>
    <row r="49" spans="1:18" s="1383" customFormat="1" ht="13.8" thickBot="1">
      <c r="A49" s="975" t="s">
        <v>439</v>
      </c>
      <c r="B49" s="1370" t="s">
        <v>779</v>
      </c>
      <c r="C49" s="1114">
        <f ca="1">ROUND(F49*F51*F50*(1-F52)/10000,0)</f>
        <v>0</v>
      </c>
      <c r="D49" s="1055" t="s">
        <v>2107</v>
      </c>
      <c r="E49" s="1371" t="s">
        <v>780</v>
      </c>
      <c r="F49" s="1060"/>
      <c r="G49" s="1424"/>
      <c r="H49" s="723"/>
      <c r="I49" s="1420" t="s">
        <v>823</v>
      </c>
      <c r="J49" s="1425"/>
      <c r="K49" s="1422" t="s">
        <v>824</v>
      </c>
      <c r="L49" s="1426"/>
      <c r="O49" s="1427" t="s">
        <v>405</v>
      </c>
      <c r="P49" s="1418" t="s">
        <v>825</v>
      </c>
      <c r="Q49" s="1419">
        <f ca="1">C29</f>
        <v>11929</v>
      </c>
      <c r="R49" s="1419" t="s">
        <v>818</v>
      </c>
    </row>
    <row r="50" spans="1:18" s="1383" customFormat="1" ht="13.8" thickBot="1">
      <c r="A50" s="976"/>
      <c r="B50" s="979"/>
      <c r="C50" s="1118"/>
      <c r="D50" s="953"/>
      <c r="E50" s="1056" t="s">
        <v>697</v>
      </c>
      <c r="F50" s="1057">
        <f ca="1">F7</f>
        <v>592</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-17659</v>
      </c>
      <c r="M51" s="1435"/>
      <c r="O51" s="1427" t="s">
        <v>407</v>
      </c>
      <c r="P51" s="1418" t="s">
        <v>831</v>
      </c>
      <c r="Q51" s="1430">
        <f>J52</f>
        <v>0.08</v>
      </c>
      <c r="R51" s="1419"/>
    </row>
    <row r="52" spans="1:18" s="1383" customFormat="1" ht="13.8" thickBot="1">
      <c r="A52" s="977"/>
      <c r="B52" s="979"/>
      <c r="C52" s="980"/>
      <c r="D52" s="953"/>
      <c r="E52" s="981" t="s">
        <v>699</v>
      </c>
      <c r="F52" s="1054"/>
      <c r="I52" s="1436" t="s">
        <v>832</v>
      </c>
      <c r="J52" s="1437">
        <v>0.08</v>
      </c>
      <c r="K52" s="1436" t="s">
        <v>833</v>
      </c>
      <c r="L52" s="1437"/>
      <c r="O52" s="1427" t="s">
        <v>408</v>
      </c>
      <c r="P52" s="1418" t="s">
        <v>834</v>
      </c>
      <c r="Q52" s="1419">
        <f ca="1">J53</f>
        <v>44.884</v>
      </c>
      <c r="R52" s="1419" t="s">
        <v>835</v>
      </c>
    </row>
    <row r="53" spans="1:18" s="1383" customFormat="1" ht="36.6"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44.884</v>
      </c>
      <c r="K53" s="3702" t="s">
        <v>837</v>
      </c>
      <c r="L53" s="3703"/>
      <c r="O53" s="1417" t="s">
        <v>409</v>
      </c>
      <c r="P53" s="1418" t="s">
        <v>838</v>
      </c>
      <c r="Q53" s="1419">
        <f ca="1">Q47+Q48</f>
        <v>1031</v>
      </c>
      <c r="R53" s="1419" t="s">
        <v>410</v>
      </c>
    </row>
    <row r="54" spans="1:18" s="1383" customFormat="1" ht="24.6" thickBot="1">
      <c r="A54" s="1153"/>
      <c r="B54" s="1366" t="s">
        <v>679</v>
      </c>
      <c r="C54" s="959"/>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3" t="s">
        <v>437</v>
      </c>
      <c r="B55" s="1368" t="s">
        <v>703</v>
      </c>
      <c r="C55" s="1084"/>
      <c r="D55" s="1365"/>
      <c r="E55" s="345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11929</v>
      </c>
      <c r="D56" s="1446"/>
      <c r="E56" s="1447"/>
      <c r="F56" s="1439"/>
      <c r="I56" s="1448" t="s">
        <v>842</v>
      </c>
      <c r="J56" s="1449" t="s">
        <v>3380</v>
      </c>
      <c r="K56" s="1420" t="s">
        <v>843</v>
      </c>
      <c r="L56" s="1423" t="str">
        <f ca="1">IF(L48&lt;J51,"——",L48-J53)</f>
        <v>——</v>
      </c>
      <c r="O56" s="1417" t="s">
        <v>403</v>
      </c>
      <c r="P56" s="1418" t="s">
        <v>817</v>
      </c>
      <c r="Q56" s="1419">
        <f ca="1">C40+J29</f>
        <v>1031</v>
      </c>
      <c r="R56" s="1419" t="s">
        <v>818</v>
      </c>
    </row>
    <row r="57" spans="1:18" s="1383" customFormat="1" ht="24.6" thickBot="1">
      <c r="A57" s="1450"/>
      <c r="B57" s="950" t="s">
        <v>767</v>
      </c>
      <c r="C57" s="238">
        <f ca="1">C29</f>
        <v>11929</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8" t="s">
        <v>714</v>
      </c>
      <c r="C58" s="316">
        <f ca="1">ROUND(C59+C64+C65+C66,0)</f>
        <v>198</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727</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8" thickBot="1">
      <c r="A62" s="982" t="s">
        <v>784</v>
      </c>
      <c r="B62" s="949" t="s">
        <v>730</v>
      </c>
      <c r="C62" s="22">
        <f ca="1">IF(项目基本情况!B11="自然人","——",ROUND(F62*F63/10000,2))</f>
        <v>1.08</v>
      </c>
      <c r="D62" s="965" t="s">
        <v>786</v>
      </c>
      <c r="E62" s="950" t="s">
        <v>732</v>
      </c>
      <c r="F62" s="325">
        <f t="shared" si="0"/>
        <v>1.5</v>
      </c>
      <c r="I62" s="1461" t="s">
        <v>858</v>
      </c>
      <c r="J62" s="1462" t="s">
        <v>859</v>
      </c>
      <c r="K62" s="1462" t="s">
        <v>860</v>
      </c>
      <c r="L62" s="1462" t="s">
        <v>861</v>
      </c>
      <c r="M62" s="1463" t="s">
        <v>862</v>
      </c>
      <c r="O62" s="1417" t="s">
        <v>409</v>
      </c>
      <c r="P62" s="1418" t="s">
        <v>863</v>
      </c>
      <c r="Q62" s="1419">
        <f ca="1">Q56+Q57</f>
        <v>1031</v>
      </c>
      <c r="R62" s="1419" t="s">
        <v>410</v>
      </c>
    </row>
    <row r="63" spans="1:18" s="1383" customFormat="1" ht="13.8" thickBot="1">
      <c r="A63" s="326"/>
      <c r="B63" s="956"/>
      <c r="C63" s="26"/>
      <c r="D63" s="966"/>
      <c r="E63" s="950" t="s">
        <v>736</v>
      </c>
      <c r="F63" s="303">
        <f t="shared" ca="1" si="0"/>
        <v>7215.6399999999994</v>
      </c>
      <c r="I63" s="1461" t="s">
        <v>864</v>
      </c>
      <c r="J63" s="1462">
        <v>70</v>
      </c>
      <c r="K63" s="1462">
        <v>50</v>
      </c>
      <c r="L63" s="1462">
        <v>80</v>
      </c>
      <c r="M63" s="1464">
        <v>0.02</v>
      </c>
      <c r="O63" s="1402" t="s">
        <v>865</v>
      </c>
      <c r="P63" s="1380"/>
      <c r="Q63" s="1380"/>
      <c r="R63" s="1380"/>
    </row>
    <row r="64" spans="1:18" s="1383" customFormat="1" ht="13.8" thickBot="1">
      <c r="A64" s="982" t="s">
        <v>789</v>
      </c>
      <c r="B64" s="950" t="s">
        <v>738</v>
      </c>
      <c r="C64" s="21">
        <f ca="1">ROUND(C57*F64,2)</f>
        <v>178.94</v>
      </c>
      <c r="D64" s="964" t="s">
        <v>771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17.89</v>
      </c>
      <c r="D65" s="964" t="s">
        <v>743</v>
      </c>
      <c r="E65" s="950" t="s">
        <v>712</v>
      </c>
      <c r="F65" s="330">
        <f t="shared" ca="1" si="0"/>
        <v>1.5E-3</v>
      </c>
      <c r="I65" s="1461" t="s">
        <v>867</v>
      </c>
      <c r="J65" s="1462">
        <v>40</v>
      </c>
      <c r="K65" s="1462">
        <v>30</v>
      </c>
      <c r="L65" s="1462">
        <v>50</v>
      </c>
      <c r="M65" s="1464">
        <v>0.02</v>
      </c>
      <c r="O65" s="1417" t="s">
        <v>403</v>
      </c>
      <c r="P65" s="1418" t="s">
        <v>868</v>
      </c>
      <c r="Q65" s="1419">
        <f ca="1">C40+J29</f>
        <v>1031</v>
      </c>
      <c r="R65" s="1419" t="s">
        <v>818</v>
      </c>
    </row>
    <row r="66" spans="1:18" s="1383" customFormat="1" ht="16.2" thickBot="1">
      <c r="A66" s="982" t="s">
        <v>793</v>
      </c>
      <c r="B66" s="950" t="s">
        <v>728</v>
      </c>
      <c r="C66" s="21">
        <f ca="1">ROUND(C48*F66,2)</f>
        <v>0</v>
      </c>
      <c r="D66" s="964" t="s">
        <v>748</v>
      </c>
      <c r="E66" s="950" t="s">
        <v>712</v>
      </c>
      <c r="F66" s="312">
        <f t="shared" ca="1" si="0"/>
        <v>0.01</v>
      </c>
      <c r="O66" s="1417" t="s">
        <v>404</v>
      </c>
      <c r="P66" s="1418" t="s">
        <v>846</v>
      </c>
      <c r="Q66" s="1419">
        <f ca="1">L60</f>
        <v>0</v>
      </c>
      <c r="R66" s="1419" t="s">
        <v>869</v>
      </c>
    </row>
    <row r="67" spans="1:18" s="1383" customFormat="1" ht="24.6" thickBot="1">
      <c r="A67" s="957" t="s">
        <v>394</v>
      </c>
      <c r="B67" s="967" t="s">
        <v>752</v>
      </c>
      <c r="C67" s="316">
        <f ca="1">C48-C58</f>
        <v>-198</v>
      </c>
      <c r="D67" s="963" t="s">
        <v>753</v>
      </c>
      <c r="E67" s="968"/>
      <c r="F67" s="969"/>
      <c r="O67" s="1427" t="s">
        <v>405</v>
      </c>
      <c r="P67" s="1418" t="s">
        <v>850</v>
      </c>
      <c r="Q67" s="1465">
        <f ca="1">L51</f>
        <v>-17659</v>
      </c>
      <c r="R67" s="1419" t="s">
        <v>870</v>
      </c>
    </row>
    <row r="68" spans="1:18" s="1383" customFormat="1" ht="16.2" thickBot="1">
      <c r="A68" s="947" t="s">
        <v>395</v>
      </c>
      <c r="B68" s="948" t="s">
        <v>774</v>
      </c>
      <c r="C68" s="301">
        <f ca="1">ROUND(C67*(1-((1+F70)/(1+F68))^F69)/(F68-F70),0)</f>
        <v>-3517</v>
      </c>
      <c r="D68" s="965" t="s">
        <v>758</v>
      </c>
      <c r="E68" s="950" t="s">
        <v>759</v>
      </c>
      <c r="F68" s="312">
        <f ca="1">F40</f>
        <v>0.05</v>
      </c>
      <c r="O68" s="1427" t="s">
        <v>406</v>
      </c>
      <c r="P68" s="1466" t="s">
        <v>871</v>
      </c>
      <c r="Q68" s="1419">
        <f ca="1">ROUND(Q69-Q70*Q71,0)</f>
        <v>-856</v>
      </c>
      <c r="R68" s="1419" t="s">
        <v>414</v>
      </c>
    </row>
    <row r="69" spans="1:18" s="1383" customFormat="1" ht="13.8" thickBot="1">
      <c r="A69" s="951"/>
      <c r="B69" s="952"/>
      <c r="C69" s="306"/>
      <c r="D69" s="970" t="s">
        <v>762</v>
      </c>
      <c r="E69" s="950" t="s">
        <v>763</v>
      </c>
      <c r="F69" s="333">
        <f ca="1">F41</f>
        <v>44.884</v>
      </c>
      <c r="O69" s="1427" t="s">
        <v>411</v>
      </c>
      <c r="P69" s="1466" t="s">
        <v>872</v>
      </c>
      <c r="Q69" s="1419">
        <f ca="1">C39</f>
        <v>39</v>
      </c>
      <c r="R69" s="1419" t="s">
        <v>818</v>
      </c>
    </row>
    <row r="70" spans="1:18" s="1383" customFormat="1" ht="13.8" thickBot="1">
      <c r="A70" s="954"/>
      <c r="B70" s="955"/>
      <c r="C70" s="310"/>
      <c r="D70" s="966"/>
      <c r="E70" s="950" t="s">
        <v>766</v>
      </c>
      <c r="F70" s="1054"/>
      <c r="O70" s="1427" t="s">
        <v>412</v>
      </c>
      <c r="P70" s="1466" t="s">
        <v>873</v>
      </c>
      <c r="Q70" s="1419">
        <f ca="1">C13</f>
        <v>11929</v>
      </c>
      <c r="R70" s="1419" t="s">
        <v>818</v>
      </c>
    </row>
    <row r="71" spans="1:18" s="1383" customFormat="1" ht="13.8" thickBot="1">
      <c r="A71" s="971" t="s">
        <v>396</v>
      </c>
      <c r="B71" s="972" t="s">
        <v>776</v>
      </c>
      <c r="C71" s="336">
        <f ca="1">ROUND(C68*10000/F71,0)</f>
        <v>-1416</v>
      </c>
      <c r="D71" s="973" t="s">
        <v>777</v>
      </c>
      <c r="E71" s="974" t="s">
        <v>778</v>
      </c>
      <c r="F71" s="339">
        <f ca="1">F43</f>
        <v>24830.799999999999</v>
      </c>
      <c r="O71" s="1427" t="s">
        <v>413</v>
      </c>
      <c r="P71" s="1466" t="s">
        <v>874</v>
      </c>
      <c r="Q71" s="1430">
        <f ca="1">C76</f>
        <v>7.4999999999999997E-2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8" thickBot="1">
      <c r="A75" s="1383"/>
      <c r="B75" s="340" t="s">
        <v>795</v>
      </c>
      <c r="C75" s="341">
        <f ca="1">ROUND(C13*C76,0)</f>
        <v>895</v>
      </c>
      <c r="D75" s="1383"/>
      <c r="E75" s="1383"/>
      <c r="F75" s="1383"/>
      <c r="K75" s="1401"/>
      <c r="L75" s="1383"/>
      <c r="O75" s="1417" t="s">
        <v>409</v>
      </c>
      <c r="P75" s="1418" t="s">
        <v>838</v>
      </c>
      <c r="Q75" s="1419">
        <f ca="1">Q65+Q66</f>
        <v>1031</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-21.949000000000002</v>
      </c>
    </row>
    <row r="80" spans="1:18">
      <c r="B80" s="340" t="s">
        <v>800</v>
      </c>
      <c r="C80" s="274">
        <f ca="1">ROUND(C75/C39,3)</f>
        <v>22.949000000000002</v>
      </c>
    </row>
    <row r="81" spans="2:3">
      <c r="B81" s="270" t="s">
        <v>801</v>
      </c>
      <c r="C81" s="238"/>
    </row>
    <row r="82" spans="2:3">
      <c r="B82" s="273" t="s">
        <v>802</v>
      </c>
      <c r="C82" s="275">
        <f ca="1">1-C83</f>
        <v>-10.57</v>
      </c>
    </row>
    <row r="83" spans="2:3">
      <c r="B83" s="273" t="s">
        <v>803</v>
      </c>
      <c r="C83" s="274">
        <f ca="1">ROUND(C13/C40,3)</f>
        <v>11.57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9</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5"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4" t="s">
        <v>694</v>
      </c>
      <c r="C6" s="1074">
        <f ca="1">ROUND(F6*F8*F7*(1-F9),0)</f>
        <v>0</v>
      </c>
      <c r="D6" s="155" t="s">
        <v>2105</v>
      </c>
      <c r="E6" s="302" t="s">
        <v>696</v>
      </c>
      <c r="F6" s="303">
        <f ca="1">INDIRECT("'数据-取费表'!u"&amp;$G$1)</f>
        <v>0</v>
      </c>
      <c r="G6" s="1383"/>
      <c r="H6" s="1069" t="s">
        <v>398</v>
      </c>
      <c r="I6" s="3704" t="s">
        <v>694</v>
      </c>
      <c r="J6" s="301">
        <f ca="1">ROUND(M6*M8*M7*(1-M9),0)</f>
        <v>0</v>
      </c>
      <c r="K6" s="1375" t="s">
        <v>2106</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3"/>
      <c r="H7" s="304"/>
      <c r="I7" s="3705"/>
      <c r="J7" s="306"/>
      <c r="K7" s="307"/>
      <c r="L7" s="302" t="s">
        <v>697</v>
      </c>
      <c r="M7" s="303">
        <f ca="1">F7</f>
        <v>0</v>
      </c>
    </row>
    <row r="8" spans="1:37" ht="18" customHeight="1">
      <c r="A8" s="304"/>
      <c r="B8" s="3705"/>
      <c r="C8" s="306"/>
      <c r="D8" s="307"/>
      <c r="E8" s="302" t="s">
        <v>698</v>
      </c>
      <c r="F8" s="303">
        <f ca="1">INDIRECT("'数据-取费表'!ai"&amp;$G$1)</f>
        <v>0</v>
      </c>
      <c r="G8" s="1383"/>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3343</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31" t="s">
        <v>3359</v>
      </c>
      <c r="B45" s="1399"/>
      <c r="C45" s="1471" t="e">
        <f ca="1">ROUND((C68-C40)/10000,4)</f>
        <v>#DIV/0!</v>
      </c>
      <c r="D45" s="3432" t="s">
        <v>3360</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702" t="s">
        <v>837</v>
      </c>
      <c r="L53" s="3703"/>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35" sqref="H35"/>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2436</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4" t="s">
        <v>2317</v>
      </c>
      <c r="B2" s="2841">
        <f ca="1">IF(D2="——",C40,C40+E2)</f>
        <v>132090</v>
      </c>
      <c r="C2" s="2842" t="s">
        <v>2318</v>
      </c>
      <c r="D2" s="3445" t="s">
        <v>3368</v>
      </c>
      <c r="E2" s="3446"/>
      <c r="F2" s="2844"/>
      <c r="G2" s="2845"/>
      <c r="H2" s="2846"/>
      <c r="I2" s="2847"/>
      <c r="J2" s="3713" t="s">
        <v>2319</v>
      </c>
      <c r="K2" s="3714"/>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f ca="1">ROUND(B2*10000/B4,0)</f>
        <v>16574</v>
      </c>
      <c r="C3" s="2842" t="s">
        <v>2328</v>
      </c>
      <c r="D3" s="2842"/>
      <c r="E3" s="2843"/>
      <c r="F3" s="2844"/>
      <c r="G3" s="2845"/>
      <c r="H3" s="2846"/>
      <c r="I3" s="2847"/>
      <c r="J3" s="3715" t="s">
        <v>2329</v>
      </c>
      <c r="K3" s="3716"/>
      <c r="L3" s="2854"/>
      <c r="M3" s="2854"/>
      <c r="N3" s="2854"/>
      <c r="O3" s="2854"/>
      <c r="P3" s="2854"/>
      <c r="Q3" s="2855"/>
      <c r="R3" s="2856">
        <f>SUM(L3:Q3)</f>
        <v>0</v>
      </c>
      <c r="S3" s="2839"/>
      <c r="T3" s="2839"/>
      <c r="U3" s="2839"/>
      <c r="V3" s="2847"/>
    </row>
    <row r="4" spans="1:22" s="2851" customFormat="1" ht="13.2" customHeight="1">
      <c r="A4" s="2857" t="s">
        <v>2330</v>
      </c>
      <c r="B4" s="2858">
        <f>'数据-汇总表'!E19</f>
        <v>79695.39</v>
      </c>
      <c r="C4" s="2842"/>
      <c r="D4" s="2842"/>
      <c r="E4" s="2843"/>
      <c r="F4" s="2844"/>
      <c r="G4" s="2845"/>
      <c r="H4" s="2846"/>
      <c r="I4" s="2847"/>
      <c r="J4" s="3715" t="s">
        <v>2331</v>
      </c>
      <c r="K4" s="3716"/>
      <c r="L4" s="2859"/>
      <c r="M4" s="2859"/>
      <c r="N4" s="2859"/>
      <c r="O4" s="2859"/>
      <c r="P4" s="2859"/>
      <c r="Q4" s="2860"/>
      <c r="R4" s="2861">
        <f>SUM(L4:Q4)</f>
        <v>0</v>
      </c>
      <c r="S4" s="2839"/>
      <c r="T4" s="2839"/>
      <c r="U4" s="2839"/>
      <c r="V4" s="2847"/>
    </row>
    <row r="5" spans="1:22" s="2851" customFormat="1" ht="13.2" customHeight="1" thickBot="1">
      <c r="A5" s="2862" t="s">
        <v>2332</v>
      </c>
      <c r="B5" s="2863">
        <f>'数据-汇总表'!D19</f>
        <v>19900.419999999998</v>
      </c>
      <c r="C5" s="2842"/>
      <c r="D5" s="2864"/>
      <c r="E5" s="2844"/>
      <c r="F5" s="2844"/>
      <c r="G5" s="2845"/>
      <c r="H5" s="2846"/>
      <c r="I5" s="2847"/>
      <c r="J5" s="2865" t="s">
        <v>2333</v>
      </c>
      <c r="K5" s="2866"/>
      <c r="L5" s="2866"/>
      <c r="M5" s="2867"/>
      <c r="N5" s="2867"/>
      <c r="O5" s="2867"/>
      <c r="P5" s="2867"/>
      <c r="Q5" s="2867"/>
      <c r="R5" s="2850">
        <f>SUM(R14,R19,R24,R25,R27,R28)</f>
        <v>14309</v>
      </c>
      <c r="S5" s="2839"/>
      <c r="T5" s="2839" t="s">
        <v>2334</v>
      </c>
      <c r="U5" s="2839" t="e">
        <f>ROUND(R5*10000/365/R3,1)</f>
        <v>#DIV/0!</v>
      </c>
      <c r="V5" s="2847"/>
    </row>
    <row r="6" spans="1:22" s="2851" customFormat="1" ht="13.2" customHeight="1" thickBot="1">
      <c r="A6" s="3721" t="s">
        <v>2335</v>
      </c>
      <c r="B6" s="3722"/>
      <c r="C6" s="3723"/>
      <c r="D6" s="2868">
        <f>R5</f>
        <v>14309</v>
      </c>
      <c r="E6" s="2869"/>
      <c r="F6" s="2870"/>
      <c r="G6" s="2871"/>
      <c r="H6" s="2846"/>
      <c r="I6" s="2847"/>
      <c r="J6" s="3707">
        <v>1</v>
      </c>
      <c r="K6" s="3708"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 ca="1">SUM(D9,D10,D11,D17,0)</f>
        <v>6772</v>
      </c>
      <c r="E7" s="2878">
        <f ca="1">E9+E10+E11+E17</f>
        <v>0.47331050387867774</v>
      </c>
      <c r="F7" s="2879"/>
      <c r="G7" s="2880"/>
      <c r="H7" s="2846"/>
      <c r="I7" s="2847"/>
      <c r="J7" s="3707"/>
      <c r="K7" s="3709"/>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24" t="s">
        <v>2349</v>
      </c>
      <c r="C8" s="3725"/>
      <c r="D8" s="2887" t="s">
        <v>2350</v>
      </c>
      <c r="E8" s="2888" t="s">
        <v>2351</v>
      </c>
      <c r="F8" s="2889" t="s">
        <v>2352</v>
      </c>
      <c r="G8" s="2890"/>
      <c r="H8" s="2846"/>
      <c r="I8" s="2847"/>
      <c r="J8" s="3707"/>
      <c r="K8" s="3709"/>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24" t="s">
        <v>2355</v>
      </c>
      <c r="C9" s="3725"/>
      <c r="D9" s="2887">
        <f>ROUND(D6*E9,0)</f>
        <v>2862</v>
      </c>
      <c r="E9" s="2891">
        <v>0.2</v>
      </c>
      <c r="F9" s="2892" t="s">
        <v>2356</v>
      </c>
      <c r="G9" s="2871"/>
      <c r="H9" s="2846"/>
      <c r="I9" s="2847"/>
      <c r="J9" s="3707"/>
      <c r="K9" s="3709"/>
      <c r="L9" s="2881" t="s">
        <v>2357</v>
      </c>
      <c r="M9" s="2882"/>
      <c r="N9" s="2858"/>
      <c r="O9" s="2883"/>
      <c r="P9" s="2883"/>
      <c r="Q9" s="2884">
        <v>365</v>
      </c>
      <c r="R9" s="2885">
        <f t="shared" si="0"/>
        <v>0</v>
      </c>
      <c r="S9" s="2839"/>
      <c r="T9" s="2839"/>
      <c r="U9" s="2839"/>
      <c r="V9" s="2847"/>
    </row>
    <row r="10" spans="1:22" s="2851" customFormat="1" ht="13.2" customHeight="1">
      <c r="A10" s="2886">
        <v>2</v>
      </c>
      <c r="B10" s="3724" t="s">
        <v>2358</v>
      </c>
      <c r="C10" s="3725"/>
      <c r="D10" s="2887">
        <f>ROUND(D6*E10,0)</f>
        <v>2146</v>
      </c>
      <c r="E10" s="2891">
        <v>0.15</v>
      </c>
      <c r="F10" s="2892" t="s">
        <v>2359</v>
      </c>
      <c r="G10" s="2871"/>
      <c r="H10" s="2846"/>
      <c r="I10" s="2847"/>
      <c r="J10" s="3707"/>
      <c r="K10" s="3709"/>
      <c r="L10" s="2881" t="s">
        <v>2360</v>
      </c>
      <c r="M10" s="2882">
        <v>500</v>
      </c>
      <c r="N10" s="2858">
        <v>700</v>
      </c>
      <c r="O10" s="2883">
        <v>1</v>
      </c>
      <c r="P10" s="2883">
        <v>0.7</v>
      </c>
      <c r="Q10" s="2884">
        <v>365</v>
      </c>
      <c r="R10" s="2885">
        <f t="shared" si="0"/>
        <v>8943</v>
      </c>
      <c r="S10" s="2839"/>
      <c r="T10" s="2839"/>
      <c r="U10" s="2839"/>
      <c r="V10" s="2847"/>
    </row>
    <row r="11" spans="1:22" s="2851" customFormat="1" ht="13.2" customHeight="1">
      <c r="A11" s="2886">
        <v>3</v>
      </c>
      <c r="B11" s="3724" t="s">
        <v>2361</v>
      </c>
      <c r="C11" s="3725"/>
      <c r="D11" s="2887">
        <f ca="1">D12+D14+D15+D16</f>
        <v>1049</v>
      </c>
      <c r="E11" s="2893">
        <f ca="1">D11/D6</f>
        <v>7.3310503878677755E-2</v>
      </c>
      <c r="F11" s="2889"/>
      <c r="G11" s="2890"/>
      <c r="H11" s="2846"/>
      <c r="I11" s="2847"/>
      <c r="J11" s="3707"/>
      <c r="K11" s="3709"/>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17" t="s">
        <v>2364</v>
      </c>
      <c r="C12" s="3718"/>
      <c r="D12" s="2895">
        <f ca="1">ROUND(D13*1.2%*(1-30%),0)</f>
        <v>259</v>
      </c>
      <c r="E12" s="2896">
        <v>1.2E-2</v>
      </c>
      <c r="F12" s="2889" t="s">
        <v>2365</v>
      </c>
      <c r="G12" s="2890"/>
      <c r="H12" s="2846"/>
      <c r="I12" s="2847"/>
      <c r="J12" s="3707"/>
      <c r="K12" s="3709"/>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f ca="1">成本法!C49/'数据-汇总表'!E3*'数据-汇总表'!E19</f>
        <v>30796.909142430053</v>
      </c>
      <c r="E13" s="2900"/>
      <c r="F13" s="2889"/>
      <c r="G13" s="2890"/>
      <c r="H13" s="2846"/>
      <c r="I13" s="2847"/>
      <c r="J13" s="3707"/>
      <c r="K13" s="3709"/>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17" t="s">
        <v>2370</v>
      </c>
      <c r="C14" s="3718"/>
      <c r="D14" s="2895">
        <f>ROUND(E14*B5/10000,0)</f>
        <v>3</v>
      </c>
      <c r="E14" s="3462">
        <v>1.5</v>
      </c>
      <c r="F14" s="2889" t="s">
        <v>2371</v>
      </c>
      <c r="G14" s="2890"/>
      <c r="H14" s="2846"/>
      <c r="I14" s="2847"/>
      <c r="J14" s="3707"/>
      <c r="K14" s="3710"/>
      <c r="L14" s="2901" t="s">
        <v>2372</v>
      </c>
      <c r="M14" s="2902">
        <f>SUM(M7:M13)</f>
        <v>500</v>
      </c>
      <c r="N14" s="2902">
        <f>ROUND((N7*M7+N8*M8+N9*M9+N10*M10+N11*M11+N12*M12+N13*M13)/M14,0)</f>
        <v>700</v>
      </c>
      <c r="O14" s="2903"/>
      <c r="P14" s="2903"/>
      <c r="Q14" s="2904"/>
      <c r="R14" s="2850">
        <f>SUM(R7:R13)</f>
        <v>8943</v>
      </c>
      <c r="S14" s="2839"/>
      <c r="T14" s="2839"/>
      <c r="U14" s="2839"/>
      <c r="V14" s="2847"/>
    </row>
    <row r="15" spans="1:22" s="2851" customFormat="1" ht="13.2" customHeight="1">
      <c r="A15" s="2894" t="s">
        <v>2373</v>
      </c>
      <c r="B15" s="3717" t="s">
        <v>2374</v>
      </c>
      <c r="C15" s="3718"/>
      <c r="D15" s="2895">
        <f>ROUND(D6*E15,0)</f>
        <v>787</v>
      </c>
      <c r="E15" s="2896">
        <v>5.5E-2</v>
      </c>
      <c r="F15" s="2889" t="s">
        <v>2375</v>
      </c>
      <c r="G15" s="2871"/>
      <c r="H15" s="2846"/>
      <c r="I15" s="2847"/>
      <c r="J15" s="3707">
        <v>2</v>
      </c>
      <c r="K15" s="3708"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17" t="s">
        <v>2383</v>
      </c>
      <c r="C16" s="3718"/>
      <c r="D16" s="2906">
        <f>D6*E16</f>
        <v>0</v>
      </c>
      <c r="E16" s="2907"/>
      <c r="F16" s="2892" t="s">
        <v>2384</v>
      </c>
      <c r="G16" s="2871"/>
      <c r="H16" s="2846"/>
      <c r="I16" s="2847"/>
      <c r="J16" s="3707"/>
      <c r="K16" s="3709"/>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19" t="s">
        <v>2386</v>
      </c>
      <c r="C17" s="3720"/>
      <c r="D17" s="2909">
        <f>ROUND(D6*E17,0)</f>
        <v>715</v>
      </c>
      <c r="E17" s="2910">
        <v>0.05</v>
      </c>
      <c r="F17" s="2911" t="s">
        <v>2387</v>
      </c>
      <c r="G17" s="2871"/>
      <c r="H17" s="2846"/>
      <c r="I17" s="2847"/>
      <c r="J17" s="3707"/>
      <c r="K17" s="3709"/>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1431</v>
      </c>
      <c r="E18" s="2913">
        <v>0.1</v>
      </c>
      <c r="F18" s="2914" t="s">
        <v>2390</v>
      </c>
      <c r="G18" s="2871"/>
      <c r="H18" s="2846"/>
      <c r="I18" s="2847"/>
      <c r="J18" s="3707"/>
      <c r="K18" s="3709"/>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07"/>
      <c r="K19" s="3710"/>
      <c r="L19" s="2901" t="s">
        <v>2372</v>
      </c>
      <c r="M19" s="2902"/>
      <c r="N19" s="2902">
        <f>SUM(N16:N18)</f>
        <v>0</v>
      </c>
      <c r="O19" s="2903"/>
      <c r="P19" s="2916" t="s">
        <v>3400</v>
      </c>
      <c r="Q19" s="2883">
        <v>0.3</v>
      </c>
      <c r="R19" s="2917">
        <f>ROUND(IF(P19="按比例",R14*Q19,SUM(R16:R18)),0)</f>
        <v>2683</v>
      </c>
      <c r="S19" s="2839"/>
      <c r="T19" s="2839"/>
      <c r="U19" s="2839"/>
      <c r="V19" s="2847"/>
    </row>
    <row r="20" spans="1:22" s="2851" customFormat="1" ht="13.2" customHeight="1">
      <c r="A20" s="2874"/>
      <c r="B20" s="2875"/>
      <c r="C20" s="2875"/>
      <c r="D20" s="2875"/>
      <c r="E20" s="2875"/>
      <c r="F20" s="2918"/>
      <c r="G20" s="2890"/>
      <c r="H20" s="2846"/>
      <c r="I20" s="2847"/>
      <c r="J20" s="3707">
        <v>3</v>
      </c>
      <c r="K20" s="3708"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07"/>
      <c r="K21" s="3709"/>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07"/>
      <c r="K22" s="3709"/>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14309</v>
      </c>
      <c r="D23" s="2932">
        <f>C23*(1+D24)</f>
        <v>14309</v>
      </c>
      <c r="E23" s="2933">
        <f>D23*(1+E24)</f>
        <v>14309</v>
      </c>
      <c r="F23" s="2934"/>
      <c r="G23" s="2935"/>
      <c r="H23" s="2846"/>
      <c r="I23" s="2847"/>
      <c r="J23" s="3707"/>
      <c r="K23" s="3709"/>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07"/>
      <c r="K24" s="3710"/>
      <c r="L24" s="2901" t="s">
        <v>2372</v>
      </c>
      <c r="M24" s="2902">
        <f>SUM(M21:M23)</f>
        <v>0</v>
      </c>
      <c r="N24" s="2902"/>
      <c r="O24" s="2903"/>
      <c r="P24" s="2916" t="s">
        <v>3400</v>
      </c>
      <c r="Q24" s="2883">
        <v>0.3</v>
      </c>
      <c r="R24" s="2917">
        <f>ROUND(IF(P24="按比例",R14*Q24,SUM(R21:R23)),0)</f>
        <v>2683</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 ca="1">D7</f>
        <v>6772</v>
      </c>
      <c r="D26" s="2932">
        <f>D23*D27</f>
        <v>0</v>
      </c>
      <c r="E26" s="2933">
        <f>E23*E27</f>
        <v>0</v>
      </c>
      <c r="F26" s="2934"/>
      <c r="G26" s="2935"/>
      <c r="H26" s="2846"/>
      <c r="I26" s="2847"/>
      <c r="J26" s="3711">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f ca="1">E7</f>
        <v>0.47331050387867774</v>
      </c>
      <c r="D27" s="2939"/>
      <c r="E27" s="2940"/>
      <c r="F27" s="2941"/>
      <c r="G27" s="2935"/>
      <c r="H27" s="2956"/>
      <c r="I27" s="2947"/>
      <c r="J27" s="3712"/>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1430.9</v>
      </c>
      <c r="D29" s="2932">
        <f>D23*C30</f>
        <v>1430.9</v>
      </c>
      <c r="E29" s="2933">
        <f>E23*C30</f>
        <v>1430.9</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0.1</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 ca="1">C23-C26-C29</f>
        <v>6106.1</v>
      </c>
      <c r="D32" s="2932">
        <f>D23-D26-D29</f>
        <v>12878.1</v>
      </c>
      <c r="E32" s="2933">
        <f>E23-E26-E29</f>
        <v>12878.1</v>
      </c>
      <c r="F32" s="2934"/>
      <c r="G32" s="2928"/>
      <c r="H32" s="2846"/>
      <c r="I32" s="2847"/>
      <c r="J32" s="3713" t="s">
        <v>2319</v>
      </c>
      <c r="K32" s="3714"/>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15" t="s">
        <v>2329</v>
      </c>
      <c r="K33" s="3716"/>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f>'数据-取费表'!I6</f>
        <v>5.5E-2</v>
      </c>
      <c r="D34" s="2976">
        <f>C34</f>
        <v>5.5E-2</v>
      </c>
      <c r="E34" s="2977">
        <f>C34</f>
        <v>5.5E-2</v>
      </c>
      <c r="F34" s="2934"/>
      <c r="G34" s="2928"/>
      <c r="H34" s="2956"/>
      <c r="I34" s="2947"/>
      <c r="J34" s="3715" t="s">
        <v>2331</v>
      </c>
      <c r="K34" s="3716"/>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v>2.5000000000000001E-2</v>
      </c>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f>项目基本情况!D15</f>
        <v>36.29</v>
      </c>
      <c r="D36" s="2986"/>
      <c r="E36" s="2987"/>
      <c r="F36" s="2988">
        <f>C36+D36+E36</f>
        <v>36.29</v>
      </c>
      <c r="G36" s="2928"/>
      <c r="H36" s="2846"/>
      <c r="I36" s="2847"/>
      <c r="J36" s="3707">
        <v>1</v>
      </c>
      <c r="K36" s="3708"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07"/>
      <c r="K37" s="3709"/>
      <c r="L37" s="2881"/>
      <c r="M37" s="2882"/>
      <c r="N37" s="2858"/>
      <c r="O37" s="2883"/>
      <c r="P37" s="2883"/>
      <c r="Q37" s="2884"/>
      <c r="R37" s="2885"/>
      <c r="S37" s="2920"/>
      <c r="T37" s="2839" t="s">
        <v>2347</v>
      </c>
      <c r="U37" s="2839"/>
      <c r="V37" s="2847"/>
    </row>
    <row r="38" spans="1:23" s="2851" customFormat="1" ht="13.2" customHeight="1">
      <c r="A38" s="2929">
        <v>8</v>
      </c>
      <c r="B38" s="2930"/>
      <c r="C38" s="2887">
        <f ca="1">ROUND(C32*(1-((1+C35)/(1+C34))^C36)/(C34-C35),0)</f>
        <v>132090</v>
      </c>
      <c r="D38" s="2887">
        <f>IF(D23=0,0,ROUND(D32*(1-((1+D35)/(1+D34))^D36)/(D34-D35),0))</f>
        <v>0</v>
      </c>
      <c r="E38" s="2887">
        <f>IF(E23=0,0,ROUND(E32*(1-((1+E35)/(1+E34))^E36)/(E34-E35),0))</f>
        <v>0</v>
      </c>
      <c r="F38" s="2934"/>
      <c r="G38" s="2928"/>
      <c r="H38" s="2846"/>
      <c r="I38" s="2847"/>
      <c r="J38" s="3707"/>
      <c r="K38" s="3709"/>
      <c r="L38" s="2881"/>
      <c r="M38" s="2882"/>
      <c r="N38" s="2858"/>
      <c r="O38" s="2883"/>
      <c r="P38" s="2883"/>
      <c r="Q38" s="2884"/>
      <c r="R38" s="2885"/>
      <c r="S38" s="2920"/>
      <c r="T38" s="2839" t="s">
        <v>2354</v>
      </c>
      <c r="U38" s="2839"/>
      <c r="V38" s="2847"/>
    </row>
    <row r="39" spans="1:23" s="2851" customFormat="1" ht="13.2" customHeight="1">
      <c r="A39" s="2929">
        <v>9</v>
      </c>
      <c r="B39" s="2930" t="s">
        <v>2432</v>
      </c>
      <c r="C39" s="2895">
        <f ca="1">C38</f>
        <v>132090</v>
      </c>
      <c r="D39" s="2930">
        <f>D38/(1+D34)^C36</f>
        <v>0</v>
      </c>
      <c r="E39" s="2930">
        <f>E38/(1+E34)^(C36+D36)</f>
        <v>0</v>
      </c>
      <c r="F39" s="2934"/>
      <c r="G39" s="2989"/>
      <c r="H39" s="2846"/>
      <c r="I39" s="2847"/>
      <c r="J39" s="3707"/>
      <c r="K39" s="3709"/>
      <c r="L39" s="2881"/>
      <c r="M39" s="2882"/>
      <c r="N39" s="2858"/>
      <c r="O39" s="2883"/>
      <c r="P39" s="2883"/>
      <c r="Q39" s="2884"/>
      <c r="R39" s="2885"/>
      <c r="S39" s="2920"/>
      <c r="T39" s="2839"/>
      <c r="U39" s="2839"/>
      <c r="V39" s="2847"/>
    </row>
    <row r="40" spans="1:23" s="2851" customFormat="1" ht="13.2" customHeight="1">
      <c r="A40" s="2990">
        <v>10</v>
      </c>
      <c r="B40" s="2930" t="s">
        <v>2433</v>
      </c>
      <c r="C40" s="2991">
        <f ca="1">C39+D39+E39</f>
        <v>132090</v>
      </c>
      <c r="D40" s="2992"/>
      <c r="E40" s="2992"/>
      <c r="F40" s="2993"/>
      <c r="G40" s="2928"/>
      <c r="H40" s="2846"/>
      <c r="I40" s="2847"/>
      <c r="J40" s="3707"/>
      <c r="K40" s="3710"/>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f ca="1">ROUND(C40*10000/B4,0)</f>
        <v>16574</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11">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12"/>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1657</v>
      </c>
      <c r="B1" s="1867"/>
      <c r="C1" s="1867"/>
      <c r="D1" s="1867"/>
      <c r="E1" s="1868"/>
      <c r="F1" s="2705"/>
      <c r="G1" s="1488"/>
      <c r="H1" s="1488"/>
      <c r="I1" s="1488"/>
      <c r="J1" s="1488"/>
      <c r="K1" s="1488"/>
      <c r="L1" s="1488"/>
      <c r="M1" s="1488"/>
      <c r="N1" s="1488"/>
      <c r="O1" s="1488"/>
      <c r="P1" s="1488"/>
      <c r="Q1" s="1488"/>
      <c r="R1" s="1488"/>
      <c r="S1" s="1488"/>
    </row>
    <row r="2" spans="1:22" ht="15.6">
      <c r="A2" s="1869" t="s">
        <v>1461</v>
      </c>
      <c r="B2" s="1870">
        <f ca="1">SUMIF(B6:B13,"&lt;&gt;#ref!",B6:B13)</f>
        <v>42295</v>
      </c>
      <c r="C2" s="1871" t="s">
        <v>1650</v>
      </c>
      <c r="D2" s="1872" t="s">
        <v>1651</v>
      </c>
      <c r="E2" s="2605">
        <f>SUM(E6:E13)</f>
        <v>56691.6</v>
      </c>
      <c r="F2" s="2705"/>
      <c r="G2" s="1488"/>
      <c r="H2" s="1488"/>
      <c r="I2" s="1488"/>
      <c r="J2" s="1488"/>
      <c r="K2" s="1488"/>
      <c r="L2" s="1488"/>
      <c r="M2" s="1488"/>
      <c r="N2" s="1488"/>
      <c r="O2" s="1488"/>
      <c r="P2" s="1488"/>
      <c r="Q2" s="1488"/>
      <c r="R2" s="1488"/>
      <c r="S2" s="1488"/>
    </row>
    <row r="3" spans="1:22" ht="15.6">
      <c r="A3" s="1869" t="s">
        <v>686</v>
      </c>
      <c r="B3" s="2599">
        <f ca="1">ROUND(B2*10000/E2,0)</f>
        <v>7461</v>
      </c>
      <c r="C3" s="1871" t="s">
        <v>1658</v>
      </c>
      <c r="D3" s="2707"/>
      <c r="E3" s="2709"/>
      <c r="F3" s="2705"/>
      <c r="G3" s="1488"/>
      <c r="H3" s="1488"/>
      <c r="I3" s="1488"/>
      <c r="J3" s="1488"/>
      <c r="K3" s="1488"/>
      <c r="L3" s="1488"/>
      <c r="M3" s="1488"/>
      <c r="N3" s="1488"/>
      <c r="O3" s="1488"/>
      <c r="P3" s="1488"/>
      <c r="Q3" s="1488"/>
      <c r="R3" s="1488"/>
      <c r="S3" s="1488"/>
    </row>
    <row r="4" spans="1:22" ht="15.6">
      <c r="A4" s="2710"/>
      <c r="B4" s="2707"/>
      <c r="C4" s="2707"/>
      <c r="D4" s="2707"/>
      <c r="E4" s="2709"/>
      <c r="F4" s="2705"/>
      <c r="G4" s="1488"/>
      <c r="H4" s="1488"/>
      <c r="I4" s="1488"/>
      <c r="J4" s="1488"/>
      <c r="K4" s="1488"/>
      <c r="L4" s="1488"/>
      <c r="M4" s="1488"/>
      <c r="N4" s="1488"/>
      <c r="O4" s="1488"/>
      <c r="P4" s="1488"/>
      <c r="Q4" s="1488"/>
      <c r="R4" s="1488"/>
      <c r="S4" s="1488"/>
    </row>
    <row r="5" spans="1:22" ht="14.4">
      <c r="A5" s="2601" t="s">
        <v>1652</v>
      </c>
      <c r="B5" s="3726" t="s">
        <v>1653</v>
      </c>
      <c r="C5" s="3727"/>
      <c r="D5" s="2706"/>
      <c r="E5" s="1873" t="s">
        <v>1654</v>
      </c>
      <c r="F5" s="1874" t="s">
        <v>1655</v>
      </c>
      <c r="G5" s="1488"/>
      <c r="H5" s="1488"/>
      <c r="I5" s="1488"/>
      <c r="J5" s="1488"/>
      <c r="K5" s="1488"/>
      <c r="L5" s="1488"/>
      <c r="M5" s="1488"/>
      <c r="N5" s="1488"/>
      <c r="O5" s="1488"/>
      <c r="P5" s="1488"/>
      <c r="Q5" s="1488"/>
      <c r="R5" s="1488"/>
      <c r="S5" s="1488"/>
    </row>
    <row r="6" spans="1:22" ht="14.4">
      <c r="A6" s="2602">
        <f>'数据-取费表'!AN6</f>
        <v>0</v>
      </c>
      <c r="B6" s="2600" t="e">
        <f ca="1">IF(F6="是",'数据-取费表'!AO6,0)</f>
        <v>#REF!</v>
      </c>
      <c r="C6" s="1871" t="s">
        <v>1650</v>
      </c>
      <c r="D6" s="2707"/>
      <c r="E6" s="2604">
        <f>IF(OR(A6=0,F6="否"),0,'数据-取费表'!K6+'数据-取费表'!S6)</f>
        <v>0</v>
      </c>
      <c r="F6" s="1875" t="s">
        <v>1656</v>
      </c>
      <c r="G6" s="1488"/>
      <c r="H6" s="1488"/>
      <c r="I6" s="1488"/>
      <c r="J6" s="1488"/>
      <c r="K6" s="1488"/>
      <c r="L6" s="1488"/>
      <c r="M6" s="1488"/>
      <c r="N6" s="1488"/>
      <c r="O6" s="1488"/>
      <c r="P6" s="1488"/>
      <c r="Q6" s="1488"/>
      <c r="R6" s="1488"/>
      <c r="S6" s="1488"/>
    </row>
    <row r="7" spans="1:22" ht="14.4">
      <c r="A7" s="2602" t="str">
        <f>'数据-取费表'!AN7</f>
        <v>收益法</v>
      </c>
      <c r="B7" s="2600">
        <f ca="1">IF(F7="是",'数据-取费表'!AO7,0)</f>
        <v>41264</v>
      </c>
      <c r="C7" s="1871" t="s">
        <v>1650</v>
      </c>
      <c r="D7" s="2707"/>
      <c r="E7" s="2604">
        <f>IF(OR(A7=0,F7="否"),0,'数据-取费表'!K7+'数据-取费表'!S7)</f>
        <v>27795.07</v>
      </c>
      <c r="F7" s="1875" t="s">
        <v>1656</v>
      </c>
      <c r="G7" s="1488"/>
      <c r="H7" s="1488"/>
      <c r="I7" s="1488"/>
      <c r="J7" s="1488"/>
      <c r="K7" s="1488"/>
      <c r="L7" s="1488"/>
      <c r="M7" s="1488"/>
      <c r="N7" s="1488"/>
      <c r="O7" s="1488"/>
      <c r="P7" s="1488"/>
      <c r="Q7" s="1488"/>
      <c r="R7" s="1488"/>
      <c r="S7" s="1488"/>
    </row>
    <row r="8" spans="1:22" ht="14.4">
      <c r="A8" s="2602" t="str">
        <f>'数据-取费表'!AN8</f>
        <v>收益法(车库)</v>
      </c>
      <c r="B8" s="2600">
        <f ca="1">IF(F8="是",'数据-取费表'!AO8,0)</f>
        <v>1031</v>
      </c>
      <c r="C8" s="1871" t="s">
        <v>1650</v>
      </c>
      <c r="D8" s="2707"/>
      <c r="E8" s="2604">
        <f>IF(OR(A8=0,F8="否"),0,'数据-取费表'!K8+'数据-取费表'!S8)</f>
        <v>28896.53</v>
      </c>
      <c r="F8" s="1875" t="s">
        <v>1656</v>
      </c>
      <c r="G8" s="1488"/>
      <c r="H8" s="1488"/>
      <c r="I8" s="1488"/>
      <c r="J8" s="1488"/>
      <c r="K8" s="1488"/>
      <c r="L8" s="1488"/>
      <c r="M8" s="1488"/>
      <c r="N8" s="1488"/>
      <c r="O8" s="1488"/>
      <c r="P8" s="1488"/>
      <c r="Q8" s="1488"/>
      <c r="R8" s="1488"/>
      <c r="S8" s="1488"/>
    </row>
    <row r="9" spans="1:22" ht="14.4">
      <c r="A9" s="2602">
        <f>'数据-取费表'!AN9</f>
        <v>0</v>
      </c>
      <c r="B9" s="2600" t="e">
        <f ca="1">IF(F9="是",'数据-取费表'!AO9,0)</f>
        <v>#REF!</v>
      </c>
      <c r="C9" s="1871" t="s">
        <v>1650</v>
      </c>
      <c r="D9" s="2707"/>
      <c r="E9" s="2604">
        <f>IF(OR(A9=0,F9="否"),0,'数据-取费表'!K9+'数据-取费表'!S9)</f>
        <v>0</v>
      </c>
      <c r="F9" s="1875" t="s">
        <v>1656</v>
      </c>
      <c r="G9" s="1488"/>
      <c r="H9" s="1488"/>
      <c r="I9" s="1488"/>
      <c r="J9" s="1488"/>
      <c r="K9" s="1488"/>
      <c r="L9" s="1488"/>
      <c r="M9" s="1488"/>
      <c r="N9" s="1488"/>
      <c r="O9" s="1488"/>
      <c r="P9" s="1488"/>
      <c r="Q9" s="1488"/>
      <c r="R9" s="1488"/>
      <c r="S9" s="1488"/>
    </row>
    <row r="10" spans="1:22" ht="14.4">
      <c r="A10" s="2602">
        <f>'数据-取费表'!AN10</f>
        <v>0</v>
      </c>
      <c r="B10" s="2600" t="e">
        <f ca="1">IF(F10="是",'数据-取费表'!AO10,0)</f>
        <v>#REF!</v>
      </c>
      <c r="C10" s="1871" t="s">
        <v>1650</v>
      </c>
      <c r="D10" s="2707"/>
      <c r="E10" s="2604">
        <f>IF(OR(A10=0,F10="否"),0,'数据-取费表'!K10+'数据-取费表'!S10)</f>
        <v>0</v>
      </c>
      <c r="F10" s="1875" t="s">
        <v>1656</v>
      </c>
      <c r="G10" s="1488"/>
      <c r="H10" s="1488"/>
      <c r="I10" s="1488"/>
      <c r="J10" s="1488"/>
      <c r="K10" s="1488"/>
      <c r="L10" s="1488"/>
      <c r="M10" s="1488"/>
      <c r="N10" s="1488"/>
      <c r="O10" s="1488"/>
      <c r="P10" s="1488"/>
      <c r="Q10" s="1488"/>
      <c r="R10" s="1488"/>
      <c r="S10" s="1488"/>
    </row>
    <row r="11" spans="1:22" ht="14.4">
      <c r="A11" s="2602">
        <f>'数据-取费表'!AN11</f>
        <v>0</v>
      </c>
      <c r="B11" s="2600" t="e">
        <f ca="1">IF(F11="是",'数据-取费表'!AO11,0)</f>
        <v>#REF!</v>
      </c>
      <c r="C11" s="1871" t="s">
        <v>1650</v>
      </c>
      <c r="D11" s="2707"/>
      <c r="E11" s="2604">
        <f>IF(OR(A11=0,F11="否"),0,'数据-取费表'!K11+'数据-取费表'!S11)</f>
        <v>0</v>
      </c>
      <c r="F11" s="1875" t="s">
        <v>1656</v>
      </c>
      <c r="G11" s="1488"/>
      <c r="H11" s="1488"/>
      <c r="I11" s="1488"/>
      <c r="J11" s="1488"/>
      <c r="K11" s="1488"/>
      <c r="L11" s="1488"/>
      <c r="M11" s="1488"/>
      <c r="N11" s="1488"/>
      <c r="O11" s="1488"/>
      <c r="P11" s="1488"/>
      <c r="Q11" s="1488"/>
      <c r="R11" s="1488"/>
      <c r="S11" s="1488"/>
    </row>
    <row r="12" spans="1:22" ht="14.4">
      <c r="A12" s="2602">
        <f>'数据-取费表'!AN12</f>
        <v>0</v>
      </c>
      <c r="B12" s="2600" t="e">
        <f ca="1">IF(F12="是",'数据-取费表'!AO12,0)</f>
        <v>#REF!</v>
      </c>
      <c r="C12" s="1871" t="s">
        <v>1650</v>
      </c>
      <c r="D12" s="2707"/>
      <c r="E12" s="2604">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1650</v>
      </c>
      <c r="D13" s="2708"/>
      <c r="E13" s="2604">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受贵公司委托，我公司对北京市出让国有建设用地使用权及在建建筑物房地产抵押价值进行了预评估。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估价对象为北京市出让国有建设用地使用权及在建建筑物房地产，为所有。根据《国有土地使用证》[]，估价对象（分摊）出让国有建设用地使用权面积为37315.09平方米，建筑面积为149436.09平方米。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37315.09平方米，规划建筑面积为149436.09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为估价委托人在向农商银行大兴支行办理贷款手续过程中，确定房地产抵押贷款额度提供参考依据而评估房地产抵押价值。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2022年12月22日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9" t="str">
        <f>IF(项目基本情况!B9="房地产市场价值","——",IF(项目基本情况!E9="——","",定义!C57))</f>
        <v/>
      </c>
    </row>
    <row r="23" spans="1:1" ht="17.399999999999999">
      <c r="A23" s="1484" t="s">
        <v>896</v>
      </c>
    </row>
    <row r="24" spans="1:1" ht="17.399999999999999">
      <c r="A24" s="1486" t="str">
        <f>"本次评估采用的主估价方法为"&amp;结果表!K4&amp;"和"&amp;结果表!L4&amp;"。"</f>
        <v>本次评估采用的主估价方法为成本法和假设开发法。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AA75" activeCellId="1" sqref="N112 AA75"/>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877" t="s">
        <v>1660</v>
      </c>
      <c r="C1" s="1237" t="s">
        <v>1661</v>
      </c>
      <c r="D1" s="1224"/>
      <c r="E1" s="3426"/>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7"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149436.09</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4.4">
      <c r="A4" s="355" t="s">
        <v>1665</v>
      </c>
      <c r="B4" s="356"/>
      <c r="C4" s="3658" t="s">
        <v>1666</v>
      </c>
      <c r="D4" s="3670"/>
      <c r="E4" s="3671" t="s">
        <v>1667</v>
      </c>
      <c r="F4" s="3672"/>
      <c r="G4" s="3658" t="s">
        <v>1668</v>
      </c>
      <c r="H4" s="3670"/>
      <c r="I4" s="3658" t="s">
        <v>1669</v>
      </c>
      <c r="J4" s="3670"/>
      <c r="K4" s="1888" t="s">
        <v>1670</v>
      </c>
      <c r="L4" s="2713"/>
      <c r="M4" s="2714"/>
      <c r="N4" s="2714"/>
      <c r="O4" s="2714"/>
      <c r="P4" s="3673" t="s">
        <v>1671</v>
      </c>
      <c r="Q4" s="3674"/>
      <c r="R4" s="3679" t="s">
        <v>1667</v>
      </c>
      <c r="S4" s="3680"/>
      <c r="T4" s="3679" t="s">
        <v>1668</v>
      </c>
      <c r="U4" s="3680"/>
      <c r="V4" s="3666" t="s">
        <v>1669</v>
      </c>
      <c r="W4" s="3666"/>
      <c r="X4" s="1354"/>
      <c r="Y4" s="3679" t="s">
        <v>1671</v>
      </c>
      <c r="Z4" s="3680"/>
      <c r="AA4" s="3667" t="s">
        <v>1667</v>
      </c>
      <c r="AB4" s="3667" t="s">
        <v>1668</v>
      </c>
      <c r="AC4" s="3667" t="s">
        <v>1669</v>
      </c>
    </row>
    <row r="5" spans="1:29">
      <c r="A5" s="358"/>
      <c r="B5" s="359"/>
      <c r="C5" s="3687" t="s">
        <v>1672</v>
      </c>
      <c r="D5" s="3688"/>
      <c r="E5" s="3694" t="s">
        <v>1673</v>
      </c>
      <c r="F5" s="3695"/>
      <c r="G5" s="3687" t="s">
        <v>1674</v>
      </c>
      <c r="H5" s="3688"/>
      <c r="I5" s="3687" t="s">
        <v>1675</v>
      </c>
      <c r="J5" s="3688"/>
      <c r="K5" s="1889"/>
      <c r="L5" s="2713"/>
      <c r="M5" s="2714"/>
      <c r="N5" s="2714"/>
      <c r="O5" s="2714"/>
      <c r="P5" s="3675"/>
      <c r="Q5" s="3676"/>
      <c r="R5" s="3681"/>
      <c r="S5" s="3682"/>
      <c r="T5" s="3681"/>
      <c r="U5" s="3682"/>
      <c r="V5" s="3666"/>
      <c r="W5" s="3666"/>
      <c r="X5" s="1354"/>
      <c r="Y5" s="3681"/>
      <c r="Z5" s="3682"/>
      <c r="AA5" s="3668"/>
      <c r="AB5" s="3668"/>
      <c r="AC5" s="3668"/>
    </row>
    <row r="6" spans="1:29" ht="15" thickBot="1">
      <c r="A6" s="360"/>
      <c r="B6" s="361"/>
      <c r="C6" s="3685" t="s">
        <v>1676</v>
      </c>
      <c r="D6" s="3686"/>
      <c r="E6" s="3692" t="s">
        <v>1676</v>
      </c>
      <c r="F6" s="3693"/>
      <c r="G6" s="3685" t="s">
        <v>1676</v>
      </c>
      <c r="H6" s="3686"/>
      <c r="I6" s="3685" t="s">
        <v>1676</v>
      </c>
      <c r="J6" s="3686"/>
      <c r="K6" s="1889" t="s">
        <v>1677</v>
      </c>
      <c r="L6" s="2713"/>
      <c r="M6" s="2714"/>
      <c r="N6" s="2714"/>
      <c r="O6" s="2714"/>
      <c r="P6" s="3677"/>
      <c r="Q6" s="3678"/>
      <c r="R6" s="3681"/>
      <c r="S6" s="3682"/>
      <c r="T6" s="3683"/>
      <c r="U6" s="3684"/>
      <c r="V6" s="3666"/>
      <c r="W6" s="3666"/>
      <c r="X6" s="1354"/>
      <c r="Y6" s="3683"/>
      <c r="Z6" s="3684"/>
      <c r="AA6" s="3669"/>
      <c r="AB6" s="3669"/>
      <c r="AC6" s="3669"/>
    </row>
    <row r="7" spans="1:29" s="108" customFormat="1" ht="15" thickBot="1">
      <c r="A7" s="362" t="s">
        <v>1678</v>
      </c>
      <c r="B7" s="363"/>
      <c r="C7" s="364">
        <f>'数据-取费表'!B2</f>
        <v>44917</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89" t="s">
        <v>1679</v>
      </c>
      <c r="Q7" s="3691"/>
      <c r="R7" s="701" t="s">
        <v>20</v>
      </c>
      <c r="S7" s="702">
        <f t="shared" ref="S7:S15" si="0">F7</f>
        <v>0</v>
      </c>
      <c r="T7" s="701" t="s">
        <v>20</v>
      </c>
      <c r="U7" s="702">
        <f t="shared" ref="U7:U15" si="1">H7</f>
        <v>0</v>
      </c>
      <c r="V7" s="701" t="s">
        <v>20</v>
      </c>
      <c r="W7" s="702">
        <f t="shared" ref="W7:W15" si="2">J7</f>
        <v>0</v>
      </c>
      <c r="X7" s="703"/>
      <c r="Y7" s="3689" t="s">
        <v>1679</v>
      </c>
      <c r="Z7" s="3690"/>
      <c r="AA7" s="704" t="e">
        <f>D7/F7</f>
        <v>#DIV/0!</v>
      </c>
      <c r="AB7" s="704" t="e">
        <f>D7/H7</f>
        <v>#DIV/0!</v>
      </c>
      <c r="AC7" s="704" t="e">
        <f>D7/J7</f>
        <v>#DIV/0!</v>
      </c>
    </row>
    <row r="8" spans="1:29" s="108" customFormat="1" ht="1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89" t="s">
        <v>1682</v>
      </c>
      <c r="Q8" s="3690"/>
      <c r="R8" s="701" t="s">
        <v>20</v>
      </c>
      <c r="S8" s="702">
        <f t="shared" si="0"/>
        <v>100</v>
      </c>
      <c r="T8" s="701" t="s">
        <v>20</v>
      </c>
      <c r="U8" s="702">
        <f t="shared" si="1"/>
        <v>100</v>
      </c>
      <c r="V8" s="701" t="s">
        <v>20</v>
      </c>
      <c r="W8" s="702">
        <f t="shared" si="2"/>
        <v>100</v>
      </c>
      <c r="X8" s="703"/>
      <c r="Y8" s="3689" t="s">
        <v>1682</v>
      </c>
      <c r="Z8" s="3690"/>
      <c r="AA8" s="704">
        <f t="shared" ref="AA8:AA19" si="3">D8/F8</f>
        <v>1</v>
      </c>
      <c r="AB8" s="704">
        <f t="shared" ref="AB8:AB19" si="4">D8/H8</f>
        <v>1</v>
      </c>
      <c r="AC8" s="704">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60" t="s">
        <v>1685</v>
      </c>
      <c r="Q9" s="1342"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8.8">
      <c r="A10" s="374"/>
      <c r="B10" s="375" t="s">
        <v>1687</v>
      </c>
      <c r="C10" s="3435"/>
      <c r="D10" s="127">
        <v>100</v>
      </c>
      <c r="E10" s="3436"/>
      <c r="F10" s="376">
        <f>SUMIF(65:65,E10,66:66)-SUMIF(65:65,C10,66:66)+100</f>
        <v>100</v>
      </c>
      <c r="G10" s="3435"/>
      <c r="H10" s="127">
        <f>SUMIF(65:65,G10,66:66)-SUMIF(65:65,C10,66:66)+100</f>
        <v>100</v>
      </c>
      <c r="I10" s="3435"/>
      <c r="J10" s="127">
        <f>SUMIF(65:65,I10,66:66)-SUMIF(65:65,C10,66:66)+100</f>
        <v>100</v>
      </c>
      <c r="K10" s="1890"/>
      <c r="L10" s="2717"/>
      <c r="M10" s="2718"/>
      <c r="N10" s="2718"/>
      <c r="O10" s="2718"/>
      <c r="P10" s="3660"/>
      <c r="Q10" s="1342"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0"/>
      <c r="Q11" s="1342"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60"/>
      <c r="Q12" s="1342">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60"/>
      <c r="Q13" s="1342">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60"/>
      <c r="Q14" s="1342">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96.6">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4" t="s">
        <v>1690</v>
      </c>
      <c r="Q15" s="1351" t="str">
        <f t="shared" si="6"/>
        <v>居住社区成熟度</v>
      </c>
      <c r="R15" s="705" t="s">
        <v>18</v>
      </c>
      <c r="S15" s="706">
        <f t="shared" si="0"/>
        <v>100</v>
      </c>
      <c r="T15" s="705" t="s">
        <v>18</v>
      </c>
      <c r="U15" s="706">
        <f t="shared" si="1"/>
        <v>100</v>
      </c>
      <c r="V15" s="705" t="s">
        <v>18</v>
      </c>
      <c r="W15" s="706">
        <f t="shared" si="2"/>
        <v>100</v>
      </c>
      <c r="X15" s="1354"/>
      <c r="Y15" s="3662"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35"/>
      <c r="Q16" s="1351"/>
      <c r="R16" s="705"/>
      <c r="S16" s="706"/>
      <c r="T16" s="705"/>
      <c r="U16" s="706"/>
      <c r="V16" s="705"/>
      <c r="W16" s="706"/>
      <c r="X16" s="1354"/>
      <c r="Y16" s="3663"/>
      <c r="Z16" s="1355"/>
      <c r="AA16" s="1352">
        <v>1</v>
      </c>
      <c r="AB16" s="1352">
        <v>1</v>
      </c>
      <c r="AC16" s="1352">
        <v>1</v>
      </c>
    </row>
    <row r="17" spans="1:29" ht="82.8">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5"/>
      <c r="Q17" s="1351" t="str">
        <f>B17</f>
        <v>交通便捷度</v>
      </c>
      <c r="R17" s="705" t="s">
        <v>18</v>
      </c>
      <c r="S17" s="706">
        <f>F17</f>
        <v>100</v>
      </c>
      <c r="T17" s="705" t="s">
        <v>18</v>
      </c>
      <c r="U17" s="706">
        <f>H17</f>
        <v>100</v>
      </c>
      <c r="V17" s="705" t="s">
        <v>18</v>
      </c>
      <c r="W17" s="706">
        <f>J17</f>
        <v>100</v>
      </c>
      <c r="X17" s="1354"/>
      <c r="Y17" s="366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35"/>
      <c r="Q18" s="1351"/>
      <c r="R18" s="705"/>
      <c r="S18" s="706"/>
      <c r="T18" s="705"/>
      <c r="U18" s="706"/>
      <c r="V18" s="705"/>
      <c r="W18" s="706"/>
      <c r="X18" s="1354"/>
      <c r="Y18" s="3663"/>
      <c r="Z18" s="1355"/>
      <c r="AA18" s="1352">
        <v>1</v>
      </c>
      <c r="AB18" s="1352">
        <v>1</v>
      </c>
      <c r="AC18" s="1352">
        <v>1</v>
      </c>
    </row>
    <row r="19" spans="1:29" ht="41.4">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5"/>
      <c r="Q19" s="1351" t="str">
        <f>B19</f>
        <v>公共配套设施</v>
      </c>
      <c r="R19" s="705" t="s">
        <v>18</v>
      </c>
      <c r="S19" s="706">
        <f>F19</f>
        <v>100</v>
      </c>
      <c r="T19" s="705" t="s">
        <v>18</v>
      </c>
      <c r="U19" s="706">
        <f>H19</f>
        <v>100</v>
      </c>
      <c r="V19" s="705" t="s">
        <v>18</v>
      </c>
      <c r="W19" s="706">
        <f>J19</f>
        <v>100</v>
      </c>
      <c r="X19" s="1354"/>
      <c r="Y19" s="366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35"/>
      <c r="Q20" s="1351"/>
      <c r="R20" s="705"/>
      <c r="S20" s="706"/>
      <c r="T20" s="705"/>
      <c r="U20" s="706"/>
      <c r="V20" s="705"/>
      <c r="W20" s="706"/>
      <c r="X20" s="1354"/>
      <c r="Y20" s="3663"/>
      <c r="Z20" s="1355"/>
      <c r="AA20" s="1352">
        <v>1</v>
      </c>
      <c r="AB20" s="1352">
        <v>1</v>
      </c>
      <c r="AC20" s="1352">
        <v>1</v>
      </c>
    </row>
    <row r="21" spans="1:29" ht="27.6">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5"/>
      <c r="Q21" s="1351" t="str">
        <f>B21</f>
        <v>基础设施水平</v>
      </c>
      <c r="R21" s="705" t="s">
        <v>14</v>
      </c>
      <c r="S21" s="706">
        <f>F21</f>
        <v>100</v>
      </c>
      <c r="T21" s="705" t="s">
        <v>14</v>
      </c>
      <c r="U21" s="706">
        <f>H21</f>
        <v>100</v>
      </c>
      <c r="V21" s="705" t="s">
        <v>14</v>
      </c>
      <c r="W21" s="706">
        <f>J21</f>
        <v>100</v>
      </c>
      <c r="X21" s="1354"/>
      <c r="Y21" s="366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0"/>
      <c r="M22" s="2714"/>
      <c r="N22" s="2714"/>
      <c r="O22" s="2714"/>
      <c r="P22" s="3735"/>
      <c r="Q22" s="1351"/>
      <c r="R22" s="705"/>
      <c r="S22" s="706"/>
      <c r="T22" s="705"/>
      <c r="U22" s="706"/>
      <c r="V22" s="705"/>
      <c r="W22" s="706"/>
      <c r="X22" s="1354"/>
      <c r="Y22" s="3663"/>
      <c r="Z22" s="1355"/>
      <c r="AA22" s="1352">
        <v>1</v>
      </c>
      <c r="AB22" s="1352">
        <v>1</v>
      </c>
      <c r="AC22" s="1352">
        <v>1</v>
      </c>
    </row>
    <row r="23" spans="1:29" ht="55.2">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5"/>
      <c r="Q23" s="1351" t="str">
        <f>B23</f>
        <v>自然及人文环境</v>
      </c>
      <c r="R23" s="705" t="s">
        <v>18</v>
      </c>
      <c r="S23" s="706">
        <f>F23</f>
        <v>100</v>
      </c>
      <c r="T23" s="705" t="s">
        <v>18</v>
      </c>
      <c r="U23" s="706">
        <f>H23</f>
        <v>100</v>
      </c>
      <c r="V23" s="705" t="s">
        <v>18</v>
      </c>
      <c r="W23" s="706">
        <f>J23</f>
        <v>100</v>
      </c>
      <c r="X23" s="1354"/>
      <c r="Y23" s="366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35"/>
      <c r="Q24" s="1351"/>
      <c r="R24" s="705"/>
      <c r="S24" s="706"/>
      <c r="T24" s="705"/>
      <c r="U24" s="706"/>
      <c r="V24" s="705"/>
      <c r="W24" s="706"/>
      <c r="X24" s="1354"/>
      <c r="Y24" s="3663"/>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3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3"/>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35"/>
      <c r="Q26" s="1351" t="str">
        <f t="shared" si="11"/>
        <v>朝向</v>
      </c>
      <c r="R26" s="705" t="s">
        <v>18</v>
      </c>
      <c r="S26" s="706">
        <f t="shared" si="12"/>
        <v>100</v>
      </c>
      <c r="T26" s="705" t="s">
        <v>18</v>
      </c>
      <c r="U26" s="706">
        <f t="shared" si="13"/>
        <v>100</v>
      </c>
      <c r="V26" s="705" t="s">
        <v>18</v>
      </c>
      <c r="W26" s="706">
        <f t="shared" si="14"/>
        <v>100</v>
      </c>
      <c r="X26" s="1354"/>
      <c r="Y26" s="3663"/>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35"/>
      <c r="Q27" s="1342">
        <f t="shared" si="11"/>
        <v>111</v>
      </c>
      <c r="R27" s="701" t="s">
        <v>18</v>
      </c>
      <c r="S27" s="702">
        <f t="shared" si="12"/>
        <v>100</v>
      </c>
      <c r="T27" s="701" t="s">
        <v>18</v>
      </c>
      <c r="U27" s="702">
        <f t="shared" si="13"/>
        <v>100</v>
      </c>
      <c r="V27" s="701" t="s">
        <v>18</v>
      </c>
      <c r="W27" s="702">
        <f t="shared" si="14"/>
        <v>100</v>
      </c>
      <c r="X27" s="703"/>
      <c r="Y27" s="3663"/>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35"/>
      <c r="Q28" s="1351">
        <f t="shared" si="11"/>
        <v>111</v>
      </c>
      <c r="R28" s="705" t="s">
        <v>18</v>
      </c>
      <c r="S28" s="706">
        <f t="shared" si="12"/>
        <v>100</v>
      </c>
      <c r="T28" s="705" t="s">
        <v>18</v>
      </c>
      <c r="U28" s="706">
        <f t="shared" si="13"/>
        <v>100</v>
      </c>
      <c r="V28" s="705" t="s">
        <v>18</v>
      </c>
      <c r="W28" s="706">
        <f t="shared" si="14"/>
        <v>100</v>
      </c>
      <c r="X28" s="1354"/>
      <c r="Y28" s="3663"/>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35"/>
      <c r="Q29" s="1351">
        <f t="shared" si="11"/>
        <v>111</v>
      </c>
      <c r="R29" s="705" t="s">
        <v>18</v>
      </c>
      <c r="S29" s="706">
        <f t="shared" si="12"/>
        <v>100</v>
      </c>
      <c r="T29" s="705" t="s">
        <v>18</v>
      </c>
      <c r="U29" s="706">
        <f t="shared" si="13"/>
        <v>100</v>
      </c>
      <c r="V29" s="705" t="s">
        <v>18</v>
      </c>
      <c r="W29" s="706">
        <f t="shared" si="14"/>
        <v>100</v>
      </c>
      <c r="X29" s="1354"/>
      <c r="Y29" s="3663"/>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35"/>
      <c r="Q30" s="1351">
        <f t="shared" si="11"/>
        <v>111</v>
      </c>
      <c r="R30" s="705" t="s">
        <v>18</v>
      </c>
      <c r="S30" s="706">
        <f t="shared" si="12"/>
        <v>100</v>
      </c>
      <c r="T30" s="705" t="s">
        <v>18</v>
      </c>
      <c r="U30" s="706">
        <f t="shared" si="13"/>
        <v>100</v>
      </c>
      <c r="V30" s="705" t="s">
        <v>18</v>
      </c>
      <c r="W30" s="706">
        <f t="shared" si="14"/>
        <v>100</v>
      </c>
      <c r="X30" s="1354"/>
      <c r="Y30" s="3663"/>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35"/>
      <c r="Q31" s="1351">
        <f t="shared" si="11"/>
        <v>111</v>
      </c>
      <c r="R31" s="705" t="s">
        <v>18</v>
      </c>
      <c r="S31" s="706">
        <f t="shared" si="12"/>
        <v>100</v>
      </c>
      <c r="T31" s="705" t="s">
        <v>18</v>
      </c>
      <c r="U31" s="706">
        <f t="shared" si="13"/>
        <v>100</v>
      </c>
      <c r="V31" s="705" t="s">
        <v>18</v>
      </c>
      <c r="W31" s="706">
        <f t="shared" si="14"/>
        <v>100</v>
      </c>
      <c r="X31" s="1354"/>
      <c r="Y31" s="3663"/>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0" t="s">
        <v>1695</v>
      </c>
      <c r="Q32" s="1351" t="str">
        <f t="shared" si="11"/>
        <v>建筑类型</v>
      </c>
      <c r="R32" s="705" t="s">
        <v>18</v>
      </c>
      <c r="S32" s="706">
        <f t="shared" si="12"/>
        <v>100</v>
      </c>
      <c r="T32" s="705" t="s">
        <v>18</v>
      </c>
      <c r="U32" s="706">
        <f t="shared" si="13"/>
        <v>100</v>
      </c>
      <c r="V32" s="705" t="s">
        <v>18</v>
      </c>
      <c r="W32" s="706">
        <f t="shared" si="14"/>
        <v>100</v>
      </c>
      <c r="X32" s="1354"/>
      <c r="Y32" s="3665"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1"/>
      <c r="Q33" s="707" t="str">
        <f t="shared" si="11"/>
        <v>项目建筑规模</v>
      </c>
      <c r="R33" s="708" t="s">
        <v>18</v>
      </c>
      <c r="S33" s="709" t="e">
        <f t="shared" si="12"/>
        <v>#N/A</v>
      </c>
      <c r="T33" s="708" t="s">
        <v>18</v>
      </c>
      <c r="U33" s="709" t="e">
        <f t="shared" si="13"/>
        <v>#N/A</v>
      </c>
      <c r="V33" s="708" t="s">
        <v>18</v>
      </c>
      <c r="W33" s="709" t="e">
        <f t="shared" si="14"/>
        <v>#N/A</v>
      </c>
      <c r="X33" s="710"/>
      <c r="Y33" s="3665"/>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1"/>
      <c r="Q34" s="1351" t="str">
        <f t="shared" si="11"/>
        <v>建筑结构</v>
      </c>
      <c r="R34" s="705" t="s">
        <v>18</v>
      </c>
      <c r="S34" s="706">
        <f t="shared" si="12"/>
        <v>100</v>
      </c>
      <c r="T34" s="705" t="s">
        <v>18</v>
      </c>
      <c r="U34" s="706">
        <f t="shared" si="13"/>
        <v>100</v>
      </c>
      <c r="V34" s="705" t="s">
        <v>18</v>
      </c>
      <c r="W34" s="706">
        <f t="shared" si="14"/>
        <v>100</v>
      </c>
      <c r="X34" s="1354"/>
      <c r="Y34" s="3665"/>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1"/>
      <c r="Q35" s="1351" t="str">
        <f t="shared" si="11"/>
        <v>建筑品质</v>
      </c>
      <c r="R35" s="705" t="s">
        <v>18</v>
      </c>
      <c r="S35" s="706">
        <f t="shared" si="12"/>
        <v>100</v>
      </c>
      <c r="T35" s="705" t="s">
        <v>18</v>
      </c>
      <c r="U35" s="706">
        <f t="shared" si="13"/>
        <v>100</v>
      </c>
      <c r="V35" s="705" t="s">
        <v>18</v>
      </c>
      <c r="W35" s="706">
        <f t="shared" si="14"/>
        <v>100</v>
      </c>
      <c r="X35" s="1354"/>
      <c r="Y35" s="3665"/>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1"/>
      <c r="Q36" s="1351" t="str">
        <f t="shared" si="11"/>
        <v>公共部分装修</v>
      </c>
      <c r="R36" s="705" t="s">
        <v>18</v>
      </c>
      <c r="S36" s="706">
        <f t="shared" si="12"/>
        <v>100</v>
      </c>
      <c r="T36" s="705" t="s">
        <v>18</v>
      </c>
      <c r="U36" s="706">
        <f t="shared" si="13"/>
        <v>100</v>
      </c>
      <c r="V36" s="705" t="s">
        <v>18</v>
      </c>
      <c r="W36" s="706">
        <f t="shared" si="14"/>
        <v>100</v>
      </c>
      <c r="X36" s="1354"/>
      <c r="Y36" s="3665"/>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1"/>
      <c r="Q37" s="1342" t="str">
        <f t="shared" si="11"/>
        <v>成新度</v>
      </c>
      <c r="R37" s="701" t="s">
        <v>18</v>
      </c>
      <c r="S37" s="702" t="e">
        <f t="shared" si="12"/>
        <v>#N/A</v>
      </c>
      <c r="T37" s="701" t="s">
        <v>18</v>
      </c>
      <c r="U37" s="702" t="e">
        <f t="shared" si="13"/>
        <v>#N/A</v>
      </c>
      <c r="V37" s="701" t="s">
        <v>18</v>
      </c>
      <c r="W37" s="702" t="e">
        <f t="shared" si="14"/>
        <v>#N/A</v>
      </c>
      <c r="X37" s="703"/>
      <c r="Y37" s="3665"/>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1" t="s">
        <v>1695</v>
      </c>
      <c r="Q38" s="1351" t="str">
        <f t="shared" si="11"/>
        <v>物业管理</v>
      </c>
      <c r="R38" s="705" t="s">
        <v>18</v>
      </c>
      <c r="S38" s="706">
        <f t="shared" si="12"/>
        <v>100</v>
      </c>
      <c r="T38" s="705" t="s">
        <v>18</v>
      </c>
      <c r="U38" s="706">
        <f t="shared" si="13"/>
        <v>100</v>
      </c>
      <c r="V38" s="705" t="s">
        <v>18</v>
      </c>
      <c r="W38" s="706">
        <f t="shared" si="14"/>
        <v>100</v>
      </c>
      <c r="X38" s="1354"/>
      <c r="Y38" s="3665"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1"/>
      <c r="Q39" s="1351" t="str">
        <f t="shared" si="11"/>
        <v>市政基础设施</v>
      </c>
      <c r="R39" s="705" t="s">
        <v>18</v>
      </c>
      <c r="S39" s="706">
        <f t="shared" si="12"/>
        <v>100</v>
      </c>
      <c r="T39" s="705" t="s">
        <v>18</v>
      </c>
      <c r="U39" s="706">
        <f t="shared" si="13"/>
        <v>100</v>
      </c>
      <c r="V39" s="705" t="s">
        <v>18</v>
      </c>
      <c r="W39" s="706">
        <f t="shared" si="14"/>
        <v>100</v>
      </c>
      <c r="X39" s="1354"/>
      <c r="Y39" s="3665"/>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1"/>
      <c r="Q40" s="1351" t="str">
        <f t="shared" si="11"/>
        <v>房型</v>
      </c>
      <c r="R40" s="705" t="s">
        <v>18</v>
      </c>
      <c r="S40" s="706">
        <f t="shared" si="12"/>
        <v>100</v>
      </c>
      <c r="T40" s="705" t="s">
        <v>18</v>
      </c>
      <c r="U40" s="706">
        <f t="shared" si="13"/>
        <v>100</v>
      </c>
      <c r="V40" s="705" t="s">
        <v>18</v>
      </c>
      <c r="W40" s="706">
        <f t="shared" si="14"/>
        <v>100</v>
      </c>
      <c r="X40" s="1354"/>
      <c r="Y40" s="3665"/>
      <c r="Z40" s="1355" t="str">
        <f t="shared" si="18"/>
        <v>房型</v>
      </c>
      <c r="AA40" s="1352">
        <f t="shared" si="15"/>
        <v>1</v>
      </c>
      <c r="AB40" s="1352">
        <f t="shared" si="16"/>
        <v>1</v>
      </c>
      <c r="AC40" s="1352">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1"/>
      <c r="Q41" s="707" t="str">
        <f t="shared" si="11"/>
        <v>单套/主力户型建筑面积</v>
      </c>
      <c r="R41" s="708" t="s">
        <v>18</v>
      </c>
      <c r="S41" s="709">
        <f t="shared" si="12"/>
        <v>100</v>
      </c>
      <c r="T41" s="708" t="s">
        <v>18</v>
      </c>
      <c r="U41" s="709">
        <f t="shared" si="13"/>
        <v>100</v>
      </c>
      <c r="V41" s="708" t="s">
        <v>18</v>
      </c>
      <c r="W41" s="709">
        <f t="shared" si="14"/>
        <v>100</v>
      </c>
      <c r="X41" s="710"/>
      <c r="Y41" s="3665"/>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1"/>
      <c r="Q42" s="1351" t="str">
        <f t="shared" si="11"/>
        <v>内部装修</v>
      </c>
      <c r="R42" s="705" t="s">
        <v>18</v>
      </c>
      <c r="S42" s="706">
        <f t="shared" si="12"/>
        <v>100</v>
      </c>
      <c r="T42" s="705" t="s">
        <v>18</v>
      </c>
      <c r="U42" s="706">
        <f t="shared" si="13"/>
        <v>100</v>
      </c>
      <c r="V42" s="705" t="s">
        <v>18</v>
      </c>
      <c r="W42" s="706">
        <f t="shared" si="14"/>
        <v>100</v>
      </c>
      <c r="X42" s="1354"/>
      <c r="Y42" s="3665"/>
      <c r="Z42" s="1355" t="str">
        <f t="shared" si="18"/>
        <v>内部装修</v>
      </c>
      <c r="AA42" s="1352">
        <f t="shared" si="15"/>
        <v>1</v>
      </c>
      <c r="AB42" s="1352">
        <f t="shared" si="16"/>
        <v>1</v>
      </c>
      <c r="AC42" s="1352">
        <f t="shared" si="17"/>
        <v>1</v>
      </c>
    </row>
    <row r="43" spans="1:29" ht="28.8">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1"/>
      <c r="Q43" s="1351" t="str">
        <f t="shared" si="11"/>
        <v>内部装修维护情况</v>
      </c>
      <c r="R43" s="705" t="s">
        <v>18</v>
      </c>
      <c r="S43" s="706">
        <f t="shared" si="12"/>
        <v>100</v>
      </c>
      <c r="T43" s="705" t="s">
        <v>18</v>
      </c>
      <c r="U43" s="706">
        <f t="shared" si="13"/>
        <v>100</v>
      </c>
      <c r="V43" s="705" t="s">
        <v>18</v>
      </c>
      <c r="W43" s="706">
        <f t="shared" si="14"/>
        <v>100</v>
      </c>
      <c r="X43" s="1354"/>
      <c r="Y43" s="3665"/>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1"/>
      <c r="Q44" s="1342">
        <f t="shared" si="11"/>
        <v>111</v>
      </c>
      <c r="R44" s="701" t="s">
        <v>18</v>
      </c>
      <c r="S44" s="702">
        <f t="shared" si="12"/>
        <v>100</v>
      </c>
      <c r="T44" s="701" t="s">
        <v>18</v>
      </c>
      <c r="U44" s="702">
        <f t="shared" si="13"/>
        <v>100</v>
      </c>
      <c r="V44" s="701" t="s">
        <v>18</v>
      </c>
      <c r="W44" s="702">
        <f t="shared" si="14"/>
        <v>100</v>
      </c>
      <c r="X44" s="703"/>
      <c r="Y44" s="366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1"/>
      <c r="Q45" s="1351">
        <f t="shared" si="11"/>
        <v>111</v>
      </c>
      <c r="R45" s="705" t="s">
        <v>18</v>
      </c>
      <c r="S45" s="706">
        <f t="shared" si="12"/>
        <v>100</v>
      </c>
      <c r="T45" s="705" t="s">
        <v>18</v>
      </c>
      <c r="U45" s="706">
        <f t="shared" si="13"/>
        <v>100</v>
      </c>
      <c r="V45" s="705" t="s">
        <v>18</v>
      </c>
      <c r="W45" s="706">
        <f t="shared" si="14"/>
        <v>100</v>
      </c>
      <c r="X45" s="1354"/>
      <c r="Y45" s="3665"/>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2"/>
      <c r="Q46" s="1351">
        <f t="shared" si="11"/>
        <v>111</v>
      </c>
      <c r="R46" s="705" t="s">
        <v>17</v>
      </c>
      <c r="S46" s="706">
        <f t="shared" si="12"/>
        <v>100</v>
      </c>
      <c r="T46" s="705" t="s">
        <v>17</v>
      </c>
      <c r="U46" s="706">
        <f t="shared" si="13"/>
        <v>100</v>
      </c>
      <c r="V46" s="705" t="s">
        <v>17</v>
      </c>
      <c r="W46" s="706">
        <f t="shared" si="14"/>
        <v>100</v>
      </c>
      <c r="X46" s="1354"/>
      <c r="Y46" s="3733"/>
      <c r="Z46" s="1355">
        <f t="shared" si="18"/>
        <v>111</v>
      </c>
      <c r="AA46" s="1352">
        <f t="shared" si="15"/>
        <v>1</v>
      </c>
      <c r="AB46" s="1352">
        <f t="shared" si="16"/>
        <v>1</v>
      </c>
      <c r="AC46" s="1352">
        <f t="shared" si="17"/>
        <v>1</v>
      </c>
    </row>
    <row r="47" spans="1:29" ht="14.4">
      <c r="A47" s="430" t="s">
        <v>1707</v>
      </c>
      <c r="B47" s="431"/>
      <c r="C47" s="1154" t="s">
        <v>16</v>
      </c>
      <c r="D47" s="1155"/>
      <c r="E47" s="1156"/>
      <c r="F47" s="1157"/>
      <c r="G47" s="1158"/>
      <c r="H47" s="1159"/>
      <c r="I47" s="1156"/>
      <c r="J47" s="1159"/>
      <c r="K47" s="1913"/>
      <c r="L47" s="2722"/>
      <c r="M47" s="2723"/>
      <c r="N47" s="2714"/>
      <c r="O47" s="2723"/>
      <c r="P47" s="3661" t="str">
        <f>A47</f>
        <v>成交单价（元/平方米）</v>
      </c>
      <c r="Q47" s="3661"/>
      <c r="R47" s="3729">
        <f>E47</f>
        <v>0</v>
      </c>
      <c r="S47" s="3729"/>
      <c r="T47" s="3729">
        <f>G47</f>
        <v>0</v>
      </c>
      <c r="U47" s="3729"/>
      <c r="V47" s="3729">
        <f>I47</f>
        <v>0</v>
      </c>
      <c r="W47" s="3729"/>
      <c r="X47" s="690"/>
      <c r="Y47" s="712"/>
      <c r="Z47" s="690"/>
      <c r="AA47" s="690"/>
      <c r="AB47" s="690"/>
      <c r="AC47" s="690"/>
    </row>
    <row r="48" spans="1:29" ht="15" thickBot="1">
      <c r="A48" s="437" t="s">
        <v>1708</v>
      </c>
      <c r="B48" s="438"/>
      <c r="C48" s="1160" t="e">
        <f>R49</f>
        <v>#DIV/0!</v>
      </c>
      <c r="D48" s="2316" t="s">
        <v>2137</v>
      </c>
      <c r="E48" s="1161" t="e">
        <f>R48</f>
        <v>#DIV/0!</v>
      </c>
      <c r="F48" s="2317"/>
      <c r="G48" s="1160" t="e">
        <f>T48</f>
        <v>#DIV/0!</v>
      </c>
      <c r="H48" s="2317"/>
      <c r="I48" s="1161" t="e">
        <f>V48</f>
        <v>#DIV/0!</v>
      </c>
      <c r="J48" s="2317"/>
      <c r="K48" s="2318">
        <f>F48+H48+J48</f>
        <v>0</v>
      </c>
      <c r="L48" s="2722"/>
      <c r="M48" s="2723"/>
      <c r="N48" s="2723"/>
      <c r="O48" s="2723"/>
      <c r="P48" s="3661" t="str">
        <f>A48</f>
        <v>比较价值（元/平方米）</v>
      </c>
      <c r="Q48" s="3661"/>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 thickBot="1">
      <c r="A49" s="441" t="s">
        <v>1709</v>
      </c>
      <c r="B49" s="442"/>
      <c r="C49" s="1162" t="e">
        <f>R49</f>
        <v>#DIV/0!</v>
      </c>
      <c r="D49" s="1163"/>
      <c r="E49" s="1163"/>
      <c r="F49" s="1163"/>
      <c r="G49" s="1163"/>
      <c r="H49" s="1163"/>
      <c r="I49" s="1163"/>
      <c r="J49" s="1163"/>
      <c r="K49" s="1914"/>
      <c r="L49" s="2722"/>
      <c r="M49" s="2723"/>
      <c r="N49" s="2723"/>
      <c r="O49" s="2723"/>
      <c r="P49" s="3655" t="str">
        <f>A49</f>
        <v>估价对象XX用房的比较价值（楼面单价，元/平方米）</v>
      </c>
      <c r="Q49" s="3656"/>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5" t="str">
        <f>YEAR(C7)&amp;"-"&amp;MONTH(C7)</f>
        <v>2022-12</v>
      </c>
      <c r="D58" s="1184">
        <f>EDATE(C58,-1)</f>
        <v>44866</v>
      </c>
      <c r="E58" s="1184">
        <f>EDATE(D58,-1)</f>
        <v>44835</v>
      </c>
      <c r="F58" s="1184">
        <f t="shared" ref="F58:O58" si="19">EDATE(E58,-1)</f>
        <v>44805</v>
      </c>
      <c r="G58" s="1184">
        <f t="shared" si="19"/>
        <v>44774</v>
      </c>
      <c r="H58" s="1184">
        <f t="shared" si="19"/>
        <v>44743</v>
      </c>
      <c r="I58" s="1184">
        <f t="shared" si="19"/>
        <v>44713</v>
      </c>
      <c r="J58" s="1184">
        <f t="shared" si="19"/>
        <v>44682</v>
      </c>
      <c r="K58" s="1184">
        <f t="shared" si="19"/>
        <v>44652</v>
      </c>
      <c r="L58" s="1184">
        <f t="shared" si="19"/>
        <v>44621</v>
      </c>
      <c r="M58" s="1184">
        <f t="shared" si="19"/>
        <v>44593</v>
      </c>
      <c r="N58" s="1184">
        <f t="shared" si="19"/>
        <v>44562</v>
      </c>
      <c r="O58" s="1184">
        <f t="shared" si="19"/>
        <v>44531</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A75" activeCellId="1" sqref="N112 AA75"/>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877" t="s">
        <v>1765</v>
      </c>
      <c r="C1" s="1237" t="s">
        <v>1661</v>
      </c>
      <c r="D1" s="1224"/>
      <c r="E1" s="3426"/>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149436.09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1768</v>
      </c>
      <c r="B4" s="356"/>
      <c r="C4" s="3658" t="s">
        <v>1769</v>
      </c>
      <c r="D4" s="3670"/>
      <c r="E4" s="3671" t="s">
        <v>1770</v>
      </c>
      <c r="F4" s="3672"/>
      <c r="G4" s="3658" t="s">
        <v>1771</v>
      </c>
      <c r="H4" s="3670"/>
      <c r="I4" s="3658" t="s">
        <v>1772</v>
      </c>
      <c r="J4" s="3670"/>
      <c r="K4" s="559" t="s">
        <v>1773</v>
      </c>
      <c r="L4" s="2713"/>
      <c r="M4" s="2714"/>
      <c r="N4" s="2714"/>
      <c r="O4" s="2714"/>
      <c r="P4" s="3673" t="s">
        <v>1774</v>
      </c>
      <c r="Q4" s="3674"/>
      <c r="R4" s="3679" t="s">
        <v>1770</v>
      </c>
      <c r="S4" s="3680"/>
      <c r="T4" s="3679" t="s">
        <v>1771</v>
      </c>
      <c r="U4" s="3680"/>
      <c r="V4" s="3666" t="s">
        <v>1772</v>
      </c>
      <c r="W4" s="3666"/>
      <c r="X4" s="1354"/>
      <c r="Y4" s="3679" t="s">
        <v>1774</v>
      </c>
      <c r="Z4" s="3680"/>
      <c r="AA4" s="3667" t="s">
        <v>1770</v>
      </c>
      <c r="AB4" s="3666" t="s">
        <v>1771</v>
      </c>
      <c r="AC4" s="3667" t="s">
        <v>1772</v>
      </c>
    </row>
    <row r="5" spans="1:29">
      <c r="A5" s="358"/>
      <c r="B5" s="359"/>
      <c r="C5" s="3687" t="s">
        <v>1672</v>
      </c>
      <c r="D5" s="3688"/>
      <c r="E5" s="3694" t="s">
        <v>1673</v>
      </c>
      <c r="F5" s="3695"/>
      <c r="G5" s="3687" t="s">
        <v>1674</v>
      </c>
      <c r="H5" s="3688"/>
      <c r="I5" s="3687" t="s">
        <v>1675</v>
      </c>
      <c r="J5" s="3688"/>
      <c r="K5" s="559"/>
      <c r="L5" s="2713"/>
      <c r="M5" s="2714"/>
      <c r="N5" s="2714"/>
      <c r="O5" s="2714"/>
      <c r="P5" s="3675"/>
      <c r="Q5" s="3676"/>
      <c r="R5" s="3681"/>
      <c r="S5" s="3682"/>
      <c r="T5" s="3681"/>
      <c r="U5" s="3682"/>
      <c r="V5" s="3666"/>
      <c r="W5" s="3666"/>
      <c r="X5" s="1354"/>
      <c r="Y5" s="3681"/>
      <c r="Z5" s="3682"/>
      <c r="AA5" s="3668"/>
      <c r="AB5" s="3666"/>
      <c r="AC5" s="3668"/>
    </row>
    <row r="6" spans="1:29" ht="15" thickBot="1">
      <c r="A6" s="360"/>
      <c r="B6" s="361"/>
      <c r="C6" s="3685" t="s">
        <v>1676</v>
      </c>
      <c r="D6" s="3686"/>
      <c r="E6" s="3692" t="s">
        <v>1676</v>
      </c>
      <c r="F6" s="3693"/>
      <c r="G6" s="3685" t="s">
        <v>1676</v>
      </c>
      <c r="H6" s="3686"/>
      <c r="I6" s="3685" t="s">
        <v>1676</v>
      </c>
      <c r="J6" s="3686"/>
      <c r="K6" s="559" t="s">
        <v>1677</v>
      </c>
      <c r="L6" s="2713"/>
      <c r="M6" s="2714"/>
      <c r="N6" s="2714"/>
      <c r="O6" s="2714"/>
      <c r="P6" s="3677"/>
      <c r="Q6" s="3678"/>
      <c r="R6" s="3681"/>
      <c r="S6" s="3682"/>
      <c r="T6" s="3683"/>
      <c r="U6" s="3684"/>
      <c r="V6" s="3666"/>
      <c r="W6" s="3666"/>
      <c r="X6" s="1354"/>
      <c r="Y6" s="3683"/>
      <c r="Z6" s="3684"/>
      <c r="AA6" s="3669"/>
      <c r="AB6" s="3666"/>
      <c r="AC6" s="3669"/>
    </row>
    <row r="7" spans="1:29" s="108" customFormat="1" ht="15" thickBot="1">
      <c r="A7" s="362" t="s">
        <v>1678</v>
      </c>
      <c r="B7" s="363"/>
      <c r="C7" s="364">
        <f>'数据-取费表'!B2</f>
        <v>44917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9" t="s">
        <v>1679</v>
      </c>
      <c r="Q7" s="3691"/>
      <c r="R7" s="701" t="s">
        <v>14</v>
      </c>
      <c r="S7" s="702">
        <f t="shared" ref="S7:S15" si="0">F7</f>
        <v>0</v>
      </c>
      <c r="T7" s="701" t="s">
        <v>14</v>
      </c>
      <c r="U7" s="702">
        <f t="shared" ref="U7:U15" si="1">H7</f>
        <v>0</v>
      </c>
      <c r="V7" s="701" t="s">
        <v>14</v>
      </c>
      <c r="W7" s="702">
        <f t="shared" ref="W7:W15" si="2">J7</f>
        <v>0</v>
      </c>
      <c r="X7" s="703"/>
      <c r="Y7" s="3689" t="s">
        <v>1679</v>
      </c>
      <c r="Z7" s="3690"/>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9" t="s">
        <v>1682</v>
      </c>
      <c r="Q8" s="3690"/>
      <c r="R8" s="701" t="s">
        <v>14</v>
      </c>
      <c r="S8" s="702">
        <f t="shared" si="0"/>
        <v>100</v>
      </c>
      <c r="T8" s="701" t="s">
        <v>14</v>
      </c>
      <c r="U8" s="702">
        <f t="shared" si="1"/>
        <v>100</v>
      </c>
      <c r="V8" s="701" t="s">
        <v>14</v>
      </c>
      <c r="W8" s="702">
        <f t="shared" si="2"/>
        <v>100</v>
      </c>
      <c r="X8" s="703"/>
      <c r="Y8" s="3689" t="s">
        <v>1682</v>
      </c>
      <c r="Z8" s="3690"/>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0" t="s">
        <v>1685</v>
      </c>
      <c r="Q9" s="1342"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8.8">
      <c r="A10" s="374"/>
      <c r="B10" s="375" t="s">
        <v>1687</v>
      </c>
      <c r="C10" s="3435"/>
      <c r="D10" s="127">
        <v>100</v>
      </c>
      <c r="E10" s="3436"/>
      <c r="F10" s="376">
        <f>SUMIF(65:65,E10,66:66)-SUMIF(65:65,C10,66:66)+100</f>
        <v>100</v>
      </c>
      <c r="G10" s="3435"/>
      <c r="H10" s="127">
        <f>SUMIF(65:65,G10,66:66)-SUMIF(65:65,C10,66:66)+100</f>
        <v>100</v>
      </c>
      <c r="I10" s="3435"/>
      <c r="J10" s="127">
        <f>SUMIF(65:65,I10,66:66)-SUMIF(65:65,C10,66:66)+100</f>
        <v>100</v>
      </c>
      <c r="K10" s="560"/>
      <c r="L10" s="2717"/>
      <c r="M10" s="2718"/>
      <c r="N10" s="2718"/>
      <c r="O10" s="2718"/>
      <c r="P10" s="3660"/>
      <c r="Q10" s="1342"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0"/>
      <c r="Q11" s="1342"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0"/>
      <c r="Q12" s="1342">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0"/>
      <c r="Q13" s="1342">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0"/>
      <c r="Q14" s="1342">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69">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4" t="s">
        <v>1690</v>
      </c>
      <c r="Q15" s="1351" t="str">
        <f t="shared" si="6"/>
        <v>商业繁华度</v>
      </c>
      <c r="R15" s="705" t="s">
        <v>14</v>
      </c>
      <c r="S15" s="706">
        <f t="shared" si="0"/>
        <v>100</v>
      </c>
      <c r="T15" s="705" t="s">
        <v>14</v>
      </c>
      <c r="U15" s="706">
        <f t="shared" si="1"/>
        <v>100</v>
      </c>
      <c r="V15" s="705" t="s">
        <v>14</v>
      </c>
      <c r="W15" s="706">
        <f t="shared" si="2"/>
        <v>100</v>
      </c>
      <c r="X15" s="1354"/>
      <c r="Y15" s="3662"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35"/>
      <c r="Q16" s="1351"/>
      <c r="R16" s="705"/>
      <c r="S16" s="706"/>
      <c r="T16" s="705"/>
      <c r="U16" s="706"/>
      <c r="V16" s="705"/>
      <c r="W16" s="706"/>
      <c r="X16" s="1354"/>
      <c r="Y16" s="3663"/>
      <c r="Z16" s="1355"/>
      <c r="AA16" s="1352">
        <v>1</v>
      </c>
      <c r="AB16" s="1352">
        <v>1</v>
      </c>
      <c r="AC16" s="1352">
        <v>1</v>
      </c>
    </row>
    <row r="17" spans="1:29" ht="82.8">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5"/>
      <c r="Q17" s="1351" t="str">
        <f>B17</f>
        <v>交通便捷度</v>
      </c>
      <c r="R17" s="705" t="s">
        <v>14</v>
      </c>
      <c r="S17" s="706">
        <f>F17</f>
        <v>100</v>
      </c>
      <c r="T17" s="705" t="s">
        <v>14</v>
      </c>
      <c r="U17" s="706">
        <f>H17</f>
        <v>100</v>
      </c>
      <c r="V17" s="705" t="s">
        <v>14</v>
      </c>
      <c r="W17" s="706">
        <f>J17</f>
        <v>100</v>
      </c>
      <c r="X17" s="1354"/>
      <c r="Y17" s="366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35"/>
      <c r="Q18" s="1351"/>
      <c r="R18" s="705"/>
      <c r="S18" s="706"/>
      <c r="T18" s="705"/>
      <c r="U18" s="706"/>
      <c r="V18" s="705"/>
      <c r="W18" s="706"/>
      <c r="X18" s="1354"/>
      <c r="Y18" s="3663"/>
      <c r="Z18" s="1355"/>
      <c r="AA18" s="1352">
        <v>1</v>
      </c>
      <c r="AB18" s="1352">
        <v>1</v>
      </c>
      <c r="AC18" s="1352">
        <v>1</v>
      </c>
    </row>
    <row r="19" spans="1:29" ht="41.4">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5"/>
      <c r="Q19" s="1351" t="str">
        <f>B19</f>
        <v>公共配套设施</v>
      </c>
      <c r="R19" s="705" t="s">
        <v>14</v>
      </c>
      <c r="S19" s="706">
        <f>F19</f>
        <v>100</v>
      </c>
      <c r="T19" s="705" t="s">
        <v>14</v>
      </c>
      <c r="U19" s="706">
        <f>H19</f>
        <v>100</v>
      </c>
      <c r="V19" s="705" t="s">
        <v>14</v>
      </c>
      <c r="W19" s="706">
        <f>J19</f>
        <v>100</v>
      </c>
      <c r="X19" s="1354"/>
      <c r="Y19" s="366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35"/>
      <c r="Q20" s="1351"/>
      <c r="R20" s="705"/>
      <c r="S20" s="706"/>
      <c r="T20" s="705"/>
      <c r="U20" s="706"/>
      <c r="V20" s="705"/>
      <c r="W20" s="706"/>
      <c r="X20" s="1354"/>
      <c r="Y20" s="3663"/>
      <c r="Z20" s="1355"/>
      <c r="AA20" s="1352">
        <v>1</v>
      </c>
      <c r="AB20" s="1352">
        <v>1</v>
      </c>
      <c r="AC20" s="1352">
        <v>1</v>
      </c>
    </row>
    <row r="21" spans="1:29" ht="27.6">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5"/>
      <c r="Q21" s="1351" t="str">
        <f>B21</f>
        <v>基础设施水平</v>
      </c>
      <c r="R21" s="705" t="s">
        <v>14</v>
      </c>
      <c r="S21" s="706">
        <f>F21</f>
        <v>100</v>
      </c>
      <c r="T21" s="705" t="s">
        <v>14</v>
      </c>
      <c r="U21" s="706">
        <f>H21</f>
        <v>100</v>
      </c>
      <c r="V21" s="705" t="s">
        <v>14</v>
      </c>
      <c r="W21" s="706">
        <f>J21</f>
        <v>100</v>
      </c>
      <c r="X21" s="1354"/>
      <c r="Y21" s="366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735"/>
      <c r="Q22" s="1351"/>
      <c r="R22" s="705"/>
      <c r="S22" s="706"/>
      <c r="T22" s="705"/>
      <c r="U22" s="706"/>
      <c r="V22" s="705"/>
      <c r="W22" s="706"/>
      <c r="X22" s="1354"/>
      <c r="Y22" s="3663"/>
      <c r="Z22" s="1355"/>
      <c r="AA22" s="1352">
        <v>1</v>
      </c>
      <c r="AB22" s="1352">
        <v>1</v>
      </c>
      <c r="AC22" s="1352">
        <v>1</v>
      </c>
    </row>
    <row r="23" spans="1:29" ht="55.2">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5"/>
      <c r="Q23" s="1351" t="str">
        <f>B23</f>
        <v>自然及人文环境</v>
      </c>
      <c r="R23" s="705" t="s">
        <v>14</v>
      </c>
      <c r="S23" s="706">
        <f>F23</f>
        <v>100</v>
      </c>
      <c r="T23" s="705" t="s">
        <v>14</v>
      </c>
      <c r="U23" s="706">
        <f>H23</f>
        <v>100</v>
      </c>
      <c r="V23" s="705" t="s">
        <v>14</v>
      </c>
      <c r="W23" s="706">
        <f>J23</f>
        <v>100</v>
      </c>
      <c r="X23" s="1354"/>
      <c r="Y23" s="366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35"/>
      <c r="Q24" s="1351"/>
      <c r="R24" s="705"/>
      <c r="S24" s="706"/>
      <c r="T24" s="705"/>
      <c r="U24" s="706"/>
      <c r="V24" s="705"/>
      <c r="W24" s="706"/>
      <c r="X24" s="1354"/>
      <c r="Y24" s="3663"/>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5"/>
      <c r="Q25" s="1351" t="str">
        <f t="shared" ref="Q25:Q46" si="11">B25</f>
        <v>临街状况</v>
      </c>
      <c r="R25" s="705" t="s">
        <v>14</v>
      </c>
      <c r="S25" s="706">
        <f>F25</f>
        <v>100</v>
      </c>
      <c r="T25" s="705" t="s">
        <v>14</v>
      </c>
      <c r="U25" s="706">
        <f>H25</f>
        <v>100</v>
      </c>
      <c r="V25" s="705" t="s">
        <v>14</v>
      </c>
      <c r="W25" s="706">
        <f>J25</f>
        <v>100</v>
      </c>
      <c r="X25" s="1354"/>
      <c r="Y25" s="3663"/>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5"/>
      <c r="Q26" s="1351" t="str">
        <f t="shared" si="11"/>
        <v>平面位置/可视性</v>
      </c>
      <c r="R26" s="705" t="s">
        <v>14</v>
      </c>
      <c r="S26" s="706">
        <f>F26</f>
        <v>100</v>
      </c>
      <c r="T26" s="705" t="s">
        <v>14</v>
      </c>
      <c r="U26" s="706">
        <f>H26</f>
        <v>100</v>
      </c>
      <c r="V26" s="705" t="s">
        <v>14</v>
      </c>
      <c r="W26" s="706">
        <f>J26</f>
        <v>100</v>
      </c>
      <c r="X26" s="1354"/>
      <c r="Y26" s="3663"/>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35"/>
      <c r="Q27" s="1342" t="str">
        <f t="shared" si="11"/>
        <v>人流量</v>
      </c>
      <c r="R27" s="701" t="s">
        <v>14</v>
      </c>
      <c r="S27" s="702">
        <f>F27</f>
        <v>100</v>
      </c>
      <c r="T27" s="701" t="s">
        <v>14</v>
      </c>
      <c r="U27" s="702">
        <f>H27</f>
        <v>100</v>
      </c>
      <c r="V27" s="701" t="s">
        <v>14</v>
      </c>
      <c r="W27" s="702">
        <f>J27</f>
        <v>100</v>
      </c>
      <c r="X27" s="703"/>
      <c r="Y27" s="3663"/>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5"/>
      <c r="Q29" s="1351">
        <f t="shared" si="11"/>
        <v>111</v>
      </c>
      <c r="R29" s="705" t="s">
        <v>14</v>
      </c>
      <c r="S29" s="706">
        <f t="shared" si="12"/>
        <v>100</v>
      </c>
      <c r="T29" s="705" t="s">
        <v>14</v>
      </c>
      <c r="U29" s="706">
        <f t="shared" si="13"/>
        <v>100</v>
      </c>
      <c r="V29" s="705" t="s">
        <v>14</v>
      </c>
      <c r="W29" s="706">
        <f t="shared" si="14"/>
        <v>100</v>
      </c>
      <c r="X29" s="1354"/>
      <c r="Y29" s="366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5"/>
      <c r="Q30" s="1351">
        <f t="shared" si="11"/>
        <v>111</v>
      </c>
      <c r="R30" s="705" t="s">
        <v>14</v>
      </c>
      <c r="S30" s="706">
        <f t="shared" si="12"/>
        <v>100</v>
      </c>
      <c r="T30" s="705" t="s">
        <v>14</v>
      </c>
      <c r="U30" s="706">
        <f t="shared" si="13"/>
        <v>100</v>
      </c>
      <c r="V30" s="705" t="s">
        <v>14</v>
      </c>
      <c r="W30" s="706">
        <f t="shared" si="14"/>
        <v>100</v>
      </c>
      <c r="X30" s="1354"/>
      <c r="Y30" s="3663"/>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5"/>
      <c r="Q31" s="1351">
        <f t="shared" si="11"/>
        <v>111</v>
      </c>
      <c r="R31" s="705" t="s">
        <v>14</v>
      </c>
      <c r="S31" s="706">
        <f t="shared" si="12"/>
        <v>100</v>
      </c>
      <c r="T31" s="705" t="s">
        <v>14</v>
      </c>
      <c r="U31" s="706">
        <f t="shared" si="13"/>
        <v>100</v>
      </c>
      <c r="V31" s="705" t="s">
        <v>14</v>
      </c>
      <c r="W31" s="706">
        <f t="shared" si="14"/>
        <v>100</v>
      </c>
      <c r="X31" s="1354"/>
      <c r="Y31" s="3663"/>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30" t="s">
        <v>1695</v>
      </c>
      <c r="Q32" s="1351" t="str">
        <f t="shared" si="11"/>
        <v>商业类型</v>
      </c>
      <c r="R32" s="705" t="s">
        <v>14</v>
      </c>
      <c r="S32" s="706">
        <f t="shared" si="12"/>
        <v>100</v>
      </c>
      <c r="T32" s="705" t="s">
        <v>14</v>
      </c>
      <c r="U32" s="706">
        <f t="shared" si="13"/>
        <v>100</v>
      </c>
      <c r="V32" s="705" t="s">
        <v>14</v>
      </c>
      <c r="W32" s="706">
        <f t="shared" si="14"/>
        <v>100</v>
      </c>
      <c r="X32" s="1354"/>
      <c r="Y32" s="3665"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1"/>
      <c r="Q33" s="707" t="str">
        <f t="shared" si="11"/>
        <v>项目建筑规模</v>
      </c>
      <c r="R33" s="708" t="s">
        <v>14</v>
      </c>
      <c r="S33" s="709" t="e">
        <f t="shared" si="12"/>
        <v>#N/A</v>
      </c>
      <c r="T33" s="708" t="s">
        <v>14</v>
      </c>
      <c r="U33" s="709" t="e">
        <f t="shared" si="13"/>
        <v>#N/A</v>
      </c>
      <c r="V33" s="708" t="s">
        <v>14</v>
      </c>
      <c r="W33" s="709" t="e">
        <f t="shared" si="14"/>
        <v>#N/A</v>
      </c>
      <c r="X33" s="710"/>
      <c r="Y33" s="3665"/>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31"/>
      <c r="Q34" s="1351" t="str">
        <f t="shared" si="11"/>
        <v>建筑结构</v>
      </c>
      <c r="R34" s="705" t="s">
        <v>14</v>
      </c>
      <c r="S34" s="706">
        <f t="shared" si="12"/>
        <v>100</v>
      </c>
      <c r="T34" s="705" t="s">
        <v>14</v>
      </c>
      <c r="U34" s="706">
        <f t="shared" si="13"/>
        <v>100</v>
      </c>
      <c r="V34" s="705" t="s">
        <v>14</v>
      </c>
      <c r="W34" s="706">
        <f t="shared" si="14"/>
        <v>100</v>
      </c>
      <c r="X34" s="1354"/>
      <c r="Y34" s="3665"/>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31"/>
      <c r="Q35" s="1351" t="str">
        <f t="shared" si="11"/>
        <v>公共部分装修</v>
      </c>
      <c r="R35" s="705" t="s">
        <v>14</v>
      </c>
      <c r="S35" s="706">
        <f t="shared" si="12"/>
        <v>100</v>
      </c>
      <c r="T35" s="705" t="s">
        <v>14</v>
      </c>
      <c r="U35" s="706">
        <f t="shared" si="13"/>
        <v>100</v>
      </c>
      <c r="V35" s="705" t="s">
        <v>14</v>
      </c>
      <c r="W35" s="706">
        <f t="shared" si="14"/>
        <v>100</v>
      </c>
      <c r="X35" s="1354"/>
      <c r="Y35" s="3665"/>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1"/>
      <c r="Q36" s="1351" t="str">
        <f t="shared" si="11"/>
        <v>成新度</v>
      </c>
      <c r="R36" s="705" t="s">
        <v>14</v>
      </c>
      <c r="S36" s="706" t="e">
        <f t="shared" si="12"/>
        <v>#N/A</v>
      </c>
      <c r="T36" s="705" t="s">
        <v>14</v>
      </c>
      <c r="U36" s="706" t="e">
        <f t="shared" si="13"/>
        <v>#N/A</v>
      </c>
      <c r="V36" s="705" t="s">
        <v>14</v>
      </c>
      <c r="W36" s="706" t="e">
        <f t="shared" si="14"/>
        <v>#N/A</v>
      </c>
      <c r="X36" s="1354"/>
      <c r="Y36" s="3665"/>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31"/>
      <c r="Q37" s="1342" t="str">
        <f t="shared" si="11"/>
        <v>市政基础设施</v>
      </c>
      <c r="R37" s="701" t="s">
        <v>14</v>
      </c>
      <c r="S37" s="702">
        <f t="shared" si="12"/>
        <v>100</v>
      </c>
      <c r="T37" s="701" t="s">
        <v>14</v>
      </c>
      <c r="U37" s="702">
        <f t="shared" si="13"/>
        <v>100</v>
      </c>
      <c r="V37" s="701" t="s">
        <v>14</v>
      </c>
      <c r="W37" s="702">
        <f t="shared" si="14"/>
        <v>100</v>
      </c>
      <c r="X37" s="703"/>
      <c r="Y37" s="3665"/>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31" t="s">
        <v>1695</v>
      </c>
      <c r="Q38" s="1351" t="str">
        <f t="shared" si="11"/>
        <v>业态</v>
      </c>
      <c r="R38" s="705" t="s">
        <v>14</v>
      </c>
      <c r="S38" s="706">
        <f t="shared" si="12"/>
        <v>100</v>
      </c>
      <c r="T38" s="705" t="s">
        <v>14</v>
      </c>
      <c r="U38" s="706">
        <f t="shared" si="13"/>
        <v>100</v>
      </c>
      <c r="V38" s="705" t="s">
        <v>14</v>
      </c>
      <c r="W38" s="706">
        <f t="shared" si="14"/>
        <v>100</v>
      </c>
      <c r="X38" s="1354"/>
      <c r="Y38" s="3665"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31"/>
      <c r="Q39" s="1351" t="str">
        <f t="shared" si="11"/>
        <v>层高</v>
      </c>
      <c r="R39" s="705" t="s">
        <v>14</v>
      </c>
      <c r="S39" s="706">
        <f t="shared" si="12"/>
        <v>100</v>
      </c>
      <c r="T39" s="705" t="s">
        <v>14</v>
      </c>
      <c r="U39" s="706">
        <f t="shared" si="13"/>
        <v>100</v>
      </c>
      <c r="V39" s="705" t="s">
        <v>14</v>
      </c>
      <c r="W39" s="706">
        <f t="shared" si="14"/>
        <v>100</v>
      </c>
      <c r="X39" s="1354"/>
      <c r="Y39" s="3665"/>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1"/>
      <c r="Q40" s="1351" t="str">
        <f t="shared" si="11"/>
        <v>单套建筑面积</v>
      </c>
      <c r="R40" s="705" t="s">
        <v>14</v>
      </c>
      <c r="S40" s="706">
        <f t="shared" si="12"/>
        <v>100</v>
      </c>
      <c r="T40" s="705" t="s">
        <v>14</v>
      </c>
      <c r="U40" s="706">
        <f t="shared" si="13"/>
        <v>100</v>
      </c>
      <c r="V40" s="705" t="s">
        <v>14</v>
      </c>
      <c r="W40" s="706">
        <f t="shared" si="14"/>
        <v>100</v>
      </c>
      <c r="X40" s="1354"/>
      <c r="Y40" s="3665"/>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1"/>
      <c r="Q41" s="707" t="str">
        <f t="shared" si="11"/>
        <v>进深比</v>
      </c>
      <c r="R41" s="708" t="s">
        <v>14</v>
      </c>
      <c r="S41" s="709">
        <f t="shared" si="12"/>
        <v>100</v>
      </c>
      <c r="T41" s="708" t="s">
        <v>14</v>
      </c>
      <c r="U41" s="709">
        <f t="shared" si="13"/>
        <v>100</v>
      </c>
      <c r="V41" s="708" t="s">
        <v>14</v>
      </c>
      <c r="W41" s="709">
        <f t="shared" si="14"/>
        <v>100</v>
      </c>
      <c r="X41" s="710"/>
      <c r="Y41" s="3665"/>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31"/>
      <c r="Q42" s="1351" t="str">
        <f t="shared" si="11"/>
        <v>内部装修</v>
      </c>
      <c r="R42" s="705" t="s">
        <v>14</v>
      </c>
      <c r="S42" s="706">
        <f t="shared" si="12"/>
        <v>100</v>
      </c>
      <c r="T42" s="705" t="s">
        <v>14</v>
      </c>
      <c r="U42" s="706">
        <f t="shared" si="13"/>
        <v>100</v>
      </c>
      <c r="V42" s="705" t="s">
        <v>14</v>
      </c>
      <c r="W42" s="706">
        <f t="shared" si="14"/>
        <v>100</v>
      </c>
      <c r="X42" s="1354"/>
      <c r="Y42" s="3665"/>
      <c r="Z42" s="1355" t="str">
        <f t="shared" si="15"/>
        <v>内部装修</v>
      </c>
      <c r="AA42" s="1352">
        <f t="shared" si="3"/>
        <v>1</v>
      </c>
      <c r="AB42" s="1352">
        <f t="shared" si="4"/>
        <v>1</v>
      </c>
      <c r="AC42" s="1352">
        <f t="shared" si="5"/>
        <v>1</v>
      </c>
    </row>
    <row r="43" spans="1:29" ht="28.8">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31"/>
      <c r="Q43" s="1351" t="str">
        <f t="shared" si="11"/>
        <v>内部装修维护情况</v>
      </c>
      <c r="R43" s="705" t="s">
        <v>14</v>
      </c>
      <c r="S43" s="706">
        <f t="shared" si="12"/>
        <v>100</v>
      </c>
      <c r="T43" s="705" t="s">
        <v>14</v>
      </c>
      <c r="U43" s="706">
        <f t="shared" si="13"/>
        <v>100</v>
      </c>
      <c r="V43" s="705" t="s">
        <v>14</v>
      </c>
      <c r="W43" s="706">
        <f t="shared" si="14"/>
        <v>100</v>
      </c>
      <c r="X43" s="1354"/>
      <c r="Y43" s="366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1"/>
      <c r="Q44" s="1342">
        <f t="shared" si="11"/>
        <v>111</v>
      </c>
      <c r="R44" s="701" t="s">
        <v>14</v>
      </c>
      <c r="S44" s="702">
        <f t="shared" si="12"/>
        <v>100</v>
      </c>
      <c r="T44" s="701" t="s">
        <v>14</v>
      </c>
      <c r="U44" s="702">
        <f t="shared" si="13"/>
        <v>100</v>
      </c>
      <c r="V44" s="701" t="s">
        <v>14</v>
      </c>
      <c r="W44" s="702">
        <f t="shared" si="14"/>
        <v>100</v>
      </c>
      <c r="X44" s="703"/>
      <c r="Y44" s="366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1"/>
      <c r="Q45" s="1351">
        <f t="shared" si="11"/>
        <v>111</v>
      </c>
      <c r="R45" s="705" t="s">
        <v>14</v>
      </c>
      <c r="S45" s="706">
        <f t="shared" si="12"/>
        <v>100</v>
      </c>
      <c r="T45" s="705" t="s">
        <v>14</v>
      </c>
      <c r="U45" s="706">
        <f t="shared" si="13"/>
        <v>100</v>
      </c>
      <c r="V45" s="705" t="s">
        <v>14</v>
      </c>
      <c r="W45" s="706">
        <f t="shared" si="14"/>
        <v>100</v>
      </c>
      <c r="X45" s="1354"/>
      <c r="Y45" s="3665"/>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2"/>
      <c r="Q46" s="1351">
        <f t="shared" si="11"/>
        <v>111</v>
      </c>
      <c r="R46" s="705" t="s">
        <v>14</v>
      </c>
      <c r="S46" s="706">
        <f t="shared" si="12"/>
        <v>100</v>
      </c>
      <c r="T46" s="705" t="s">
        <v>14</v>
      </c>
      <c r="U46" s="706">
        <f t="shared" si="13"/>
        <v>100</v>
      </c>
      <c r="V46" s="705" t="s">
        <v>14</v>
      </c>
      <c r="W46" s="706">
        <f t="shared" si="14"/>
        <v>100</v>
      </c>
      <c r="X46" s="1354"/>
      <c r="Y46" s="3733"/>
      <c r="Z46" s="1355">
        <f t="shared" si="15"/>
        <v>111</v>
      </c>
      <c r="AA46" s="1352">
        <f t="shared" si="3"/>
        <v>1</v>
      </c>
      <c r="AB46" s="1352">
        <f t="shared" si="4"/>
        <v>1</v>
      </c>
      <c r="AC46" s="1352">
        <f t="shared" si="5"/>
        <v>1</v>
      </c>
    </row>
    <row r="47" spans="1:29" ht="14.4">
      <c r="A47" s="430" t="s">
        <v>1707</v>
      </c>
      <c r="B47" s="431"/>
      <c r="C47" s="1154" t="s">
        <v>0</v>
      </c>
      <c r="D47" s="1155"/>
      <c r="E47" s="1156"/>
      <c r="F47" s="1157"/>
      <c r="G47" s="1158"/>
      <c r="H47" s="1159"/>
      <c r="I47" s="1156"/>
      <c r="J47" s="1159"/>
      <c r="K47" s="714"/>
      <c r="L47" s="2722"/>
      <c r="M47" s="2723"/>
      <c r="N47" s="2714"/>
      <c r="O47" s="2723"/>
      <c r="P47" s="3661" t="str">
        <f>A47</f>
        <v>成交单价（元/平方米）</v>
      </c>
      <c r="Q47" s="3661"/>
      <c r="R47" s="3666">
        <f>E47</f>
        <v>0</v>
      </c>
      <c r="S47" s="3666"/>
      <c r="T47" s="3666">
        <f>G47</f>
        <v>0</v>
      </c>
      <c r="U47" s="3666"/>
      <c r="V47" s="3666">
        <f>I47</f>
        <v>0</v>
      </c>
      <c r="W47" s="3666"/>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2"/>
      <c r="M48" s="2723"/>
      <c r="N48" s="2714"/>
      <c r="O48" s="2723"/>
      <c r="P48" s="3661" t="str">
        <f>A48</f>
        <v>比较价值（元/平方米）</v>
      </c>
      <c r="Q48" s="3661"/>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2"/>
      <c r="M49" s="2723"/>
      <c r="N49" s="2714"/>
      <c r="O49" s="2723"/>
      <c r="P49" s="3655" t="str">
        <f>A49</f>
        <v>估价对象XX用房的比较价值（楼面单价，元/平方米）</v>
      </c>
      <c r="Q49" s="3656"/>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1678</v>
      </c>
      <c r="B58" s="455"/>
      <c r="C58" s="1183" t="str">
        <f>YEAR(C7)&amp;"-"&amp;MONTH(C7)</f>
        <v>2022-12</v>
      </c>
      <c r="D58" s="1184">
        <f>EDATE(C58,-1)</f>
        <v>44866</v>
      </c>
      <c r="E58" s="1184">
        <f t="shared" ref="E58:N58" si="16">EDATE(D58,-1)</f>
        <v>44835</v>
      </c>
      <c r="F58" s="1184">
        <f t="shared" si="16"/>
        <v>44805</v>
      </c>
      <c r="G58" s="1184">
        <f t="shared" si="16"/>
        <v>44774</v>
      </c>
      <c r="H58" s="1184">
        <f t="shared" si="16"/>
        <v>44743</v>
      </c>
      <c r="I58" s="1184">
        <f t="shared" si="16"/>
        <v>44713</v>
      </c>
      <c r="J58" s="1184">
        <f t="shared" si="16"/>
        <v>44682</v>
      </c>
      <c r="K58" s="1184">
        <f t="shared" si="16"/>
        <v>44652</v>
      </c>
      <c r="L58" s="1184">
        <f t="shared" si="16"/>
        <v>44621</v>
      </c>
      <c r="M58" s="1184">
        <f t="shared" si="16"/>
        <v>44593</v>
      </c>
      <c r="N58" s="1184">
        <f t="shared" si="16"/>
        <v>44562</v>
      </c>
      <c r="O58" s="1184">
        <f>EDATE(N58,-1)</f>
        <v>44531</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AA75" activeCellId="1" sqref="N112 AA7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956" t="s">
        <v>1809</v>
      </c>
      <c r="C1" s="1223" t="s">
        <v>1661</v>
      </c>
      <c r="D1" s="1224"/>
      <c r="E1" s="3433"/>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149436.09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1768</v>
      </c>
      <c r="B4" s="356"/>
      <c r="C4" s="3658" t="s">
        <v>1769</v>
      </c>
      <c r="D4" s="3670"/>
      <c r="E4" s="3671" t="s">
        <v>1770</v>
      </c>
      <c r="F4" s="3672"/>
      <c r="G4" s="3658" t="s">
        <v>1771</v>
      </c>
      <c r="H4" s="3670"/>
      <c r="I4" s="3658" t="s">
        <v>1772</v>
      </c>
      <c r="J4" s="3670"/>
      <c r="K4" s="559" t="s">
        <v>1773</v>
      </c>
      <c r="L4" s="2713"/>
      <c r="M4" s="2714"/>
      <c r="N4" s="2714"/>
      <c r="O4" s="2714"/>
      <c r="P4" s="3742" t="s">
        <v>1774</v>
      </c>
      <c r="Q4" s="3743"/>
      <c r="R4" s="3746" t="s">
        <v>1770</v>
      </c>
      <c r="S4" s="3747"/>
      <c r="T4" s="3746" t="s">
        <v>1771</v>
      </c>
      <c r="U4" s="3747"/>
      <c r="V4" s="3748" t="s">
        <v>1772</v>
      </c>
      <c r="W4" s="3748"/>
      <c r="X4" s="1957"/>
      <c r="Y4" s="3746" t="s">
        <v>1774</v>
      </c>
      <c r="Z4" s="3747"/>
      <c r="AA4" s="3750" t="s">
        <v>1770</v>
      </c>
      <c r="AB4" s="3750" t="s">
        <v>1771</v>
      </c>
      <c r="AC4" s="3739" t="s">
        <v>1772</v>
      </c>
    </row>
    <row r="5" spans="1:29">
      <c r="A5" s="358"/>
      <c r="B5" s="359"/>
      <c r="C5" s="3687" t="s">
        <v>1672</v>
      </c>
      <c r="D5" s="3688"/>
      <c r="E5" s="3694" t="s">
        <v>1673</v>
      </c>
      <c r="F5" s="3695"/>
      <c r="G5" s="3687" t="s">
        <v>1674</v>
      </c>
      <c r="H5" s="3688"/>
      <c r="I5" s="3687" t="s">
        <v>1675</v>
      </c>
      <c r="J5" s="3688"/>
      <c r="K5" s="559"/>
      <c r="L5" s="2713"/>
      <c r="M5" s="2714"/>
      <c r="N5" s="2714"/>
      <c r="O5" s="2714"/>
      <c r="P5" s="3744"/>
      <c r="Q5" s="3676"/>
      <c r="R5" s="3681"/>
      <c r="S5" s="3682"/>
      <c r="T5" s="3681"/>
      <c r="U5" s="3682"/>
      <c r="V5" s="3666"/>
      <c r="W5" s="3666"/>
      <c r="X5" s="1354"/>
      <c r="Y5" s="3681"/>
      <c r="Z5" s="3682"/>
      <c r="AA5" s="3668"/>
      <c r="AB5" s="3668"/>
      <c r="AC5" s="3740"/>
    </row>
    <row r="6" spans="1:29" ht="15" thickBot="1">
      <c r="A6" s="360"/>
      <c r="B6" s="361"/>
      <c r="C6" s="3685" t="s">
        <v>1676</v>
      </c>
      <c r="D6" s="3686"/>
      <c r="E6" s="3692" t="s">
        <v>1676</v>
      </c>
      <c r="F6" s="3693"/>
      <c r="G6" s="3685" t="s">
        <v>1676</v>
      </c>
      <c r="H6" s="3686"/>
      <c r="I6" s="3685" t="s">
        <v>1676</v>
      </c>
      <c r="J6" s="3686"/>
      <c r="K6" s="559" t="s">
        <v>1677</v>
      </c>
      <c r="L6" s="2713"/>
      <c r="M6" s="2714"/>
      <c r="N6" s="2714"/>
      <c r="O6" s="2714"/>
      <c r="P6" s="3745"/>
      <c r="Q6" s="3678"/>
      <c r="R6" s="3681"/>
      <c r="S6" s="3682"/>
      <c r="T6" s="3683"/>
      <c r="U6" s="3684"/>
      <c r="V6" s="3666"/>
      <c r="W6" s="3666"/>
      <c r="X6" s="1354"/>
      <c r="Y6" s="3683"/>
      <c r="Z6" s="3684"/>
      <c r="AA6" s="3669"/>
      <c r="AB6" s="3669"/>
      <c r="AC6" s="3741"/>
    </row>
    <row r="7" spans="1:29" s="108" customFormat="1" ht="15" thickBot="1">
      <c r="A7" s="362" t="s">
        <v>1678</v>
      </c>
      <c r="B7" s="363"/>
      <c r="C7" s="364">
        <f>'数据-取费表'!B2</f>
        <v>44917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9" t="s">
        <v>1679</v>
      </c>
      <c r="Q7" s="3691"/>
      <c r="R7" s="701" t="s">
        <v>14</v>
      </c>
      <c r="S7" s="702">
        <f t="shared" ref="S7:S15" si="0">F7</f>
        <v>0</v>
      </c>
      <c r="T7" s="701" t="s">
        <v>14</v>
      </c>
      <c r="U7" s="702">
        <f t="shared" ref="U7:U15" si="1">H7</f>
        <v>0</v>
      </c>
      <c r="V7" s="701" t="s">
        <v>14</v>
      </c>
      <c r="W7" s="702">
        <f t="shared" ref="W7:W15" si="2">J7</f>
        <v>0</v>
      </c>
      <c r="X7" s="703"/>
      <c r="Y7" s="3689" t="s">
        <v>1679</v>
      </c>
      <c r="Z7" s="3690"/>
      <c r="AA7" s="704" t="e">
        <f>D7/F7</f>
        <v>#DIV/0!</v>
      </c>
      <c r="AB7" s="704" t="e">
        <f>D7/H7</f>
        <v>#DIV/0!</v>
      </c>
      <c r="AC7" s="1958"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9" t="s">
        <v>1682</v>
      </c>
      <c r="Q8" s="3690"/>
      <c r="R8" s="701" t="s">
        <v>14</v>
      </c>
      <c r="S8" s="702">
        <f t="shared" si="0"/>
        <v>100</v>
      </c>
      <c r="T8" s="701" t="s">
        <v>14</v>
      </c>
      <c r="U8" s="702">
        <f t="shared" si="1"/>
        <v>100</v>
      </c>
      <c r="V8" s="701" t="s">
        <v>14</v>
      </c>
      <c r="W8" s="702">
        <f t="shared" si="2"/>
        <v>100</v>
      </c>
      <c r="X8" s="703"/>
      <c r="Y8" s="3689" t="s">
        <v>1682</v>
      </c>
      <c r="Z8" s="3690"/>
      <c r="AA8" s="704">
        <f t="shared" ref="AA8:AA47" si="3">D8/F8</f>
        <v>1</v>
      </c>
      <c r="AB8" s="704">
        <f t="shared" ref="AB8:AB47" si="4">D8/H8</f>
        <v>1</v>
      </c>
      <c r="AC8" s="1958">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60" t="s">
        <v>1685</v>
      </c>
      <c r="Q9" s="1342"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1958">
        <f t="shared" si="5"/>
        <v>1</v>
      </c>
    </row>
    <row r="10" spans="1:29" s="378" customFormat="1" ht="28.8">
      <c r="A10" s="374"/>
      <c r="B10" s="375" t="s">
        <v>1687</v>
      </c>
      <c r="C10" s="3435"/>
      <c r="D10" s="127">
        <v>100</v>
      </c>
      <c r="E10" s="3435"/>
      <c r="F10" s="127">
        <f>SUMIF(66:66,E10,67:67)-SUMIF(66:66,C10,67:67)+100</f>
        <v>100</v>
      </c>
      <c r="G10" s="3436"/>
      <c r="H10" s="127">
        <f>SUMIF(66:66,G10,67:67)-SUMIF(66:66,C10,67:67)+100</f>
        <v>100</v>
      </c>
      <c r="I10" s="3435"/>
      <c r="J10" s="127">
        <f>SUMIF(66:66,I10,67:67)-SUMIF(66:66,C10,67:67)+100</f>
        <v>100</v>
      </c>
      <c r="K10" s="560"/>
      <c r="L10" s="2717"/>
      <c r="M10" s="2718"/>
      <c r="N10" s="2718"/>
      <c r="O10" s="2718"/>
      <c r="P10" s="3660"/>
      <c r="Q10" s="1342"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0"/>
      <c r="Q11" s="1342"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60"/>
      <c r="Q12" s="1342">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60"/>
      <c r="Q13" s="1342">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60"/>
      <c r="Q14" s="1342">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8">
        <f t="shared" si="5"/>
        <v>1</v>
      </c>
    </row>
    <row r="15" spans="1:29" ht="69">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4" t="s">
        <v>1690</v>
      </c>
      <c r="Q15" s="1351" t="str">
        <f t="shared" si="6"/>
        <v>办公集聚程度</v>
      </c>
      <c r="R15" s="705" t="s">
        <v>14</v>
      </c>
      <c r="S15" s="706">
        <f t="shared" si="0"/>
        <v>100</v>
      </c>
      <c r="T15" s="705" t="s">
        <v>14</v>
      </c>
      <c r="U15" s="706">
        <f t="shared" si="1"/>
        <v>100</v>
      </c>
      <c r="V15" s="705" t="s">
        <v>14</v>
      </c>
      <c r="W15" s="706">
        <f t="shared" si="2"/>
        <v>100</v>
      </c>
      <c r="X15" s="1354"/>
      <c r="Y15" s="3662"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0"/>
      <c r="M16" s="2714"/>
      <c r="N16" s="2714"/>
      <c r="O16" s="2714"/>
      <c r="P16" s="3735"/>
      <c r="Q16" s="1351"/>
      <c r="R16" s="705"/>
      <c r="S16" s="706"/>
      <c r="T16" s="705"/>
      <c r="U16" s="706"/>
      <c r="V16" s="705"/>
      <c r="W16" s="706"/>
      <c r="X16" s="1354"/>
      <c r="Y16" s="3663"/>
      <c r="Z16" s="1355"/>
      <c r="AA16" s="1352">
        <v>1</v>
      </c>
      <c r="AB16" s="1352">
        <v>1</v>
      </c>
      <c r="AC16" s="1961">
        <v>1</v>
      </c>
    </row>
    <row r="17" spans="1:29" ht="82.8">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5"/>
      <c r="Q17" s="1351" t="str">
        <f>B17</f>
        <v>交通便捷度</v>
      </c>
      <c r="R17" s="705" t="s">
        <v>14</v>
      </c>
      <c r="S17" s="706">
        <f>F17</f>
        <v>100</v>
      </c>
      <c r="T17" s="705" t="s">
        <v>14</v>
      </c>
      <c r="U17" s="706">
        <f>H17</f>
        <v>100</v>
      </c>
      <c r="V17" s="705" t="s">
        <v>14</v>
      </c>
      <c r="W17" s="706">
        <f>J17</f>
        <v>100</v>
      </c>
      <c r="X17" s="1354"/>
      <c r="Y17" s="366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735"/>
      <c r="Q18" s="1351"/>
      <c r="R18" s="705"/>
      <c r="S18" s="706"/>
      <c r="T18" s="705"/>
      <c r="U18" s="706"/>
      <c r="V18" s="705"/>
      <c r="W18" s="706"/>
      <c r="X18" s="1354"/>
      <c r="Y18" s="3663"/>
      <c r="Z18" s="1355"/>
      <c r="AA18" s="1352">
        <v>1</v>
      </c>
      <c r="AB18" s="1352">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5"/>
      <c r="Q19" s="1351" t="str">
        <f>B19</f>
        <v>公共配套设施</v>
      </c>
      <c r="R19" s="705" t="s">
        <v>14</v>
      </c>
      <c r="S19" s="706">
        <f>F19</f>
        <v>100</v>
      </c>
      <c r="T19" s="705" t="s">
        <v>14</v>
      </c>
      <c r="U19" s="706">
        <f>H19</f>
        <v>100</v>
      </c>
      <c r="V19" s="705" t="s">
        <v>14</v>
      </c>
      <c r="W19" s="706">
        <f>J19</f>
        <v>100</v>
      </c>
      <c r="X19" s="1354"/>
      <c r="Y19" s="366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0"/>
      <c r="M20" s="2714"/>
      <c r="N20" s="2714"/>
      <c r="O20" s="2714"/>
      <c r="P20" s="3735"/>
      <c r="Q20" s="1351"/>
      <c r="R20" s="705"/>
      <c r="S20" s="706"/>
      <c r="T20" s="705"/>
      <c r="U20" s="706"/>
      <c r="V20" s="705"/>
      <c r="W20" s="706"/>
      <c r="X20" s="1354"/>
      <c r="Y20" s="3663"/>
      <c r="Z20" s="1355"/>
      <c r="AA20" s="1352">
        <v>1</v>
      </c>
      <c r="AB20" s="1352">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5"/>
      <c r="Q21" s="1351" t="str">
        <f>B21</f>
        <v>基础设施水平</v>
      </c>
      <c r="R21" s="705" t="s">
        <v>14</v>
      </c>
      <c r="S21" s="706">
        <f>F21</f>
        <v>100</v>
      </c>
      <c r="T21" s="705" t="s">
        <v>14</v>
      </c>
      <c r="U21" s="706">
        <f>H21</f>
        <v>100</v>
      </c>
      <c r="V21" s="705" t="s">
        <v>14</v>
      </c>
      <c r="W21" s="706">
        <f>J21</f>
        <v>100</v>
      </c>
      <c r="X21" s="1354"/>
      <c r="Y21" s="366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35"/>
      <c r="Q22" s="1351"/>
      <c r="R22" s="705"/>
      <c r="S22" s="706"/>
      <c r="T22" s="705"/>
      <c r="U22" s="706"/>
      <c r="V22" s="705"/>
      <c r="W22" s="706"/>
      <c r="X22" s="1354"/>
      <c r="Y22" s="3663"/>
      <c r="Z22" s="1355"/>
      <c r="AA22" s="1352">
        <v>1</v>
      </c>
      <c r="AB22" s="1352">
        <v>1</v>
      </c>
      <c r="AC22" s="1961">
        <v>1</v>
      </c>
    </row>
    <row r="23" spans="1:29" ht="55.2">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5"/>
      <c r="Q23" s="1351" t="str">
        <f>B23</f>
        <v>环境质量</v>
      </c>
      <c r="R23" s="705" t="s">
        <v>14</v>
      </c>
      <c r="S23" s="706">
        <f>F23</f>
        <v>100</v>
      </c>
      <c r="T23" s="705" t="s">
        <v>14</v>
      </c>
      <c r="U23" s="706">
        <f>H23</f>
        <v>100</v>
      </c>
      <c r="V23" s="705" t="s">
        <v>14</v>
      </c>
      <c r="W23" s="706">
        <f>J23</f>
        <v>100</v>
      </c>
      <c r="X23" s="1354"/>
      <c r="Y23" s="366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0"/>
      <c r="M24" s="2714"/>
      <c r="N24" s="2714"/>
      <c r="O24" s="2714"/>
      <c r="P24" s="3735"/>
      <c r="Q24" s="1351"/>
      <c r="R24" s="705"/>
      <c r="S24" s="706"/>
      <c r="T24" s="705"/>
      <c r="U24" s="706"/>
      <c r="V24" s="705"/>
      <c r="W24" s="706"/>
      <c r="X24" s="1354"/>
      <c r="Y24" s="3663"/>
      <c r="Z24" s="1355"/>
      <c r="AA24" s="1352">
        <v>1</v>
      </c>
      <c r="AB24" s="1352">
        <v>1</v>
      </c>
      <c r="AC24" s="1961">
        <v>1</v>
      </c>
    </row>
    <row r="25" spans="1:29" ht="28.8">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35"/>
      <c r="Q25" s="1351" t="str">
        <f>B25</f>
        <v>毗邻道路的类型与等级</v>
      </c>
      <c r="R25" s="705" t="s">
        <v>14</v>
      </c>
      <c r="S25" s="706">
        <f>F25</f>
        <v>100</v>
      </c>
      <c r="T25" s="705" t="s">
        <v>14</v>
      </c>
      <c r="U25" s="706">
        <f>H25</f>
        <v>100</v>
      </c>
      <c r="V25" s="705" t="s">
        <v>14</v>
      </c>
      <c r="W25" s="706">
        <f>J25</f>
        <v>100</v>
      </c>
      <c r="X25" s="1354"/>
      <c r="Y25" s="366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35"/>
      <c r="Q26" s="1351"/>
      <c r="R26" s="705"/>
      <c r="S26" s="706"/>
      <c r="T26" s="705"/>
      <c r="U26" s="706"/>
      <c r="V26" s="705"/>
      <c r="W26" s="706"/>
      <c r="X26" s="1354"/>
      <c r="Y26" s="3663"/>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5"/>
      <c r="Q27" s="1351" t="str">
        <f t="shared" ref="Q27:Q47" si="11">B27</f>
        <v>楼层</v>
      </c>
      <c r="R27" s="705" t="s">
        <v>14</v>
      </c>
      <c r="S27" s="706">
        <f>F27</f>
        <v>100</v>
      </c>
      <c r="T27" s="705" t="s">
        <v>14</v>
      </c>
      <c r="U27" s="706">
        <f>H27</f>
        <v>100</v>
      </c>
      <c r="V27" s="705" t="s">
        <v>14</v>
      </c>
      <c r="W27" s="706">
        <f>J27</f>
        <v>100</v>
      </c>
      <c r="X27" s="1354"/>
      <c r="Y27" s="3663"/>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35"/>
      <c r="Q28" s="1342" t="str">
        <f t="shared" si="11"/>
        <v>朝向</v>
      </c>
      <c r="R28" s="701" t="s">
        <v>14</v>
      </c>
      <c r="S28" s="702">
        <f>F28</f>
        <v>100</v>
      </c>
      <c r="T28" s="701" t="s">
        <v>14</v>
      </c>
      <c r="U28" s="702">
        <f>H28</f>
        <v>100</v>
      </c>
      <c r="V28" s="701" t="s">
        <v>14</v>
      </c>
      <c r="W28" s="702">
        <f>J28</f>
        <v>100</v>
      </c>
      <c r="X28" s="703"/>
      <c r="Y28" s="366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35"/>
      <c r="Q29" s="1351">
        <f t="shared" si="11"/>
        <v>111</v>
      </c>
      <c r="R29" s="705" t="s">
        <v>14</v>
      </c>
      <c r="S29" s="706">
        <f t="shared" ref="S29:S47" si="12">F29</f>
        <v>100</v>
      </c>
      <c r="T29" s="705" t="s">
        <v>14</v>
      </c>
      <c r="U29" s="706">
        <f t="shared" ref="U29:U47" si="13">H29</f>
        <v>100</v>
      </c>
      <c r="V29" s="705" t="s">
        <v>14</v>
      </c>
      <c r="W29" s="706">
        <f t="shared" ref="W29:W47" si="14">J29</f>
        <v>100</v>
      </c>
      <c r="X29" s="1354"/>
      <c r="Y29" s="366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35"/>
      <c r="Q30" s="1351">
        <f t="shared" si="11"/>
        <v>111</v>
      </c>
      <c r="R30" s="705" t="s">
        <v>14</v>
      </c>
      <c r="S30" s="706">
        <f t="shared" si="12"/>
        <v>100</v>
      </c>
      <c r="T30" s="705" t="s">
        <v>14</v>
      </c>
      <c r="U30" s="706">
        <f t="shared" si="13"/>
        <v>100</v>
      </c>
      <c r="V30" s="705" t="s">
        <v>14</v>
      </c>
      <c r="W30" s="706">
        <f t="shared" si="14"/>
        <v>100</v>
      </c>
      <c r="X30" s="1354"/>
      <c r="Y30" s="366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35"/>
      <c r="Q31" s="1351">
        <f t="shared" si="11"/>
        <v>111</v>
      </c>
      <c r="R31" s="705" t="s">
        <v>14</v>
      </c>
      <c r="S31" s="706">
        <f t="shared" si="12"/>
        <v>100</v>
      </c>
      <c r="T31" s="705" t="s">
        <v>14</v>
      </c>
      <c r="U31" s="706">
        <f t="shared" si="13"/>
        <v>100</v>
      </c>
      <c r="V31" s="705" t="s">
        <v>14</v>
      </c>
      <c r="W31" s="706">
        <f t="shared" si="14"/>
        <v>100</v>
      </c>
      <c r="X31" s="1354"/>
      <c r="Y31" s="3663"/>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35"/>
      <c r="Q32" s="1351">
        <f t="shared" si="11"/>
        <v>111</v>
      </c>
      <c r="R32" s="705" t="s">
        <v>14</v>
      </c>
      <c r="S32" s="706">
        <f t="shared" si="12"/>
        <v>100</v>
      </c>
      <c r="T32" s="705" t="s">
        <v>14</v>
      </c>
      <c r="U32" s="706">
        <f t="shared" si="13"/>
        <v>100</v>
      </c>
      <c r="V32" s="705" t="s">
        <v>14</v>
      </c>
      <c r="W32" s="706">
        <f t="shared" si="14"/>
        <v>100</v>
      </c>
      <c r="X32" s="1354"/>
      <c r="Y32" s="3663"/>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30" t="s">
        <v>1695</v>
      </c>
      <c r="Q33" s="1351" t="str">
        <f t="shared" si="11"/>
        <v>建筑类型</v>
      </c>
      <c r="R33" s="705" t="s">
        <v>14</v>
      </c>
      <c r="S33" s="706">
        <f t="shared" si="12"/>
        <v>100</v>
      </c>
      <c r="T33" s="705" t="s">
        <v>14</v>
      </c>
      <c r="U33" s="706">
        <f t="shared" si="13"/>
        <v>100</v>
      </c>
      <c r="V33" s="705" t="s">
        <v>14</v>
      </c>
      <c r="W33" s="706">
        <f t="shared" si="14"/>
        <v>100</v>
      </c>
      <c r="X33" s="1354"/>
      <c r="Y33" s="3665"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1"/>
      <c r="Q34" s="707" t="str">
        <f t="shared" si="11"/>
        <v>项目建筑规模</v>
      </c>
      <c r="R34" s="708" t="s">
        <v>14</v>
      </c>
      <c r="S34" s="709" t="e">
        <f t="shared" si="12"/>
        <v>#N/A</v>
      </c>
      <c r="T34" s="708" t="s">
        <v>14</v>
      </c>
      <c r="U34" s="709" t="e">
        <f t="shared" si="13"/>
        <v>#N/A</v>
      </c>
      <c r="V34" s="708" t="s">
        <v>14</v>
      </c>
      <c r="W34" s="709" t="e">
        <f t="shared" si="14"/>
        <v>#N/A</v>
      </c>
      <c r="X34" s="710"/>
      <c r="Y34" s="3665"/>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1"/>
      <c r="Q35" s="1351" t="str">
        <f t="shared" si="11"/>
        <v>建筑结构</v>
      </c>
      <c r="R35" s="705" t="s">
        <v>14</v>
      </c>
      <c r="S35" s="706">
        <f t="shared" si="12"/>
        <v>100</v>
      </c>
      <c r="T35" s="705" t="s">
        <v>14</v>
      </c>
      <c r="U35" s="706">
        <f t="shared" si="13"/>
        <v>100</v>
      </c>
      <c r="V35" s="705" t="s">
        <v>14</v>
      </c>
      <c r="W35" s="706">
        <f t="shared" si="14"/>
        <v>100</v>
      </c>
      <c r="X35" s="1354"/>
      <c r="Y35" s="3665"/>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1"/>
      <c r="Q36" s="1351" t="str">
        <f t="shared" si="11"/>
        <v>公共部分装修</v>
      </c>
      <c r="R36" s="705" t="s">
        <v>14</v>
      </c>
      <c r="S36" s="706">
        <f t="shared" si="12"/>
        <v>100</v>
      </c>
      <c r="T36" s="705" t="s">
        <v>14</v>
      </c>
      <c r="U36" s="706">
        <f t="shared" si="13"/>
        <v>100</v>
      </c>
      <c r="V36" s="705" t="s">
        <v>14</v>
      </c>
      <c r="W36" s="706">
        <f t="shared" si="14"/>
        <v>100</v>
      </c>
      <c r="X36" s="1354"/>
      <c r="Y36" s="3665"/>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1"/>
      <c r="Q37" s="1351" t="str">
        <f t="shared" si="11"/>
        <v>成新度</v>
      </c>
      <c r="R37" s="705" t="s">
        <v>14</v>
      </c>
      <c r="S37" s="706" t="e">
        <f t="shared" si="12"/>
        <v>#N/A</v>
      </c>
      <c r="T37" s="705" t="s">
        <v>14</v>
      </c>
      <c r="U37" s="706" t="e">
        <f t="shared" si="13"/>
        <v>#N/A</v>
      </c>
      <c r="V37" s="705" t="s">
        <v>14</v>
      </c>
      <c r="W37" s="706" t="e">
        <f t="shared" si="14"/>
        <v>#N/A</v>
      </c>
      <c r="X37" s="1354"/>
      <c r="Y37" s="3665"/>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1"/>
      <c r="Q38" s="1342" t="str">
        <f t="shared" si="11"/>
        <v>写字楼等级</v>
      </c>
      <c r="R38" s="701" t="s">
        <v>14</v>
      </c>
      <c r="S38" s="702">
        <f t="shared" si="12"/>
        <v>100</v>
      </c>
      <c r="T38" s="701" t="s">
        <v>14</v>
      </c>
      <c r="U38" s="702">
        <f t="shared" si="13"/>
        <v>100</v>
      </c>
      <c r="V38" s="701" t="s">
        <v>14</v>
      </c>
      <c r="W38" s="702">
        <f t="shared" si="14"/>
        <v>100</v>
      </c>
      <c r="X38" s="703"/>
      <c r="Y38" s="3665"/>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1" t="s">
        <v>1695</v>
      </c>
      <c r="Q39" s="1351" t="str">
        <f t="shared" si="11"/>
        <v>物业管理</v>
      </c>
      <c r="R39" s="705" t="s">
        <v>14</v>
      </c>
      <c r="S39" s="706">
        <f t="shared" si="12"/>
        <v>100</v>
      </c>
      <c r="T39" s="705" t="s">
        <v>14</v>
      </c>
      <c r="U39" s="706">
        <f t="shared" si="13"/>
        <v>100</v>
      </c>
      <c r="V39" s="705" t="s">
        <v>14</v>
      </c>
      <c r="W39" s="706">
        <f t="shared" si="14"/>
        <v>100</v>
      </c>
      <c r="X39" s="1354"/>
      <c r="Y39" s="3665"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1"/>
      <c r="Q40" s="1351" t="str">
        <f t="shared" si="11"/>
        <v>市政基础设施</v>
      </c>
      <c r="R40" s="705" t="s">
        <v>14</v>
      </c>
      <c r="S40" s="706">
        <f t="shared" si="12"/>
        <v>100</v>
      </c>
      <c r="T40" s="705" t="s">
        <v>14</v>
      </c>
      <c r="U40" s="706">
        <f t="shared" si="13"/>
        <v>100</v>
      </c>
      <c r="V40" s="705" t="s">
        <v>14</v>
      </c>
      <c r="W40" s="706">
        <f t="shared" si="14"/>
        <v>100</v>
      </c>
      <c r="X40" s="1354"/>
      <c r="Y40" s="3665"/>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1"/>
      <c r="Q41" s="1351" t="str">
        <f t="shared" si="11"/>
        <v>层高</v>
      </c>
      <c r="R41" s="705" t="s">
        <v>14</v>
      </c>
      <c r="S41" s="706">
        <f t="shared" si="12"/>
        <v>100</v>
      </c>
      <c r="T41" s="705" t="s">
        <v>14</v>
      </c>
      <c r="U41" s="706">
        <f t="shared" si="13"/>
        <v>100</v>
      </c>
      <c r="V41" s="705" t="s">
        <v>14</v>
      </c>
      <c r="W41" s="706">
        <f t="shared" si="14"/>
        <v>100</v>
      </c>
      <c r="X41" s="1354"/>
      <c r="Y41" s="3665"/>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1"/>
      <c r="Q42" s="707" t="str">
        <f t="shared" si="11"/>
        <v>单套建筑面积</v>
      </c>
      <c r="R42" s="708" t="s">
        <v>14</v>
      </c>
      <c r="S42" s="709">
        <f t="shared" si="12"/>
        <v>100</v>
      </c>
      <c r="T42" s="708" t="s">
        <v>14</v>
      </c>
      <c r="U42" s="709">
        <f t="shared" si="13"/>
        <v>100</v>
      </c>
      <c r="V42" s="708" t="s">
        <v>14</v>
      </c>
      <c r="W42" s="709">
        <f t="shared" si="14"/>
        <v>100</v>
      </c>
      <c r="X42" s="710"/>
      <c r="Y42" s="3665"/>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1"/>
      <c r="Q43" s="1351" t="str">
        <f t="shared" si="11"/>
        <v>内部装修</v>
      </c>
      <c r="R43" s="705" t="s">
        <v>14</v>
      </c>
      <c r="S43" s="706">
        <f t="shared" si="12"/>
        <v>100</v>
      </c>
      <c r="T43" s="705" t="s">
        <v>14</v>
      </c>
      <c r="U43" s="706">
        <f t="shared" si="13"/>
        <v>100</v>
      </c>
      <c r="V43" s="705" t="s">
        <v>14</v>
      </c>
      <c r="W43" s="706">
        <f t="shared" si="14"/>
        <v>100</v>
      </c>
      <c r="X43" s="1354"/>
      <c r="Y43" s="3665"/>
      <c r="Z43" s="1355" t="str">
        <f t="shared" si="15"/>
        <v>内部装修</v>
      </c>
      <c r="AA43" s="1352">
        <f t="shared" si="3"/>
        <v>1</v>
      </c>
      <c r="AB43" s="1352">
        <f t="shared" si="4"/>
        <v>1</v>
      </c>
      <c r="AC43" s="1961">
        <f t="shared" si="5"/>
        <v>1</v>
      </c>
    </row>
    <row r="44" spans="1:29" ht="28.8">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31"/>
      <c r="Q44" s="1351" t="str">
        <f t="shared" si="11"/>
        <v>内部装修维护情况</v>
      </c>
      <c r="R44" s="705" t="s">
        <v>14</v>
      </c>
      <c r="S44" s="706">
        <f t="shared" si="12"/>
        <v>100</v>
      </c>
      <c r="T44" s="705" t="s">
        <v>14</v>
      </c>
      <c r="U44" s="706">
        <f t="shared" si="13"/>
        <v>100</v>
      </c>
      <c r="V44" s="705" t="s">
        <v>14</v>
      </c>
      <c r="W44" s="706">
        <f t="shared" si="14"/>
        <v>100</v>
      </c>
      <c r="X44" s="1354"/>
      <c r="Y44" s="3665"/>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1"/>
      <c r="Q45" s="1342">
        <f t="shared" si="11"/>
        <v>111</v>
      </c>
      <c r="R45" s="701" t="s">
        <v>14</v>
      </c>
      <c r="S45" s="702">
        <f t="shared" si="12"/>
        <v>100</v>
      </c>
      <c r="T45" s="701" t="s">
        <v>14</v>
      </c>
      <c r="U45" s="702">
        <f t="shared" si="13"/>
        <v>100</v>
      </c>
      <c r="V45" s="701" t="s">
        <v>14</v>
      </c>
      <c r="W45" s="702">
        <f t="shared" si="14"/>
        <v>100</v>
      </c>
      <c r="X45" s="703"/>
      <c r="Y45" s="366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1"/>
      <c r="Q46" s="1351">
        <f t="shared" si="11"/>
        <v>111</v>
      </c>
      <c r="R46" s="705" t="s">
        <v>14</v>
      </c>
      <c r="S46" s="706">
        <f t="shared" si="12"/>
        <v>100</v>
      </c>
      <c r="T46" s="705" t="s">
        <v>14</v>
      </c>
      <c r="U46" s="706">
        <f t="shared" si="13"/>
        <v>100</v>
      </c>
      <c r="V46" s="705" t="s">
        <v>14</v>
      </c>
      <c r="W46" s="706">
        <f t="shared" si="14"/>
        <v>100</v>
      </c>
      <c r="X46" s="1354"/>
      <c r="Y46" s="3665"/>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2"/>
      <c r="Q47" s="1351">
        <f t="shared" si="11"/>
        <v>111</v>
      </c>
      <c r="R47" s="705" t="s">
        <v>14</v>
      </c>
      <c r="S47" s="706">
        <f t="shared" si="12"/>
        <v>100</v>
      </c>
      <c r="T47" s="705" t="s">
        <v>14</v>
      </c>
      <c r="U47" s="706">
        <f t="shared" si="13"/>
        <v>100</v>
      </c>
      <c r="V47" s="705" t="s">
        <v>14</v>
      </c>
      <c r="W47" s="706">
        <f t="shared" si="14"/>
        <v>100</v>
      </c>
      <c r="X47" s="1354"/>
      <c r="Y47" s="3733"/>
      <c r="Z47" s="1355">
        <f t="shared" si="15"/>
        <v>111</v>
      </c>
      <c r="AA47" s="1352">
        <f t="shared" si="3"/>
        <v>1</v>
      </c>
      <c r="AB47" s="1352">
        <f t="shared" si="4"/>
        <v>1</v>
      </c>
      <c r="AC47" s="1961">
        <f t="shared" si="5"/>
        <v>1</v>
      </c>
    </row>
    <row r="48" spans="1:29" ht="14.4">
      <c r="A48" s="430" t="s">
        <v>1707</v>
      </c>
      <c r="B48" s="431"/>
      <c r="C48" s="1154" t="s">
        <v>0</v>
      </c>
      <c r="D48" s="1155"/>
      <c r="E48" s="1156"/>
      <c r="F48" s="1157"/>
      <c r="G48" s="1158"/>
      <c r="H48" s="1159"/>
      <c r="I48" s="1156"/>
      <c r="J48" s="436"/>
      <c r="K48" s="714"/>
      <c r="L48" s="2722"/>
      <c r="M48" s="2714"/>
      <c r="N48" s="2714"/>
      <c r="O48" s="2714"/>
      <c r="P48" s="3660" t="str">
        <f>A48</f>
        <v>成交单价（元/平方米）</v>
      </c>
      <c r="Q48" s="3661"/>
      <c r="R48" s="3729">
        <f>E48</f>
        <v>0</v>
      </c>
      <c r="S48" s="3729"/>
      <c r="T48" s="3729">
        <f>G48</f>
        <v>0</v>
      </c>
      <c r="U48" s="3729"/>
      <c r="V48" s="3729">
        <f>I48</f>
        <v>0</v>
      </c>
      <c r="W48" s="3729"/>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2"/>
      <c r="M49" s="2714"/>
      <c r="N49" s="2714"/>
      <c r="O49" s="2714"/>
      <c r="P49" s="3660" t="str">
        <f>A49</f>
        <v>比较价值（元/平方米）</v>
      </c>
      <c r="Q49" s="3661"/>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2"/>
      <c r="M50" s="2714"/>
      <c r="N50" s="2714"/>
      <c r="O50" s="2714"/>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1678</v>
      </c>
      <c r="B59" s="455"/>
      <c r="C59" s="1183" t="str">
        <f>YEAR(C7)&amp;"-"&amp;MONTH(C7)</f>
        <v>2022-12</v>
      </c>
      <c r="D59" s="1184">
        <f>EDATE(C59,-1)</f>
        <v>44866</v>
      </c>
      <c r="E59" s="1184">
        <f>EDATE(D59,-1)</f>
        <v>44835</v>
      </c>
      <c r="F59" s="1184">
        <f t="shared" ref="F59:O59" si="16">EDATE(E59,-1)</f>
        <v>44805</v>
      </c>
      <c r="G59" s="1184">
        <f t="shared" si="16"/>
        <v>44774</v>
      </c>
      <c r="H59" s="1184">
        <f t="shared" si="16"/>
        <v>44743</v>
      </c>
      <c r="I59" s="1184">
        <f t="shared" si="16"/>
        <v>44713</v>
      </c>
      <c r="J59" s="1184">
        <f t="shared" si="16"/>
        <v>44682</v>
      </c>
      <c r="K59" s="1184">
        <f t="shared" si="16"/>
        <v>44652</v>
      </c>
      <c r="L59" s="1184">
        <f t="shared" si="16"/>
        <v>44621</v>
      </c>
      <c r="M59" s="1184">
        <f t="shared" si="16"/>
        <v>44593</v>
      </c>
      <c r="N59" s="1184">
        <f t="shared" si="16"/>
        <v>44562</v>
      </c>
      <c r="O59" s="1184">
        <f t="shared" si="16"/>
        <v>44531</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956" t="s">
        <v>1825</v>
      </c>
      <c r="C1" s="1223" t="s">
        <v>1661</v>
      </c>
      <c r="D1" s="1224"/>
      <c r="E1" s="3433"/>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149436.09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658" t="s">
        <v>1769</v>
      </c>
      <c r="D4" s="3670"/>
      <c r="E4" s="3671" t="s">
        <v>1770</v>
      </c>
      <c r="F4" s="3672"/>
      <c r="G4" s="3658" t="s">
        <v>1771</v>
      </c>
      <c r="H4" s="3670"/>
      <c r="I4" s="3658" t="s">
        <v>1772</v>
      </c>
      <c r="J4" s="3670"/>
      <c r="K4" s="559" t="s">
        <v>1773</v>
      </c>
      <c r="L4" s="913"/>
      <c r="M4" s="914"/>
      <c r="N4" s="914"/>
      <c r="O4" s="914"/>
      <c r="P4" s="3673" t="s">
        <v>1774</v>
      </c>
      <c r="Q4" s="3674"/>
      <c r="R4" s="3679" t="s">
        <v>1770</v>
      </c>
      <c r="S4" s="3680"/>
      <c r="T4" s="3679" t="s">
        <v>1771</v>
      </c>
      <c r="U4" s="3680"/>
      <c r="V4" s="3666" t="s">
        <v>1772</v>
      </c>
      <c r="W4" s="3666"/>
      <c r="X4" s="1354"/>
      <c r="Y4" s="3679" t="s">
        <v>1774</v>
      </c>
      <c r="Z4" s="3680"/>
      <c r="AA4" s="3667" t="s">
        <v>1770</v>
      </c>
      <c r="AB4" s="3668" t="s">
        <v>1771</v>
      </c>
      <c r="AC4" s="3667" t="s">
        <v>1772</v>
      </c>
    </row>
    <row r="5" spans="1:29">
      <c r="A5" s="358"/>
      <c r="B5" s="359"/>
      <c r="C5" s="3687" t="s">
        <v>1672</v>
      </c>
      <c r="D5" s="3688"/>
      <c r="E5" s="3694" t="s">
        <v>1673</v>
      </c>
      <c r="F5" s="3695"/>
      <c r="G5" s="3687" t="s">
        <v>1674</v>
      </c>
      <c r="H5" s="3688"/>
      <c r="I5" s="3687" t="s">
        <v>1675</v>
      </c>
      <c r="J5" s="3688"/>
      <c r="K5" s="559"/>
      <c r="L5" s="913"/>
      <c r="M5" s="914"/>
      <c r="N5" s="914"/>
      <c r="O5" s="914"/>
      <c r="P5" s="3675"/>
      <c r="Q5" s="3676"/>
      <c r="R5" s="3681"/>
      <c r="S5" s="3682"/>
      <c r="T5" s="3681"/>
      <c r="U5" s="3682"/>
      <c r="V5" s="3666"/>
      <c r="W5" s="3666"/>
      <c r="X5" s="1354"/>
      <c r="Y5" s="3681"/>
      <c r="Z5" s="3682"/>
      <c r="AA5" s="3668"/>
      <c r="AB5" s="3668"/>
      <c r="AC5" s="3668"/>
    </row>
    <row r="6" spans="1:29" ht="15" thickBot="1">
      <c r="A6" s="360"/>
      <c r="B6" s="361"/>
      <c r="C6" s="3685" t="s">
        <v>1676</v>
      </c>
      <c r="D6" s="3686"/>
      <c r="E6" s="3692" t="s">
        <v>1676</v>
      </c>
      <c r="F6" s="3693"/>
      <c r="G6" s="3685" t="s">
        <v>1676</v>
      </c>
      <c r="H6" s="3686"/>
      <c r="I6" s="3685" t="s">
        <v>1676</v>
      </c>
      <c r="J6" s="3686"/>
      <c r="K6" s="559" t="s">
        <v>1677</v>
      </c>
      <c r="L6" s="913"/>
      <c r="M6" s="914"/>
      <c r="N6" s="914"/>
      <c r="O6" s="914"/>
      <c r="P6" s="3677"/>
      <c r="Q6" s="3678"/>
      <c r="R6" s="3681"/>
      <c r="S6" s="3682"/>
      <c r="T6" s="3683"/>
      <c r="U6" s="3684"/>
      <c r="V6" s="3666"/>
      <c r="W6" s="3666"/>
      <c r="X6" s="1354"/>
      <c r="Y6" s="3683"/>
      <c r="Z6" s="3684"/>
      <c r="AA6" s="3669"/>
      <c r="AB6" s="3669"/>
      <c r="AC6" s="3669"/>
    </row>
    <row r="7" spans="1:29" s="108" customFormat="1" ht="15" thickBot="1">
      <c r="A7" s="362" t="s">
        <v>1678</v>
      </c>
      <c r="B7" s="363"/>
      <c r="C7" s="364">
        <f>'数据-取费表'!B2</f>
        <v>44917</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1679</v>
      </c>
      <c r="Q7" s="3691"/>
      <c r="R7" s="701" t="s">
        <v>14</v>
      </c>
      <c r="S7" s="702">
        <f t="shared" ref="S7:S15" si="0">F7</f>
        <v>0</v>
      </c>
      <c r="T7" s="701" t="s">
        <v>14</v>
      </c>
      <c r="U7" s="702">
        <f t="shared" ref="U7:U15" si="1">H7</f>
        <v>0</v>
      </c>
      <c r="V7" s="701" t="s">
        <v>14</v>
      </c>
      <c r="W7" s="702">
        <f t="shared" ref="W7:W15" si="2">J7</f>
        <v>0</v>
      </c>
      <c r="X7" s="703"/>
      <c r="Y7" s="3689" t="s">
        <v>1679</v>
      </c>
      <c r="Z7" s="3690"/>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1682</v>
      </c>
      <c r="Q8" s="3690"/>
      <c r="R8" s="701" t="s">
        <v>14</v>
      </c>
      <c r="S8" s="702">
        <f t="shared" si="0"/>
        <v>100</v>
      </c>
      <c r="T8" s="701" t="s">
        <v>14</v>
      </c>
      <c r="U8" s="702">
        <f t="shared" si="1"/>
        <v>100</v>
      </c>
      <c r="V8" s="701" t="s">
        <v>14</v>
      </c>
      <c r="W8" s="702">
        <f t="shared" si="2"/>
        <v>100</v>
      </c>
      <c r="X8" s="703"/>
      <c r="Y8" s="3689" t="s">
        <v>1682</v>
      </c>
      <c r="Z8" s="3690"/>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1685</v>
      </c>
      <c r="Q9" s="1342"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8.8">
      <c r="A10" s="374"/>
      <c r="B10" s="375" t="s">
        <v>1687</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61"/>
      <c r="Q10" s="1342"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2"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1"/>
      <c r="Q12" s="1342">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1"/>
      <c r="Q13" s="1342">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1"/>
      <c r="Q14" s="1342">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69">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2" t="s">
        <v>1690</v>
      </c>
      <c r="Q15" s="1351" t="str">
        <f t="shared" si="6"/>
        <v>产业集聚程度</v>
      </c>
      <c r="R15" s="705" t="s">
        <v>14</v>
      </c>
      <c r="S15" s="706">
        <f t="shared" si="0"/>
        <v>100</v>
      </c>
      <c r="T15" s="705" t="s">
        <v>14</v>
      </c>
      <c r="U15" s="706">
        <f t="shared" si="1"/>
        <v>100</v>
      </c>
      <c r="V15" s="705" t="s">
        <v>14</v>
      </c>
      <c r="W15" s="706">
        <f t="shared" si="2"/>
        <v>100</v>
      </c>
      <c r="X15" s="1354"/>
      <c r="Y15" s="3662"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3"/>
      <c r="Q16" s="1351"/>
      <c r="R16" s="705"/>
      <c r="S16" s="706"/>
      <c r="T16" s="705"/>
      <c r="U16" s="706"/>
      <c r="V16" s="705"/>
      <c r="W16" s="706"/>
      <c r="X16" s="1354"/>
      <c r="Y16" s="3663"/>
      <c r="Z16" s="1355"/>
      <c r="AA16" s="1352">
        <v>1</v>
      </c>
      <c r="AB16" s="1352">
        <v>1</v>
      </c>
      <c r="AC16" s="1352">
        <v>1</v>
      </c>
    </row>
    <row r="17" spans="1:29" ht="96.6">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3"/>
      <c r="Q17" s="1351" t="str">
        <f>B17</f>
        <v>交通便捷度</v>
      </c>
      <c r="R17" s="705" t="s">
        <v>14</v>
      </c>
      <c r="S17" s="706">
        <f>F17</f>
        <v>100</v>
      </c>
      <c r="T17" s="705" t="s">
        <v>14</v>
      </c>
      <c r="U17" s="706">
        <f>H17</f>
        <v>100</v>
      </c>
      <c r="V17" s="705" t="s">
        <v>14</v>
      </c>
      <c r="W17" s="706">
        <f>J17</f>
        <v>100</v>
      </c>
      <c r="X17" s="1354"/>
      <c r="Y17" s="366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3"/>
      <c r="Q18" s="1351"/>
      <c r="R18" s="705"/>
      <c r="S18" s="706"/>
      <c r="T18" s="705"/>
      <c r="U18" s="706"/>
      <c r="V18" s="705"/>
      <c r="W18" s="706"/>
      <c r="X18" s="1354"/>
      <c r="Y18" s="3663"/>
      <c r="Z18" s="1355"/>
      <c r="AA18" s="1352">
        <v>1</v>
      </c>
      <c r="AB18" s="1352">
        <v>1</v>
      </c>
      <c r="AC18" s="1352">
        <v>1</v>
      </c>
    </row>
    <row r="19" spans="1:29" ht="41.4">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3"/>
      <c r="Q19" s="1351" t="str">
        <f>B19</f>
        <v>公共配套设施</v>
      </c>
      <c r="R19" s="705" t="s">
        <v>14</v>
      </c>
      <c r="S19" s="706">
        <f>F19</f>
        <v>100</v>
      </c>
      <c r="T19" s="705" t="s">
        <v>14</v>
      </c>
      <c r="U19" s="706">
        <f>H19</f>
        <v>100</v>
      </c>
      <c r="V19" s="705" t="s">
        <v>14</v>
      </c>
      <c r="W19" s="706">
        <f>J19</f>
        <v>100</v>
      </c>
      <c r="X19" s="1354"/>
      <c r="Y19" s="366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3"/>
      <c r="Q20" s="1351"/>
      <c r="R20" s="705"/>
      <c r="S20" s="706"/>
      <c r="T20" s="705"/>
      <c r="U20" s="706"/>
      <c r="V20" s="705"/>
      <c r="W20" s="706"/>
      <c r="X20" s="1354"/>
      <c r="Y20" s="3663"/>
      <c r="Z20" s="1355"/>
      <c r="AA20" s="1352">
        <v>1</v>
      </c>
      <c r="AB20" s="1352">
        <v>1</v>
      </c>
      <c r="AC20" s="1352">
        <v>1</v>
      </c>
    </row>
    <row r="21" spans="1:29" ht="41.4">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3"/>
      <c r="Q21" s="1351" t="str">
        <f>B21</f>
        <v>基础设施水平</v>
      </c>
      <c r="R21" s="705" t="s">
        <v>14</v>
      </c>
      <c r="S21" s="706">
        <f>F21</f>
        <v>100</v>
      </c>
      <c r="T21" s="705" t="s">
        <v>14</v>
      </c>
      <c r="U21" s="706">
        <f>H21</f>
        <v>100</v>
      </c>
      <c r="V21" s="705" t="s">
        <v>14</v>
      </c>
      <c r="W21" s="706">
        <f>J21</f>
        <v>100</v>
      </c>
      <c r="X21" s="1354"/>
      <c r="Y21" s="366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3"/>
      <c r="Q22" s="1351"/>
      <c r="R22" s="705"/>
      <c r="S22" s="706"/>
      <c r="T22" s="705"/>
      <c r="U22" s="706"/>
      <c r="V22" s="705"/>
      <c r="W22" s="706"/>
      <c r="X22" s="1354"/>
      <c r="Y22" s="3663"/>
      <c r="Z22" s="1355"/>
      <c r="AA22" s="1352">
        <v>1</v>
      </c>
      <c r="AB22" s="1352">
        <v>1</v>
      </c>
      <c r="AC22" s="1352">
        <v>1</v>
      </c>
    </row>
    <row r="23" spans="1:29" ht="82.8">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3"/>
      <c r="Q23" s="1351" t="str">
        <f>B23</f>
        <v>环境质量</v>
      </c>
      <c r="R23" s="705" t="s">
        <v>14</v>
      </c>
      <c r="S23" s="706">
        <f>F23</f>
        <v>100</v>
      </c>
      <c r="T23" s="705" t="s">
        <v>14</v>
      </c>
      <c r="U23" s="706">
        <f>H23</f>
        <v>100</v>
      </c>
      <c r="V23" s="705" t="s">
        <v>14</v>
      </c>
      <c r="W23" s="706">
        <f>J23</f>
        <v>100</v>
      </c>
      <c r="X23" s="1354"/>
      <c r="Y23" s="3663"/>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3"/>
      <c r="Q24" s="1351"/>
      <c r="R24" s="705"/>
      <c r="S24" s="706"/>
      <c r="T24" s="705"/>
      <c r="U24" s="706"/>
      <c r="V24" s="705"/>
      <c r="W24" s="706"/>
      <c r="X24" s="1354"/>
      <c r="Y24" s="366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3"/>
      <c r="Q25" s="1351">
        <f>B25</f>
        <v>111</v>
      </c>
      <c r="R25" s="705" t="s">
        <v>14</v>
      </c>
      <c r="S25" s="706">
        <f>F25</f>
        <v>100</v>
      </c>
      <c r="T25" s="705" t="s">
        <v>14</v>
      </c>
      <c r="U25" s="706">
        <f>H25</f>
        <v>100</v>
      </c>
      <c r="V25" s="705" t="s">
        <v>14</v>
      </c>
      <c r="W25" s="706">
        <f>J25</f>
        <v>100</v>
      </c>
      <c r="X25" s="1354"/>
      <c r="Y25" s="366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3"/>
      <c r="Q26" s="1351">
        <f t="shared" ref="Q26:Q40" si="11">B26</f>
        <v>111</v>
      </c>
      <c r="R26" s="705" t="s">
        <v>14</v>
      </c>
      <c r="S26" s="706">
        <f>F26</f>
        <v>100</v>
      </c>
      <c r="T26" s="705" t="s">
        <v>14</v>
      </c>
      <c r="U26" s="706">
        <f>H26</f>
        <v>100</v>
      </c>
      <c r="V26" s="705" t="s">
        <v>14</v>
      </c>
      <c r="W26" s="706">
        <f>J26</f>
        <v>100</v>
      </c>
      <c r="X26" s="1354"/>
      <c r="Y26" s="366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3"/>
      <c r="Q27" s="1342">
        <f t="shared" si="11"/>
        <v>111</v>
      </c>
      <c r="R27" s="701" t="s">
        <v>14</v>
      </c>
      <c r="S27" s="702">
        <f>F27</f>
        <v>100</v>
      </c>
      <c r="T27" s="701" t="s">
        <v>14</v>
      </c>
      <c r="U27" s="702">
        <f>H27</f>
        <v>100</v>
      </c>
      <c r="V27" s="701" t="s">
        <v>14</v>
      </c>
      <c r="W27" s="702">
        <f>J27</f>
        <v>100</v>
      </c>
      <c r="X27" s="703"/>
      <c r="Y27" s="3663"/>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3"/>
      <c r="Q28" s="1351">
        <f t="shared" si="11"/>
        <v>111</v>
      </c>
      <c r="R28" s="705" t="s">
        <v>14</v>
      </c>
      <c r="S28" s="706">
        <f t="shared" ref="S28:S40" si="12">F28</f>
        <v>100</v>
      </c>
      <c r="T28" s="705" t="s">
        <v>14</v>
      </c>
      <c r="U28" s="706">
        <f t="shared" ref="U28:U40" si="13">H28</f>
        <v>100</v>
      </c>
      <c r="V28" s="705" t="s">
        <v>14</v>
      </c>
      <c r="W28" s="706">
        <f t="shared" ref="W28:W40" si="14">J28</f>
        <v>100</v>
      </c>
      <c r="X28" s="1354"/>
      <c r="Y28" s="3663"/>
      <c r="Z28" s="1355">
        <f t="shared" ref="Z28:Z40" si="15">Q28</f>
        <v>111</v>
      </c>
      <c r="AA28" s="1352">
        <f t="shared" si="3"/>
        <v>1</v>
      </c>
      <c r="AB28" s="1352">
        <f t="shared" si="4"/>
        <v>1</v>
      </c>
      <c r="AC28" s="1352">
        <f t="shared" si="5"/>
        <v>1</v>
      </c>
    </row>
    <row r="29" spans="1:29" ht="30">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64" t="s">
        <v>1695</v>
      </c>
      <c r="Q29" s="1351" t="str">
        <f t="shared" si="11"/>
        <v>建筑类型</v>
      </c>
      <c r="R29" s="705" t="s">
        <v>14</v>
      </c>
      <c r="S29" s="706">
        <f t="shared" si="12"/>
        <v>100</v>
      </c>
      <c r="T29" s="705" t="s">
        <v>14</v>
      </c>
      <c r="U29" s="706">
        <f t="shared" si="13"/>
        <v>100</v>
      </c>
      <c r="V29" s="705" t="s">
        <v>14</v>
      </c>
      <c r="W29" s="706">
        <f t="shared" si="14"/>
        <v>100</v>
      </c>
      <c r="X29" s="1354"/>
      <c r="Y29" s="3665"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5"/>
      <c r="Q30" s="707" t="str">
        <f t="shared" si="11"/>
        <v>项目建筑规模</v>
      </c>
      <c r="R30" s="708" t="s">
        <v>14</v>
      </c>
      <c r="S30" s="709" t="e">
        <f t="shared" si="12"/>
        <v>#N/A</v>
      </c>
      <c r="T30" s="708" t="s">
        <v>14</v>
      </c>
      <c r="U30" s="709" t="e">
        <f t="shared" si="13"/>
        <v>#N/A</v>
      </c>
      <c r="V30" s="708" t="s">
        <v>14</v>
      </c>
      <c r="W30" s="709" t="e">
        <f t="shared" si="14"/>
        <v>#N/A</v>
      </c>
      <c r="X30" s="710"/>
      <c r="Y30" s="3665"/>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5"/>
      <c r="Q31" s="1351" t="str">
        <f t="shared" si="11"/>
        <v>建筑结构</v>
      </c>
      <c r="R31" s="705" t="s">
        <v>14</v>
      </c>
      <c r="S31" s="706">
        <f t="shared" si="12"/>
        <v>100</v>
      </c>
      <c r="T31" s="705" t="s">
        <v>14</v>
      </c>
      <c r="U31" s="706">
        <f t="shared" si="13"/>
        <v>100</v>
      </c>
      <c r="V31" s="705" t="s">
        <v>14</v>
      </c>
      <c r="W31" s="706">
        <f t="shared" si="14"/>
        <v>100</v>
      </c>
      <c r="X31" s="1354"/>
      <c r="Y31" s="3665"/>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5"/>
      <c r="Q32" s="1351" t="str">
        <f t="shared" si="11"/>
        <v>公共部分装修</v>
      </c>
      <c r="R32" s="705" t="s">
        <v>14</v>
      </c>
      <c r="S32" s="706">
        <f t="shared" si="12"/>
        <v>100</v>
      </c>
      <c r="T32" s="705" t="s">
        <v>14</v>
      </c>
      <c r="U32" s="706">
        <f t="shared" si="13"/>
        <v>100</v>
      </c>
      <c r="V32" s="705" t="s">
        <v>14</v>
      </c>
      <c r="W32" s="706">
        <f t="shared" si="14"/>
        <v>100</v>
      </c>
      <c r="X32" s="1354"/>
      <c r="Y32" s="3665"/>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5"/>
      <c r="Q33" s="1351" t="str">
        <f t="shared" si="11"/>
        <v>成新度</v>
      </c>
      <c r="R33" s="705" t="s">
        <v>14</v>
      </c>
      <c r="S33" s="706" t="e">
        <f t="shared" si="12"/>
        <v>#N/A</v>
      </c>
      <c r="T33" s="705" t="s">
        <v>14</v>
      </c>
      <c r="U33" s="706" t="e">
        <f t="shared" si="13"/>
        <v>#N/A</v>
      </c>
      <c r="V33" s="705" t="s">
        <v>14</v>
      </c>
      <c r="W33" s="706" t="e">
        <f t="shared" si="14"/>
        <v>#N/A</v>
      </c>
      <c r="X33" s="1354"/>
      <c r="Y33" s="3665"/>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5"/>
      <c r="Q34" s="1342" t="str">
        <f t="shared" si="11"/>
        <v>物业管理</v>
      </c>
      <c r="R34" s="701" t="s">
        <v>14</v>
      </c>
      <c r="S34" s="702">
        <f t="shared" si="12"/>
        <v>100</v>
      </c>
      <c r="T34" s="701" t="s">
        <v>14</v>
      </c>
      <c r="U34" s="702">
        <f t="shared" si="13"/>
        <v>100</v>
      </c>
      <c r="V34" s="701" t="s">
        <v>14</v>
      </c>
      <c r="W34" s="702">
        <f t="shared" si="14"/>
        <v>100</v>
      </c>
      <c r="X34" s="703"/>
      <c r="Y34" s="366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5" t="s">
        <v>1695</v>
      </c>
      <c r="Q35" s="1351" t="str">
        <f t="shared" si="11"/>
        <v>市政基础设施</v>
      </c>
      <c r="R35" s="705" t="s">
        <v>14</v>
      </c>
      <c r="S35" s="706">
        <f t="shared" si="12"/>
        <v>100</v>
      </c>
      <c r="T35" s="705" t="s">
        <v>14</v>
      </c>
      <c r="U35" s="706">
        <f t="shared" si="13"/>
        <v>100</v>
      </c>
      <c r="V35" s="705" t="s">
        <v>14</v>
      </c>
      <c r="W35" s="706">
        <f t="shared" si="14"/>
        <v>100</v>
      </c>
      <c r="X35" s="1354"/>
      <c r="Y35" s="3665"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5"/>
      <c r="Q36" s="1351" t="str">
        <f t="shared" si="11"/>
        <v>内部装修</v>
      </c>
      <c r="R36" s="705" t="s">
        <v>14</v>
      </c>
      <c r="S36" s="706">
        <f t="shared" si="12"/>
        <v>100</v>
      </c>
      <c r="T36" s="705" t="s">
        <v>14</v>
      </c>
      <c r="U36" s="706">
        <f t="shared" si="13"/>
        <v>100</v>
      </c>
      <c r="V36" s="705" t="s">
        <v>14</v>
      </c>
      <c r="W36" s="706">
        <f t="shared" si="14"/>
        <v>100</v>
      </c>
      <c r="X36" s="1354"/>
      <c r="Y36" s="3665"/>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5"/>
      <c r="Q37" s="1351" t="str">
        <f t="shared" si="11"/>
        <v>内部装修状况</v>
      </c>
      <c r="R37" s="705" t="s">
        <v>14</v>
      </c>
      <c r="S37" s="706">
        <f t="shared" si="12"/>
        <v>100</v>
      </c>
      <c r="T37" s="705" t="s">
        <v>14</v>
      </c>
      <c r="U37" s="706">
        <f t="shared" si="13"/>
        <v>100</v>
      </c>
      <c r="V37" s="705" t="s">
        <v>14</v>
      </c>
      <c r="W37" s="706">
        <f t="shared" si="14"/>
        <v>100</v>
      </c>
      <c r="X37" s="1354"/>
      <c r="Y37" s="366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5"/>
      <c r="Q38" s="707">
        <f t="shared" si="11"/>
        <v>111</v>
      </c>
      <c r="R38" s="708" t="s">
        <v>14</v>
      </c>
      <c r="S38" s="709">
        <f t="shared" si="12"/>
        <v>100</v>
      </c>
      <c r="T38" s="708" t="s">
        <v>14</v>
      </c>
      <c r="U38" s="709">
        <f t="shared" si="13"/>
        <v>100</v>
      </c>
      <c r="V38" s="708" t="s">
        <v>14</v>
      </c>
      <c r="W38" s="709">
        <f t="shared" si="14"/>
        <v>100</v>
      </c>
      <c r="X38" s="710"/>
      <c r="Y38" s="366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5"/>
      <c r="Q39" s="1351">
        <f t="shared" si="11"/>
        <v>111</v>
      </c>
      <c r="R39" s="705" t="s">
        <v>14</v>
      </c>
      <c r="S39" s="706">
        <f t="shared" si="12"/>
        <v>100</v>
      </c>
      <c r="T39" s="705" t="s">
        <v>14</v>
      </c>
      <c r="U39" s="706">
        <f t="shared" si="13"/>
        <v>100</v>
      </c>
      <c r="V39" s="705" t="s">
        <v>14</v>
      </c>
      <c r="W39" s="706">
        <f t="shared" si="14"/>
        <v>100</v>
      </c>
      <c r="X39" s="1354"/>
      <c r="Y39" s="3665"/>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1">
        <f t="shared" si="11"/>
        <v>111</v>
      </c>
      <c r="R40" s="705" t="s">
        <v>14</v>
      </c>
      <c r="S40" s="706">
        <f t="shared" si="12"/>
        <v>100</v>
      </c>
      <c r="T40" s="705" t="s">
        <v>14</v>
      </c>
      <c r="U40" s="706">
        <f t="shared" si="13"/>
        <v>100</v>
      </c>
      <c r="V40" s="705" t="s">
        <v>14</v>
      </c>
      <c r="W40" s="706">
        <f t="shared" si="14"/>
        <v>100</v>
      </c>
      <c r="X40" s="1354"/>
      <c r="Y40" s="3733"/>
      <c r="Z40" s="1355">
        <f t="shared" si="15"/>
        <v>111</v>
      </c>
      <c r="AA40" s="1352">
        <f t="shared" si="3"/>
        <v>1</v>
      </c>
      <c r="AB40" s="1352">
        <f t="shared" si="4"/>
        <v>1</v>
      </c>
      <c r="AC40" s="1352">
        <f t="shared" si="5"/>
        <v>1</v>
      </c>
    </row>
    <row r="41" spans="1:29" ht="14.4">
      <c r="A41" s="430" t="s">
        <v>1707</v>
      </c>
      <c r="B41" s="431"/>
      <c r="C41" s="1154" t="s">
        <v>0</v>
      </c>
      <c r="D41" s="1155"/>
      <c r="E41" s="1156"/>
      <c r="F41" s="1157"/>
      <c r="G41" s="1158"/>
      <c r="H41" s="1159"/>
      <c r="I41" s="1156"/>
      <c r="J41" s="1159"/>
      <c r="K41" s="714"/>
      <c r="L41" s="926"/>
      <c r="M41" s="927"/>
      <c r="N41" s="914"/>
      <c r="O41" s="927"/>
      <c r="P41" s="3661" t="str">
        <f>A41</f>
        <v>成交单价（元/平方米）</v>
      </c>
      <c r="Q41" s="3661"/>
      <c r="R41" s="3729">
        <f>E41</f>
        <v>0</v>
      </c>
      <c r="S41" s="3729"/>
      <c r="T41" s="3729">
        <f>G41</f>
        <v>0</v>
      </c>
      <c r="U41" s="3729"/>
      <c r="V41" s="3729">
        <f>I41</f>
        <v>0</v>
      </c>
      <c r="W41" s="3729"/>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61" t="str">
        <f>A42</f>
        <v>比较价值（元/平方米）</v>
      </c>
      <c r="Q42" s="3661"/>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655" t="str">
        <f>A43</f>
        <v>估价对象XX用房的比较价值（楼面单价，元/平方米）</v>
      </c>
      <c r="Q43" s="3656"/>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3" t="str">
        <f>YEAR(C7)&amp;"-"&amp;MONTH(C7)</f>
        <v>2022-12</v>
      </c>
      <c r="D52" s="1184">
        <f>EDATE(C52,-1)</f>
        <v>44866</v>
      </c>
      <c r="E52" s="1184">
        <f t="shared" ref="E52:O52" si="16">EDATE(D52,-1)</f>
        <v>44835</v>
      </c>
      <c r="F52" s="1184">
        <f t="shared" si="16"/>
        <v>44805</v>
      </c>
      <c r="G52" s="1184">
        <f t="shared" si="16"/>
        <v>44774</v>
      </c>
      <c r="H52" s="1184">
        <f t="shared" si="16"/>
        <v>44743</v>
      </c>
      <c r="I52" s="1184">
        <f t="shared" si="16"/>
        <v>44713</v>
      </c>
      <c r="J52" s="1184">
        <f t="shared" si="16"/>
        <v>44682</v>
      </c>
      <c r="K52" s="1184">
        <f t="shared" si="16"/>
        <v>44652</v>
      </c>
      <c r="L52" s="1184">
        <f t="shared" si="16"/>
        <v>44621</v>
      </c>
      <c r="M52" s="1184">
        <f t="shared" si="16"/>
        <v>44593</v>
      </c>
      <c r="N52" s="1184">
        <f t="shared" si="16"/>
        <v>44562</v>
      </c>
      <c r="O52" s="1184">
        <f t="shared" si="16"/>
        <v>44531</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8"/>
      <c r="O54" s="2769"/>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5" sqref="P9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3340</v>
      </c>
      <c r="C1" s="1223" t="s">
        <v>1661</v>
      </c>
      <c r="D1" s="1224"/>
      <c r="E1" s="3434"/>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1768</v>
      </c>
      <c r="B4" s="356"/>
      <c r="C4" s="3658" t="s">
        <v>1769</v>
      </c>
      <c r="D4" s="3670"/>
      <c r="E4" s="3671" t="s">
        <v>1770</v>
      </c>
      <c r="F4" s="3672"/>
      <c r="G4" s="3658" t="s">
        <v>1771</v>
      </c>
      <c r="H4" s="3670"/>
      <c r="I4" s="3658" t="s">
        <v>1772</v>
      </c>
      <c r="J4" s="3670"/>
      <c r="K4" s="559" t="s">
        <v>1773</v>
      </c>
      <c r="L4" s="2713"/>
      <c r="M4" s="2714"/>
      <c r="N4" s="2714"/>
      <c r="O4" s="2714"/>
      <c r="P4" s="3673" t="s">
        <v>1774</v>
      </c>
      <c r="Q4" s="3674"/>
      <c r="R4" s="3679" t="s">
        <v>1770</v>
      </c>
      <c r="S4" s="3680"/>
      <c r="T4" s="3679" t="s">
        <v>1771</v>
      </c>
      <c r="U4" s="3680"/>
      <c r="V4" s="3666" t="s">
        <v>1772</v>
      </c>
      <c r="W4" s="3666"/>
      <c r="X4" s="1354"/>
      <c r="Y4" s="3679" t="s">
        <v>1774</v>
      </c>
      <c r="Z4" s="3680"/>
      <c r="AA4" s="3667" t="s">
        <v>1770</v>
      </c>
      <c r="AB4" s="3668" t="s">
        <v>1771</v>
      </c>
      <c r="AC4" s="3667" t="s">
        <v>1772</v>
      </c>
    </row>
    <row r="5" spans="1:29">
      <c r="A5" s="358"/>
      <c r="B5" s="359"/>
      <c r="C5" s="3687" t="s">
        <v>1672</v>
      </c>
      <c r="D5" s="3688"/>
      <c r="E5" s="3694" t="s">
        <v>1673</v>
      </c>
      <c r="F5" s="3695"/>
      <c r="G5" s="3687" t="s">
        <v>1674</v>
      </c>
      <c r="H5" s="3688"/>
      <c r="I5" s="3687" t="s">
        <v>1675</v>
      </c>
      <c r="J5" s="3688"/>
      <c r="K5" s="559"/>
      <c r="L5" s="2713"/>
      <c r="M5" s="2714"/>
      <c r="N5" s="2714"/>
      <c r="O5" s="2714"/>
      <c r="P5" s="3675"/>
      <c r="Q5" s="3676"/>
      <c r="R5" s="3681"/>
      <c r="S5" s="3682"/>
      <c r="T5" s="3681"/>
      <c r="U5" s="3682"/>
      <c r="V5" s="3666"/>
      <c r="W5" s="3666"/>
      <c r="X5" s="1354"/>
      <c r="Y5" s="3681"/>
      <c r="Z5" s="3682"/>
      <c r="AA5" s="3668"/>
      <c r="AB5" s="3668"/>
      <c r="AC5" s="3668"/>
    </row>
    <row r="6" spans="1:29" ht="15" thickBot="1">
      <c r="A6" s="360"/>
      <c r="B6" s="361"/>
      <c r="C6" s="3685" t="s">
        <v>1676</v>
      </c>
      <c r="D6" s="3686"/>
      <c r="E6" s="3692" t="s">
        <v>1676</v>
      </c>
      <c r="F6" s="3693"/>
      <c r="G6" s="3685" t="s">
        <v>1676</v>
      </c>
      <c r="H6" s="3686"/>
      <c r="I6" s="3685" t="s">
        <v>1676</v>
      </c>
      <c r="J6" s="3686"/>
      <c r="K6" s="559" t="s">
        <v>1677</v>
      </c>
      <c r="L6" s="2713"/>
      <c r="M6" s="2714"/>
      <c r="N6" s="2714"/>
      <c r="O6" s="2714"/>
      <c r="P6" s="3677"/>
      <c r="Q6" s="3678"/>
      <c r="R6" s="3681"/>
      <c r="S6" s="3682"/>
      <c r="T6" s="3683"/>
      <c r="U6" s="3684"/>
      <c r="V6" s="3666"/>
      <c r="W6" s="3666"/>
      <c r="X6" s="1354"/>
      <c r="Y6" s="3683"/>
      <c r="Z6" s="3684"/>
      <c r="AA6" s="3669"/>
      <c r="AB6" s="3669"/>
      <c r="AC6" s="3669"/>
    </row>
    <row r="7" spans="1:29" s="108" customFormat="1" ht="15" thickBot="1">
      <c r="A7" s="362" t="s">
        <v>1678</v>
      </c>
      <c r="B7" s="363"/>
      <c r="C7" s="364">
        <f>'数据-取费表'!B2</f>
        <v>44917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9" t="s">
        <v>1679</v>
      </c>
      <c r="Q7" s="3691"/>
      <c r="R7" s="701" t="s">
        <v>14</v>
      </c>
      <c r="S7" s="702">
        <f t="shared" ref="S7:S14" si="0">F7</f>
        <v>0</v>
      </c>
      <c r="T7" s="701" t="s">
        <v>14</v>
      </c>
      <c r="U7" s="702">
        <f t="shared" ref="U7:U14" si="1">H7</f>
        <v>0</v>
      </c>
      <c r="V7" s="701" t="s">
        <v>14</v>
      </c>
      <c r="W7" s="702">
        <f t="shared" ref="W7:W14" si="2">J7</f>
        <v>0</v>
      </c>
      <c r="X7" s="703"/>
      <c r="Y7" s="3689" t="s">
        <v>1679</v>
      </c>
      <c r="Z7" s="3690"/>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9" t="s">
        <v>1682</v>
      </c>
      <c r="Q8" s="3690"/>
      <c r="R8" s="701" t="s">
        <v>14</v>
      </c>
      <c r="S8" s="702">
        <f t="shared" si="0"/>
        <v>100</v>
      </c>
      <c r="T8" s="701" t="s">
        <v>14</v>
      </c>
      <c r="U8" s="702">
        <f t="shared" si="1"/>
        <v>100</v>
      </c>
      <c r="V8" s="701" t="s">
        <v>14</v>
      </c>
      <c r="W8" s="702">
        <f t="shared" si="2"/>
        <v>100</v>
      </c>
      <c r="X8" s="703"/>
      <c r="Y8" s="3689" t="s">
        <v>1682</v>
      </c>
      <c r="Z8" s="3690"/>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1" t="s">
        <v>1685</v>
      </c>
      <c r="Q9" s="1342" t="str">
        <f t="shared" ref="Q9:Q14" si="6">B9</f>
        <v>用途</v>
      </c>
      <c r="R9" s="701" t="s">
        <v>14</v>
      </c>
      <c r="S9" s="702">
        <f t="shared" si="0"/>
        <v>100</v>
      </c>
      <c r="T9" s="701" t="s">
        <v>14</v>
      </c>
      <c r="U9" s="702">
        <f t="shared" si="1"/>
        <v>100</v>
      </c>
      <c r="V9" s="701" t="s">
        <v>14</v>
      </c>
      <c r="W9" s="702">
        <f t="shared" si="2"/>
        <v>100</v>
      </c>
      <c r="X9" s="703"/>
      <c r="Y9" s="3558" t="s">
        <v>1686</v>
      </c>
      <c r="Z9" s="52" t="str">
        <f t="shared" ref="Z9:Z14" si="7">Q9</f>
        <v>用途</v>
      </c>
      <c r="AA9" s="704">
        <f t="shared" si="3"/>
        <v>1</v>
      </c>
      <c r="AB9" s="704">
        <f t="shared" si="4"/>
        <v>1</v>
      </c>
      <c r="AC9" s="704">
        <f t="shared" si="5"/>
        <v>1</v>
      </c>
    </row>
    <row r="10" spans="1:29" s="378" customFormat="1" ht="28.8">
      <c r="A10" s="589"/>
      <c r="B10" s="590" t="s">
        <v>1687</v>
      </c>
      <c r="C10" s="3435"/>
      <c r="D10" s="127">
        <v>100</v>
      </c>
      <c r="E10" s="3435"/>
      <c r="F10" s="127">
        <f>SUMIF(55:55,E10,56:56)-SUMIF(55:55,C10,56:56)+100</f>
        <v>100</v>
      </c>
      <c r="G10" s="3436"/>
      <c r="H10" s="127">
        <f>SUMIF(55:55,G10,56:56)-SUMIF(55:55,C10,56:56)+100</f>
        <v>100</v>
      </c>
      <c r="I10" s="3435"/>
      <c r="J10" s="127">
        <f>SUMIF(55:55,I10,56:56)-SUMIF(55:55,C10,56:56)+100</f>
        <v>100</v>
      </c>
      <c r="K10" s="560"/>
      <c r="L10" s="2717"/>
      <c r="M10" s="2718"/>
      <c r="N10" s="2718"/>
      <c r="O10" s="2718"/>
      <c r="P10" s="3661"/>
      <c r="Q10" s="1342"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1"/>
      <c r="Q11" s="1342">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1"/>
      <c r="Q12" s="1342">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1"/>
      <c r="Q13" s="1342">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96.6">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2" t="s">
        <v>1690</v>
      </c>
      <c r="Q14" s="1351" t="str">
        <f t="shared" si="6"/>
        <v>交通便捷度</v>
      </c>
      <c r="R14" s="705" t="s">
        <v>14</v>
      </c>
      <c r="S14" s="706">
        <f t="shared" si="0"/>
        <v>100</v>
      </c>
      <c r="T14" s="705" t="s">
        <v>14</v>
      </c>
      <c r="U14" s="706">
        <f t="shared" si="1"/>
        <v>100</v>
      </c>
      <c r="V14" s="705" t="s">
        <v>14</v>
      </c>
      <c r="W14" s="706">
        <f t="shared" si="2"/>
        <v>100</v>
      </c>
      <c r="X14" s="1354"/>
      <c r="Y14" s="3662"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63"/>
      <c r="Q15" s="1351"/>
      <c r="R15" s="705"/>
      <c r="S15" s="706"/>
      <c r="T15" s="705"/>
      <c r="U15" s="706"/>
      <c r="V15" s="705"/>
      <c r="W15" s="706"/>
      <c r="X15" s="1354"/>
      <c r="Y15" s="3663"/>
      <c r="Z15" s="1355"/>
      <c r="AA15" s="1352">
        <v>1</v>
      </c>
      <c r="AB15" s="1352">
        <v>1</v>
      </c>
      <c r="AC15" s="1352">
        <v>1</v>
      </c>
    </row>
    <row r="16" spans="1:29" ht="41.4">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3"/>
      <c r="Q16" s="1351" t="str">
        <f>B16</f>
        <v>公共配套设施</v>
      </c>
      <c r="R16" s="705" t="s">
        <v>14</v>
      </c>
      <c r="S16" s="706">
        <f>F16</f>
        <v>100</v>
      </c>
      <c r="T16" s="705" t="s">
        <v>14</v>
      </c>
      <c r="U16" s="706">
        <f>H16</f>
        <v>100</v>
      </c>
      <c r="V16" s="705" t="s">
        <v>14</v>
      </c>
      <c r="W16" s="706">
        <f>J16</f>
        <v>100</v>
      </c>
      <c r="X16" s="1354"/>
      <c r="Y16" s="366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663"/>
      <c r="Q17" s="1351"/>
      <c r="R17" s="705"/>
      <c r="S17" s="706"/>
      <c r="T17" s="705"/>
      <c r="U17" s="706"/>
      <c r="V17" s="705"/>
      <c r="W17" s="706"/>
      <c r="X17" s="1354"/>
      <c r="Y17" s="3663"/>
      <c r="Z17" s="1355"/>
      <c r="AA17" s="1352">
        <v>1</v>
      </c>
      <c r="AB17" s="1352">
        <v>1</v>
      </c>
      <c r="AC17" s="1352">
        <v>1</v>
      </c>
    </row>
    <row r="18" spans="1:29" ht="41.4">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3"/>
      <c r="Q18" s="1351" t="str">
        <f>B18</f>
        <v>基础设施水平</v>
      </c>
      <c r="R18" s="705" t="s">
        <v>14</v>
      </c>
      <c r="S18" s="706">
        <f>F18</f>
        <v>100</v>
      </c>
      <c r="T18" s="705" t="s">
        <v>14</v>
      </c>
      <c r="U18" s="706">
        <f>H18</f>
        <v>100</v>
      </c>
      <c r="V18" s="705" t="s">
        <v>14</v>
      </c>
      <c r="W18" s="706">
        <f>J18</f>
        <v>100</v>
      </c>
      <c r="X18" s="1354"/>
      <c r="Y18" s="366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663"/>
      <c r="Q19" s="1351"/>
      <c r="R19" s="705"/>
      <c r="S19" s="706"/>
      <c r="T19" s="705"/>
      <c r="U19" s="706"/>
      <c r="V19" s="705"/>
      <c r="W19" s="706"/>
      <c r="X19" s="1354"/>
      <c r="Y19" s="3663"/>
      <c r="Z19" s="1355"/>
      <c r="AA19" s="1352">
        <v>1</v>
      </c>
      <c r="AB19" s="1352">
        <v>1</v>
      </c>
      <c r="AC19" s="1352">
        <v>1</v>
      </c>
    </row>
    <row r="20" spans="1:29" ht="55.2">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3"/>
      <c r="Q20" s="1351" t="str">
        <f>B20</f>
        <v>自然及人文环境</v>
      </c>
      <c r="R20" s="705" t="s">
        <v>14</v>
      </c>
      <c r="S20" s="706">
        <f>F20</f>
        <v>100</v>
      </c>
      <c r="T20" s="705" t="s">
        <v>14</v>
      </c>
      <c r="U20" s="706">
        <f>H20</f>
        <v>100</v>
      </c>
      <c r="V20" s="705" t="s">
        <v>14</v>
      </c>
      <c r="W20" s="706">
        <f>J20</f>
        <v>100</v>
      </c>
      <c r="X20" s="1354"/>
      <c r="Y20" s="366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63"/>
      <c r="Q21" s="1351"/>
      <c r="R21" s="705"/>
      <c r="S21" s="706"/>
      <c r="T21" s="705"/>
      <c r="U21" s="706"/>
      <c r="V21" s="705"/>
      <c r="W21" s="706"/>
      <c r="X21" s="1354"/>
      <c r="Y21" s="3663"/>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3"/>
      <c r="Q22" s="1351" t="str">
        <f>B22</f>
        <v>楼层</v>
      </c>
      <c r="R22" s="705" t="s">
        <v>14</v>
      </c>
      <c r="S22" s="706">
        <f>F22</f>
        <v>100</v>
      </c>
      <c r="T22" s="705" t="s">
        <v>14</v>
      </c>
      <c r="U22" s="706">
        <f>H22</f>
        <v>100</v>
      </c>
      <c r="V22" s="705" t="s">
        <v>14</v>
      </c>
      <c r="W22" s="706">
        <f>J22</f>
        <v>100</v>
      </c>
      <c r="X22" s="1354"/>
      <c r="Y22" s="366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3"/>
      <c r="Q23" s="1351">
        <f>B23</f>
        <v>111</v>
      </c>
      <c r="R23" s="705" t="s">
        <v>14</v>
      </c>
      <c r="S23" s="706">
        <f>F23</f>
        <v>100</v>
      </c>
      <c r="T23" s="705" t="s">
        <v>14</v>
      </c>
      <c r="U23" s="706">
        <f>H23</f>
        <v>100</v>
      </c>
      <c r="V23" s="705" t="s">
        <v>14</v>
      </c>
      <c r="W23" s="706">
        <f>J23</f>
        <v>100</v>
      </c>
      <c r="X23" s="1354"/>
      <c r="Y23" s="366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3"/>
      <c r="Q24" s="1351">
        <f t="shared" ref="Q24:Q36" si="11">B24</f>
        <v>111</v>
      </c>
      <c r="R24" s="705" t="s">
        <v>14</v>
      </c>
      <c r="S24" s="706">
        <f>F24</f>
        <v>100</v>
      </c>
      <c r="T24" s="705" t="s">
        <v>14</v>
      </c>
      <c r="U24" s="706">
        <f>H24</f>
        <v>100</v>
      </c>
      <c r="V24" s="705" t="s">
        <v>14</v>
      </c>
      <c r="W24" s="706">
        <f>J24</f>
        <v>100</v>
      </c>
      <c r="X24" s="1354"/>
      <c r="Y24" s="3663"/>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3"/>
      <c r="Q25" s="1342">
        <f t="shared" si="11"/>
        <v>111</v>
      </c>
      <c r="R25" s="701" t="s">
        <v>14</v>
      </c>
      <c r="S25" s="702">
        <f>F25</f>
        <v>100</v>
      </c>
      <c r="T25" s="701" t="s">
        <v>14</v>
      </c>
      <c r="U25" s="702">
        <f>H25</f>
        <v>100</v>
      </c>
      <c r="V25" s="701" t="s">
        <v>14</v>
      </c>
      <c r="W25" s="702">
        <f>J25</f>
        <v>100</v>
      </c>
      <c r="X25" s="703"/>
      <c r="Y25" s="3663"/>
      <c r="Z25" s="52">
        <f>Q25</f>
        <v>111</v>
      </c>
      <c r="AA25" s="1352">
        <f>D25/F25</f>
        <v>1</v>
      </c>
      <c r="AB25" s="1352">
        <f>D25/H25</f>
        <v>1</v>
      </c>
      <c r="AC25" s="1352">
        <f>D25/J25</f>
        <v>1</v>
      </c>
    </row>
    <row r="26" spans="1:29" ht="30">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664"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5"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5"/>
      <c r="Q27" s="707" t="str">
        <f t="shared" si="11"/>
        <v>项目停车位配比</v>
      </c>
      <c r="R27" s="708" t="s">
        <v>14</v>
      </c>
      <c r="S27" s="709">
        <f t="shared" si="12"/>
        <v>100</v>
      </c>
      <c r="T27" s="708" t="s">
        <v>14</v>
      </c>
      <c r="U27" s="709">
        <f t="shared" si="13"/>
        <v>100</v>
      </c>
      <c r="V27" s="708" t="s">
        <v>14</v>
      </c>
      <c r="W27" s="709">
        <f t="shared" si="14"/>
        <v>100</v>
      </c>
      <c r="X27" s="710"/>
      <c r="Y27" s="3665"/>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5"/>
      <c r="Q28" s="1351" t="str">
        <f t="shared" si="11"/>
        <v>公共部分装修</v>
      </c>
      <c r="R28" s="705" t="s">
        <v>14</v>
      </c>
      <c r="S28" s="706">
        <f t="shared" si="12"/>
        <v>100</v>
      </c>
      <c r="T28" s="705" t="s">
        <v>14</v>
      </c>
      <c r="U28" s="706">
        <f t="shared" si="13"/>
        <v>100</v>
      </c>
      <c r="V28" s="705" t="s">
        <v>14</v>
      </c>
      <c r="W28" s="706">
        <f t="shared" si="14"/>
        <v>100</v>
      </c>
      <c r="X28" s="1354"/>
      <c r="Y28" s="3665"/>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5"/>
      <c r="Q29" s="1351" t="str">
        <f t="shared" si="11"/>
        <v>成新率</v>
      </c>
      <c r="R29" s="705" t="s">
        <v>14</v>
      </c>
      <c r="S29" s="706" t="e">
        <f t="shared" si="12"/>
        <v>#N/A</v>
      </c>
      <c r="T29" s="705" t="s">
        <v>14</v>
      </c>
      <c r="U29" s="706" t="e">
        <f t="shared" si="13"/>
        <v>#N/A</v>
      </c>
      <c r="V29" s="705" t="s">
        <v>14</v>
      </c>
      <c r="W29" s="706" t="e">
        <f t="shared" si="14"/>
        <v>#N/A</v>
      </c>
      <c r="X29" s="1354"/>
      <c r="Y29" s="3665"/>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5"/>
      <c r="Q30" s="1351" t="str">
        <f t="shared" si="11"/>
        <v>物业等级</v>
      </c>
      <c r="R30" s="705" t="s">
        <v>14</v>
      </c>
      <c r="S30" s="706">
        <f t="shared" si="12"/>
        <v>100</v>
      </c>
      <c r="T30" s="705" t="s">
        <v>14</v>
      </c>
      <c r="U30" s="706">
        <f t="shared" si="13"/>
        <v>100</v>
      </c>
      <c r="V30" s="705" t="s">
        <v>14</v>
      </c>
      <c r="W30" s="706">
        <f t="shared" si="14"/>
        <v>100</v>
      </c>
      <c r="X30" s="1354"/>
      <c r="Y30" s="3665"/>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5"/>
      <c r="Q31" s="1342" t="str">
        <f t="shared" si="11"/>
        <v>停车位面积</v>
      </c>
      <c r="R31" s="701" t="s">
        <v>14</v>
      </c>
      <c r="S31" s="702" t="e">
        <f t="shared" si="12"/>
        <v>#N/A</v>
      </c>
      <c r="T31" s="701" t="s">
        <v>14</v>
      </c>
      <c r="U31" s="702" t="e">
        <f t="shared" si="13"/>
        <v>#N/A</v>
      </c>
      <c r="V31" s="701" t="s">
        <v>14</v>
      </c>
      <c r="W31" s="702" t="e">
        <f t="shared" si="14"/>
        <v>#N/A</v>
      </c>
      <c r="X31" s="703"/>
      <c r="Y31" s="366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5" t="s">
        <v>1695</v>
      </c>
      <c r="Q32" s="1351" t="str">
        <f t="shared" si="11"/>
        <v>车位类型</v>
      </c>
      <c r="R32" s="705" t="s">
        <v>14</v>
      </c>
      <c r="S32" s="706">
        <f t="shared" si="12"/>
        <v>100</v>
      </c>
      <c r="T32" s="705" t="s">
        <v>14</v>
      </c>
      <c r="U32" s="706">
        <f t="shared" si="13"/>
        <v>100</v>
      </c>
      <c r="V32" s="705" t="s">
        <v>14</v>
      </c>
      <c r="W32" s="706">
        <f t="shared" si="14"/>
        <v>100</v>
      </c>
      <c r="X32" s="1354"/>
      <c r="Y32" s="3665"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5"/>
      <c r="Q33" s="1351" t="str">
        <f t="shared" si="11"/>
        <v>是否直接入户</v>
      </c>
      <c r="R33" s="705" t="s">
        <v>14</v>
      </c>
      <c r="S33" s="706">
        <f t="shared" si="12"/>
        <v>100</v>
      </c>
      <c r="T33" s="705" t="s">
        <v>14</v>
      </c>
      <c r="U33" s="706">
        <f t="shared" si="13"/>
        <v>100</v>
      </c>
      <c r="V33" s="705" t="s">
        <v>14</v>
      </c>
      <c r="W33" s="706">
        <f t="shared" si="14"/>
        <v>100</v>
      </c>
      <c r="X33" s="1354"/>
      <c r="Y33" s="366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5"/>
      <c r="Q34" s="1351">
        <f t="shared" si="11"/>
        <v>111</v>
      </c>
      <c r="R34" s="705" t="s">
        <v>14</v>
      </c>
      <c r="S34" s="706">
        <f t="shared" si="12"/>
        <v>100</v>
      </c>
      <c r="T34" s="705" t="s">
        <v>14</v>
      </c>
      <c r="U34" s="706">
        <f t="shared" si="13"/>
        <v>100</v>
      </c>
      <c r="V34" s="705" t="s">
        <v>14</v>
      </c>
      <c r="W34" s="706">
        <f t="shared" si="14"/>
        <v>100</v>
      </c>
      <c r="X34" s="1354"/>
      <c r="Y34" s="366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5"/>
      <c r="Q35" s="707">
        <f t="shared" si="11"/>
        <v>111</v>
      </c>
      <c r="R35" s="708" t="s">
        <v>14</v>
      </c>
      <c r="S35" s="709">
        <f t="shared" si="12"/>
        <v>100</v>
      </c>
      <c r="T35" s="708" t="s">
        <v>14</v>
      </c>
      <c r="U35" s="709">
        <f t="shared" si="13"/>
        <v>100</v>
      </c>
      <c r="V35" s="708" t="s">
        <v>14</v>
      </c>
      <c r="W35" s="709">
        <f t="shared" si="14"/>
        <v>100</v>
      </c>
      <c r="X35" s="710"/>
      <c r="Y35" s="3665"/>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5"/>
      <c r="Q36" s="1351">
        <f t="shared" si="11"/>
        <v>111</v>
      </c>
      <c r="R36" s="705" t="s">
        <v>14</v>
      </c>
      <c r="S36" s="706">
        <f t="shared" si="12"/>
        <v>100</v>
      </c>
      <c r="T36" s="705" t="s">
        <v>14</v>
      </c>
      <c r="U36" s="706">
        <f t="shared" si="13"/>
        <v>100</v>
      </c>
      <c r="V36" s="705" t="s">
        <v>14</v>
      </c>
      <c r="W36" s="706">
        <f t="shared" si="14"/>
        <v>100</v>
      </c>
      <c r="X36" s="1354"/>
      <c r="Y36" s="3665"/>
      <c r="Z36" s="1355">
        <f t="shared" si="15"/>
        <v>111</v>
      </c>
      <c r="AA36" s="1352">
        <f t="shared" si="3"/>
        <v>1</v>
      </c>
      <c r="AB36" s="1352">
        <f t="shared" si="4"/>
        <v>1</v>
      </c>
      <c r="AC36" s="1352">
        <f t="shared" si="5"/>
        <v>1</v>
      </c>
    </row>
    <row r="37" spans="1:29" ht="14.4">
      <c r="A37" s="430" t="s">
        <v>1843</v>
      </c>
      <c r="B37" s="1972" t="s">
        <v>3361</v>
      </c>
      <c r="C37" s="1154" t="s">
        <v>0</v>
      </c>
      <c r="D37" s="1155"/>
      <c r="E37" s="1156"/>
      <c r="F37" s="1157"/>
      <c r="G37" s="1158"/>
      <c r="H37" s="1159"/>
      <c r="I37" s="1156"/>
      <c r="J37" s="1159"/>
      <c r="K37" s="568"/>
      <c r="L37" s="2722"/>
      <c r="M37" s="2723"/>
      <c r="N37" s="2714"/>
      <c r="O37" s="2723"/>
      <c r="P37" s="3661" t="str">
        <f>A37</f>
        <v>成交单价</v>
      </c>
      <c r="Q37" s="3661"/>
      <c r="R37" s="3729">
        <f>E37</f>
        <v>0</v>
      </c>
      <c r="S37" s="3729"/>
      <c r="T37" s="3729">
        <f>G37</f>
        <v>0</v>
      </c>
      <c r="U37" s="3729"/>
      <c r="V37" s="3729">
        <f>I37</f>
        <v>0</v>
      </c>
      <c r="W37" s="3729"/>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2"/>
      <c r="M38" s="2723"/>
      <c r="N38" s="2723"/>
      <c r="O38" s="2723"/>
      <c r="P38" s="3661" t="str">
        <f>A38</f>
        <v>比较价值（元/平方米）</v>
      </c>
      <c r="Q38" s="3661"/>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2"/>
      <c r="M39" s="2723"/>
      <c r="N39" s="2723"/>
      <c r="O39" s="2723"/>
      <c r="P39" s="3655" t="str">
        <f>A39</f>
        <v>估价对象XX用房的比较价值（楼面单价，元/平方米）</v>
      </c>
      <c r="Q39" s="3656"/>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1850</v>
      </c>
      <c r="B48" s="455"/>
      <c r="C48" s="1183" t="str">
        <f>YEAR(C7)&amp;"-"&amp;MONTH(C7)</f>
        <v>2022-12</v>
      </c>
      <c r="D48" s="1184">
        <f>EDATE(C48,-1)</f>
        <v>44866</v>
      </c>
      <c r="E48" s="1184">
        <f t="shared" ref="E48:O48" si="16">EDATE(D48,-1)</f>
        <v>44835</v>
      </c>
      <c r="F48" s="1184">
        <f t="shared" si="16"/>
        <v>44805</v>
      </c>
      <c r="G48" s="1184">
        <f t="shared" si="16"/>
        <v>44774</v>
      </c>
      <c r="H48" s="1184">
        <f t="shared" si="16"/>
        <v>44743</v>
      </c>
      <c r="I48" s="1184">
        <f t="shared" si="16"/>
        <v>44713</v>
      </c>
      <c r="J48" s="1184">
        <f t="shared" si="16"/>
        <v>44682</v>
      </c>
      <c r="K48" s="1184">
        <f t="shared" si="16"/>
        <v>44652</v>
      </c>
      <c r="L48" s="1184">
        <f t="shared" si="16"/>
        <v>44621</v>
      </c>
      <c r="M48" s="1184">
        <f t="shared" si="16"/>
        <v>44593</v>
      </c>
      <c r="N48" s="1184">
        <f t="shared" si="16"/>
        <v>44562</v>
      </c>
      <c r="O48" s="1184">
        <f t="shared" si="16"/>
        <v>44531</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95" sqref="P9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3341</v>
      </c>
      <c r="C1" s="1223" t="s">
        <v>1661</v>
      </c>
      <c r="D1" s="1224"/>
      <c r="E1" s="3433"/>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658" t="s">
        <v>1769</v>
      </c>
      <c r="D4" s="3670"/>
      <c r="E4" s="3671" t="s">
        <v>1770</v>
      </c>
      <c r="F4" s="3672"/>
      <c r="G4" s="3658" t="s">
        <v>1771</v>
      </c>
      <c r="H4" s="3670"/>
      <c r="I4" s="3658" t="s">
        <v>1772</v>
      </c>
      <c r="J4" s="3670"/>
      <c r="K4" s="559" t="s">
        <v>1773</v>
      </c>
      <c r="L4" s="2713"/>
      <c r="M4" s="2714"/>
      <c r="N4" s="2714"/>
      <c r="O4" s="2714"/>
      <c r="P4" s="3673" t="s">
        <v>1774</v>
      </c>
      <c r="Q4" s="3674"/>
      <c r="R4" s="3679" t="s">
        <v>1770</v>
      </c>
      <c r="S4" s="3680"/>
      <c r="T4" s="3679" t="s">
        <v>1771</v>
      </c>
      <c r="U4" s="3680"/>
      <c r="V4" s="3666" t="s">
        <v>1772</v>
      </c>
      <c r="W4" s="3666"/>
      <c r="X4" s="1354"/>
      <c r="Y4" s="3679" t="s">
        <v>1774</v>
      </c>
      <c r="Z4" s="3680"/>
      <c r="AA4" s="3667" t="s">
        <v>1770</v>
      </c>
      <c r="AB4" s="3668" t="s">
        <v>1771</v>
      </c>
      <c r="AC4" s="3667" t="s">
        <v>1772</v>
      </c>
    </row>
    <row r="5" spans="1:29">
      <c r="A5" s="358"/>
      <c r="B5" s="359"/>
      <c r="C5" s="3687" t="s">
        <v>1672</v>
      </c>
      <c r="D5" s="3688"/>
      <c r="E5" s="3694" t="s">
        <v>1673</v>
      </c>
      <c r="F5" s="3695"/>
      <c r="G5" s="3687" t="s">
        <v>1674</v>
      </c>
      <c r="H5" s="3688"/>
      <c r="I5" s="3687" t="s">
        <v>1675</v>
      </c>
      <c r="J5" s="3688"/>
      <c r="K5" s="559"/>
      <c r="L5" s="2713"/>
      <c r="M5" s="2714"/>
      <c r="N5" s="2714"/>
      <c r="O5" s="2714"/>
      <c r="P5" s="3675"/>
      <c r="Q5" s="3676"/>
      <c r="R5" s="3681"/>
      <c r="S5" s="3682"/>
      <c r="T5" s="3681"/>
      <c r="U5" s="3682"/>
      <c r="V5" s="3666"/>
      <c r="W5" s="3666"/>
      <c r="X5" s="1354"/>
      <c r="Y5" s="3681"/>
      <c r="Z5" s="3682"/>
      <c r="AA5" s="3668"/>
      <c r="AB5" s="3668"/>
      <c r="AC5" s="3668"/>
    </row>
    <row r="6" spans="1:29" ht="15" thickBot="1">
      <c r="A6" s="360"/>
      <c r="B6" s="361"/>
      <c r="C6" s="3685" t="s">
        <v>1676</v>
      </c>
      <c r="D6" s="3686"/>
      <c r="E6" s="3692" t="s">
        <v>1676</v>
      </c>
      <c r="F6" s="3693"/>
      <c r="G6" s="3685" t="s">
        <v>1676</v>
      </c>
      <c r="H6" s="3686"/>
      <c r="I6" s="3685" t="s">
        <v>1676</v>
      </c>
      <c r="J6" s="3686"/>
      <c r="K6" s="559" t="s">
        <v>1677</v>
      </c>
      <c r="L6" s="2713"/>
      <c r="M6" s="2714"/>
      <c r="N6" s="2714"/>
      <c r="O6" s="2714"/>
      <c r="P6" s="3677"/>
      <c r="Q6" s="3678"/>
      <c r="R6" s="3681"/>
      <c r="S6" s="3682"/>
      <c r="T6" s="3683"/>
      <c r="U6" s="3684"/>
      <c r="V6" s="3666"/>
      <c r="W6" s="3666"/>
      <c r="X6" s="1354"/>
      <c r="Y6" s="3683"/>
      <c r="Z6" s="3684"/>
      <c r="AA6" s="3669"/>
      <c r="AB6" s="3669"/>
      <c r="AC6" s="3669"/>
    </row>
    <row r="7" spans="1:29" s="108" customFormat="1" ht="15" thickBot="1">
      <c r="A7" s="362" t="s">
        <v>1678</v>
      </c>
      <c r="B7" s="363"/>
      <c r="C7" s="364">
        <f>'数据-取费表'!B2</f>
        <v>44917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89" t="s">
        <v>1679</v>
      </c>
      <c r="Q7" s="3691"/>
      <c r="R7" s="701" t="s">
        <v>14</v>
      </c>
      <c r="S7" s="702">
        <f t="shared" ref="S7:S14" si="0">F7</f>
        <v>0</v>
      </c>
      <c r="T7" s="701" t="s">
        <v>14</v>
      </c>
      <c r="U7" s="702">
        <f t="shared" ref="U7:U14" si="1">H7</f>
        <v>0</v>
      </c>
      <c r="V7" s="701" t="s">
        <v>14</v>
      </c>
      <c r="W7" s="702">
        <f t="shared" ref="W7:W14" si="2">J7</f>
        <v>0</v>
      </c>
      <c r="X7" s="703"/>
      <c r="Y7" s="3689" t="s">
        <v>1679</v>
      </c>
      <c r="Z7" s="3690"/>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9" t="s">
        <v>1682</v>
      </c>
      <c r="Q8" s="3690"/>
      <c r="R8" s="701" t="s">
        <v>14</v>
      </c>
      <c r="S8" s="702">
        <f t="shared" si="0"/>
        <v>100</v>
      </c>
      <c r="T8" s="701" t="s">
        <v>14</v>
      </c>
      <c r="U8" s="702">
        <f t="shared" si="1"/>
        <v>100</v>
      </c>
      <c r="V8" s="701" t="s">
        <v>14</v>
      </c>
      <c r="W8" s="702">
        <f t="shared" si="2"/>
        <v>100</v>
      </c>
      <c r="X8" s="703"/>
      <c r="Y8" s="3689" t="s">
        <v>1682</v>
      </c>
      <c r="Z8" s="3690"/>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1" t="s">
        <v>1685</v>
      </c>
      <c r="Q9" s="1342" t="str">
        <f t="shared" ref="Q9:Q14" si="6">B9</f>
        <v>用途</v>
      </c>
      <c r="R9" s="701" t="s">
        <v>14</v>
      </c>
      <c r="S9" s="702">
        <f t="shared" si="0"/>
        <v>100</v>
      </c>
      <c r="T9" s="701" t="s">
        <v>14</v>
      </c>
      <c r="U9" s="702">
        <f t="shared" si="1"/>
        <v>100</v>
      </c>
      <c r="V9" s="701" t="s">
        <v>14</v>
      </c>
      <c r="W9" s="702">
        <f t="shared" si="2"/>
        <v>100</v>
      </c>
      <c r="X9" s="703"/>
      <c r="Y9" s="3558" t="s">
        <v>1686</v>
      </c>
      <c r="Z9" s="52" t="str">
        <f t="shared" ref="Z9:Z14" si="7">Q9</f>
        <v>用途</v>
      </c>
      <c r="AA9" s="704">
        <f t="shared" si="3"/>
        <v>1</v>
      </c>
      <c r="AB9" s="704">
        <f t="shared" si="4"/>
        <v>1</v>
      </c>
      <c r="AC9" s="704">
        <f t="shared" si="5"/>
        <v>1</v>
      </c>
    </row>
    <row r="10" spans="1:29" s="378" customFormat="1" ht="28.8">
      <c r="A10" s="374"/>
      <c r="B10" s="375" t="s">
        <v>1687</v>
      </c>
      <c r="C10" s="3435"/>
      <c r="D10" s="127">
        <v>100</v>
      </c>
      <c r="E10" s="3435"/>
      <c r="F10" s="376">
        <f>SUMIF(53:53,E10,54:54)-SUMIF(53:53,C10,54:54)+100</f>
        <v>100</v>
      </c>
      <c r="G10" s="3435"/>
      <c r="H10" s="127">
        <f>SUMIF(53:53,G10,54:54)-SUMIF(53:53,C10,54:54)+100</f>
        <v>100</v>
      </c>
      <c r="I10" s="3435"/>
      <c r="J10" s="127">
        <f>SUMIF(53:53,I10,54:54)-SUMIF(53:53,C10,54:54)+100</f>
        <v>100</v>
      </c>
      <c r="K10" s="560"/>
      <c r="L10" s="2717"/>
      <c r="M10" s="2718"/>
      <c r="N10" s="2718"/>
      <c r="O10" s="2771"/>
      <c r="P10" s="3661"/>
      <c r="Q10" s="1342"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1"/>
      <c r="Q11" s="1342">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1"/>
      <c r="Q12" s="1342">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61"/>
      <c r="Q13" s="1342">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96.6">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2" t="s">
        <v>1690</v>
      </c>
      <c r="Q14" s="1351" t="str">
        <f t="shared" si="6"/>
        <v>交通便捷度</v>
      </c>
      <c r="R14" s="705" t="s">
        <v>14</v>
      </c>
      <c r="S14" s="706">
        <f t="shared" si="0"/>
        <v>100</v>
      </c>
      <c r="T14" s="705" t="s">
        <v>14</v>
      </c>
      <c r="U14" s="706">
        <f t="shared" si="1"/>
        <v>100</v>
      </c>
      <c r="V14" s="705" t="s">
        <v>14</v>
      </c>
      <c r="W14" s="706">
        <f t="shared" si="2"/>
        <v>100</v>
      </c>
      <c r="X14" s="1354"/>
      <c r="Y14" s="3662"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63"/>
      <c r="Q15" s="1351"/>
      <c r="R15" s="705"/>
      <c r="S15" s="706"/>
      <c r="T15" s="705"/>
      <c r="U15" s="706"/>
      <c r="V15" s="705"/>
      <c r="W15" s="706"/>
      <c r="X15" s="1354"/>
      <c r="Y15" s="3663"/>
      <c r="Z15" s="1355"/>
      <c r="AA15" s="1352">
        <v>1</v>
      </c>
      <c r="AB15" s="1352">
        <v>1</v>
      </c>
      <c r="AC15" s="1352">
        <v>1</v>
      </c>
    </row>
    <row r="16" spans="1:29" ht="41.4">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3"/>
      <c r="Q16" s="1351" t="str">
        <f>B16</f>
        <v>公共配套设施</v>
      </c>
      <c r="R16" s="705" t="s">
        <v>14</v>
      </c>
      <c r="S16" s="706">
        <f>F16</f>
        <v>100</v>
      </c>
      <c r="T16" s="705" t="s">
        <v>14</v>
      </c>
      <c r="U16" s="706">
        <f>H16</f>
        <v>100</v>
      </c>
      <c r="V16" s="705" t="s">
        <v>14</v>
      </c>
      <c r="W16" s="706">
        <f>J16</f>
        <v>100</v>
      </c>
      <c r="X16" s="1354"/>
      <c r="Y16" s="366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63"/>
      <c r="Q17" s="1351"/>
      <c r="R17" s="705"/>
      <c r="S17" s="706"/>
      <c r="T17" s="705"/>
      <c r="U17" s="706"/>
      <c r="V17" s="705"/>
      <c r="W17" s="706"/>
      <c r="X17" s="1354"/>
      <c r="Y17" s="3663"/>
      <c r="Z17" s="1355"/>
      <c r="AA17" s="1352">
        <v>1</v>
      </c>
      <c r="AB17" s="1352">
        <v>1</v>
      </c>
      <c r="AC17" s="1352">
        <v>1</v>
      </c>
    </row>
    <row r="18" spans="1:29" ht="41.4">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3"/>
      <c r="Q18" s="1351" t="str">
        <f>B18</f>
        <v>基础设施水平</v>
      </c>
      <c r="R18" s="705" t="s">
        <v>14</v>
      </c>
      <c r="S18" s="706">
        <f>F18</f>
        <v>100</v>
      </c>
      <c r="T18" s="705" t="s">
        <v>14</v>
      </c>
      <c r="U18" s="706">
        <f>H18</f>
        <v>100</v>
      </c>
      <c r="V18" s="705" t="s">
        <v>14</v>
      </c>
      <c r="W18" s="706">
        <f>J18</f>
        <v>100</v>
      </c>
      <c r="X18" s="1354"/>
      <c r="Y18" s="3663"/>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663"/>
      <c r="Q19" s="1351"/>
      <c r="R19" s="705"/>
      <c r="S19" s="706"/>
      <c r="T19" s="705"/>
      <c r="U19" s="706"/>
      <c r="V19" s="705"/>
      <c r="W19" s="706"/>
      <c r="X19" s="1354"/>
      <c r="Y19" s="3663"/>
      <c r="Z19" s="1355"/>
      <c r="AA19" s="1352">
        <v>1</v>
      </c>
      <c r="AB19" s="1352">
        <v>1</v>
      </c>
      <c r="AC19" s="1352">
        <v>1</v>
      </c>
    </row>
    <row r="20" spans="1:29" ht="55.2">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3"/>
      <c r="Q20" s="1351" t="str">
        <f>B20</f>
        <v>自然及人文环境</v>
      </c>
      <c r="R20" s="705" t="s">
        <v>14</v>
      </c>
      <c r="S20" s="706">
        <f>F20</f>
        <v>100</v>
      </c>
      <c r="T20" s="705" t="s">
        <v>14</v>
      </c>
      <c r="U20" s="706">
        <f>H20</f>
        <v>100</v>
      </c>
      <c r="V20" s="705" t="s">
        <v>14</v>
      </c>
      <c r="W20" s="706">
        <f>J20</f>
        <v>100</v>
      </c>
      <c r="X20" s="1354"/>
      <c r="Y20" s="366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63"/>
      <c r="Q21" s="1351"/>
      <c r="R21" s="705"/>
      <c r="S21" s="706"/>
      <c r="T21" s="705"/>
      <c r="U21" s="706"/>
      <c r="V21" s="705"/>
      <c r="W21" s="706"/>
      <c r="X21" s="1354"/>
      <c r="Y21" s="3663"/>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3"/>
      <c r="Q22" s="1351" t="str">
        <f>B22</f>
        <v>楼层</v>
      </c>
      <c r="R22" s="705" t="s">
        <v>14</v>
      </c>
      <c r="S22" s="706">
        <f>F22</f>
        <v>100</v>
      </c>
      <c r="T22" s="705" t="s">
        <v>14</v>
      </c>
      <c r="U22" s="706">
        <f>H22</f>
        <v>100</v>
      </c>
      <c r="V22" s="705" t="s">
        <v>14</v>
      </c>
      <c r="W22" s="706">
        <f>J22</f>
        <v>100</v>
      </c>
      <c r="X22" s="1354"/>
      <c r="Y22" s="366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3"/>
      <c r="Q23" s="1351">
        <f>B23</f>
        <v>111</v>
      </c>
      <c r="R23" s="705" t="s">
        <v>14</v>
      </c>
      <c r="S23" s="706">
        <f>F23</f>
        <v>100</v>
      </c>
      <c r="T23" s="705" t="s">
        <v>14</v>
      </c>
      <c r="U23" s="706">
        <f>H23</f>
        <v>100</v>
      </c>
      <c r="V23" s="705" t="s">
        <v>14</v>
      </c>
      <c r="W23" s="706">
        <f>J23</f>
        <v>100</v>
      </c>
      <c r="X23" s="1354"/>
      <c r="Y23" s="366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3"/>
      <c r="Q24" s="1351">
        <f t="shared" ref="Q24:Q34" si="11">B24</f>
        <v>111</v>
      </c>
      <c r="R24" s="705" t="s">
        <v>14</v>
      </c>
      <c r="S24" s="706">
        <f>F24</f>
        <v>100</v>
      </c>
      <c r="T24" s="705" t="s">
        <v>14</v>
      </c>
      <c r="U24" s="706">
        <f>H24</f>
        <v>100</v>
      </c>
      <c r="V24" s="705" t="s">
        <v>14</v>
      </c>
      <c r="W24" s="706">
        <f>J24</f>
        <v>100</v>
      </c>
      <c r="X24" s="1354"/>
      <c r="Y24" s="3663"/>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663"/>
      <c r="Q25" s="1342">
        <f t="shared" si="11"/>
        <v>111</v>
      </c>
      <c r="R25" s="701" t="s">
        <v>14</v>
      </c>
      <c r="S25" s="702">
        <f>F25</f>
        <v>100</v>
      </c>
      <c r="T25" s="701" t="s">
        <v>14</v>
      </c>
      <c r="U25" s="702">
        <f>H25</f>
        <v>100</v>
      </c>
      <c r="V25" s="701" t="s">
        <v>14</v>
      </c>
      <c r="W25" s="702">
        <f>J25</f>
        <v>100</v>
      </c>
      <c r="X25" s="703"/>
      <c r="Y25" s="3663"/>
      <c r="Z25" s="52">
        <f>Q25</f>
        <v>111</v>
      </c>
      <c r="AA25" s="1352">
        <f>D25/F25</f>
        <v>1</v>
      </c>
      <c r="AB25" s="1352">
        <f>D25/H25</f>
        <v>1</v>
      </c>
      <c r="AC25" s="1352">
        <f>D25/J25</f>
        <v>1</v>
      </c>
    </row>
    <row r="26" spans="1:29" ht="30">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664"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5"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5"/>
      <c r="Q27" s="707" t="str">
        <f t="shared" si="11"/>
        <v>成新率</v>
      </c>
      <c r="R27" s="708" t="s">
        <v>14</v>
      </c>
      <c r="S27" s="709" t="e">
        <f t="shared" si="12"/>
        <v>#N/A</v>
      </c>
      <c r="T27" s="708" t="s">
        <v>14</v>
      </c>
      <c r="U27" s="709" t="e">
        <f t="shared" si="13"/>
        <v>#N/A</v>
      </c>
      <c r="V27" s="708" t="s">
        <v>14</v>
      </c>
      <c r="W27" s="709" t="e">
        <f t="shared" si="14"/>
        <v>#N/A</v>
      </c>
      <c r="X27" s="710"/>
      <c r="Y27" s="3665"/>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5"/>
      <c r="Q28" s="1351" t="str">
        <f t="shared" si="11"/>
        <v>物业等级</v>
      </c>
      <c r="R28" s="705" t="s">
        <v>14</v>
      </c>
      <c r="S28" s="706">
        <f t="shared" si="12"/>
        <v>100</v>
      </c>
      <c r="T28" s="705" t="s">
        <v>14</v>
      </c>
      <c r="U28" s="706">
        <f t="shared" si="13"/>
        <v>100</v>
      </c>
      <c r="V28" s="705" t="s">
        <v>14</v>
      </c>
      <c r="W28" s="706">
        <f t="shared" si="14"/>
        <v>100</v>
      </c>
      <c r="X28" s="1354"/>
      <c r="Y28" s="3665"/>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5"/>
      <c r="Q29" s="1351" t="str">
        <f t="shared" si="11"/>
        <v>有无电梯</v>
      </c>
      <c r="R29" s="705" t="s">
        <v>14</v>
      </c>
      <c r="S29" s="706">
        <f t="shared" si="12"/>
        <v>100</v>
      </c>
      <c r="T29" s="705" t="s">
        <v>14</v>
      </c>
      <c r="U29" s="706">
        <f t="shared" si="13"/>
        <v>100</v>
      </c>
      <c r="V29" s="705" t="s">
        <v>14</v>
      </c>
      <c r="W29" s="706">
        <f t="shared" si="14"/>
        <v>100</v>
      </c>
      <c r="X29" s="1354"/>
      <c r="Y29" s="3665"/>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5"/>
      <c r="Q30" s="1351" t="str">
        <f t="shared" si="11"/>
        <v>建筑面积</v>
      </c>
      <c r="R30" s="705" t="s">
        <v>14</v>
      </c>
      <c r="S30" s="706" t="e">
        <f t="shared" si="12"/>
        <v>#N/A</v>
      </c>
      <c r="T30" s="705" t="s">
        <v>14</v>
      </c>
      <c r="U30" s="706" t="e">
        <f t="shared" si="13"/>
        <v>#N/A</v>
      </c>
      <c r="V30" s="705" t="s">
        <v>14</v>
      </c>
      <c r="W30" s="706" t="e">
        <f t="shared" si="14"/>
        <v>#N/A</v>
      </c>
      <c r="X30" s="1354"/>
      <c r="Y30" s="3665"/>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5"/>
      <c r="Q31" s="1342" t="str">
        <f t="shared" si="11"/>
        <v>是否封闭</v>
      </c>
      <c r="R31" s="701" t="s">
        <v>14</v>
      </c>
      <c r="S31" s="702">
        <f t="shared" si="12"/>
        <v>100</v>
      </c>
      <c r="T31" s="701" t="s">
        <v>14</v>
      </c>
      <c r="U31" s="702">
        <f t="shared" si="13"/>
        <v>100</v>
      </c>
      <c r="V31" s="701" t="s">
        <v>14</v>
      </c>
      <c r="W31" s="702">
        <f t="shared" si="14"/>
        <v>100</v>
      </c>
      <c r="X31" s="703"/>
      <c r="Y31" s="366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5" t="s">
        <v>1695</v>
      </c>
      <c r="Q32" s="1351">
        <f t="shared" si="11"/>
        <v>111</v>
      </c>
      <c r="R32" s="705" t="s">
        <v>14</v>
      </c>
      <c r="S32" s="706">
        <f t="shared" si="12"/>
        <v>100</v>
      </c>
      <c r="T32" s="705" t="s">
        <v>14</v>
      </c>
      <c r="U32" s="706">
        <f t="shared" si="13"/>
        <v>100</v>
      </c>
      <c r="V32" s="705" t="s">
        <v>14</v>
      </c>
      <c r="W32" s="706">
        <f t="shared" si="14"/>
        <v>100</v>
      </c>
      <c r="X32" s="1354"/>
      <c r="Y32" s="3665"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5"/>
      <c r="Q33" s="1351">
        <f t="shared" si="11"/>
        <v>111</v>
      </c>
      <c r="R33" s="705" t="s">
        <v>14</v>
      </c>
      <c r="S33" s="706">
        <f t="shared" si="12"/>
        <v>100</v>
      </c>
      <c r="T33" s="705" t="s">
        <v>14</v>
      </c>
      <c r="U33" s="706">
        <f t="shared" si="13"/>
        <v>100</v>
      </c>
      <c r="V33" s="705" t="s">
        <v>14</v>
      </c>
      <c r="W33" s="706">
        <f t="shared" si="14"/>
        <v>100</v>
      </c>
      <c r="X33" s="1354"/>
      <c r="Y33" s="3665"/>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65"/>
      <c r="Q34" s="1351">
        <f t="shared" si="11"/>
        <v>111</v>
      </c>
      <c r="R34" s="705" t="s">
        <v>14</v>
      </c>
      <c r="S34" s="706">
        <f t="shared" si="12"/>
        <v>100</v>
      </c>
      <c r="T34" s="705" t="s">
        <v>14</v>
      </c>
      <c r="U34" s="706">
        <f t="shared" si="13"/>
        <v>100</v>
      </c>
      <c r="V34" s="705" t="s">
        <v>14</v>
      </c>
      <c r="W34" s="706">
        <f t="shared" si="14"/>
        <v>100</v>
      </c>
      <c r="X34" s="1354"/>
      <c r="Y34" s="3665"/>
      <c r="Z34" s="1355">
        <f t="shared" si="15"/>
        <v>111</v>
      </c>
      <c r="AA34" s="1352">
        <f t="shared" si="3"/>
        <v>1</v>
      </c>
      <c r="AB34" s="1352">
        <f t="shared" si="4"/>
        <v>1</v>
      </c>
      <c r="AC34" s="1352">
        <f t="shared" si="5"/>
        <v>1</v>
      </c>
    </row>
    <row r="35" spans="1:30" ht="14.4">
      <c r="A35" s="430" t="s">
        <v>1707</v>
      </c>
      <c r="B35" s="431"/>
      <c r="C35" s="1154" t="s">
        <v>0</v>
      </c>
      <c r="D35" s="1155"/>
      <c r="E35" s="1156"/>
      <c r="F35" s="1157"/>
      <c r="G35" s="1158"/>
      <c r="H35" s="1159"/>
      <c r="I35" s="1156"/>
      <c r="J35" s="1159"/>
      <c r="K35" s="714"/>
      <c r="L35" s="2722"/>
      <c r="M35" s="2723"/>
      <c r="N35" s="2714"/>
      <c r="O35" s="2723"/>
      <c r="P35" s="3661" t="str">
        <f>A35</f>
        <v>成交单价（元/平方米）</v>
      </c>
      <c r="Q35" s="3661"/>
      <c r="R35" s="3729">
        <f>E35</f>
        <v>0</v>
      </c>
      <c r="S35" s="3729"/>
      <c r="T35" s="3729">
        <f>G35</f>
        <v>0</v>
      </c>
      <c r="U35" s="3729"/>
      <c r="V35" s="3729">
        <f>I35</f>
        <v>0</v>
      </c>
      <c r="W35" s="3729"/>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2"/>
      <c r="M36" s="2723"/>
      <c r="N36" s="2714"/>
      <c r="O36" s="2723"/>
      <c r="P36" s="3661" t="str">
        <f>A36</f>
        <v>比较价值（元/平方米）</v>
      </c>
      <c r="Q36" s="3661"/>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2"/>
      <c r="M37" s="2723"/>
      <c r="N37" s="2723"/>
      <c r="O37" s="2723"/>
      <c r="P37" s="3655" t="str">
        <f>A37</f>
        <v>估价对象XX用房的比较价值（楼面单价，元/平方米）</v>
      </c>
      <c r="Q37" s="3656"/>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1678</v>
      </c>
      <c r="B46" s="455"/>
      <c r="C46" s="1183" t="str">
        <f>YEAR(C7)&amp;"-"&amp;MONTH(C7)</f>
        <v>2022-12</v>
      </c>
      <c r="D46" s="1184">
        <f>EDATE(C46,-1)</f>
        <v>44866</v>
      </c>
      <c r="E46" s="1184">
        <f t="shared" ref="E46:O46" si="16">EDATE(D46,-1)</f>
        <v>44835</v>
      </c>
      <c r="F46" s="1184">
        <f t="shared" si="16"/>
        <v>44805</v>
      </c>
      <c r="G46" s="1184">
        <f t="shared" si="16"/>
        <v>44774</v>
      </c>
      <c r="H46" s="1184">
        <f t="shared" si="16"/>
        <v>44743</v>
      </c>
      <c r="I46" s="1184">
        <f t="shared" si="16"/>
        <v>44713</v>
      </c>
      <c r="J46" s="1184">
        <f t="shared" si="16"/>
        <v>44682</v>
      </c>
      <c r="K46" s="1184">
        <f t="shared" si="16"/>
        <v>44652</v>
      </c>
      <c r="L46" s="1184">
        <f t="shared" si="16"/>
        <v>44621</v>
      </c>
      <c r="M46" s="1184">
        <f t="shared" si="16"/>
        <v>44593</v>
      </c>
      <c r="N46" s="1184">
        <f t="shared" si="16"/>
        <v>44562</v>
      </c>
      <c r="O46" s="1184">
        <f t="shared" si="16"/>
        <v>44531</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658" t="s">
        <v>1769</v>
      </c>
      <c r="D4" s="3670"/>
      <c r="E4" s="3671" t="s">
        <v>1770</v>
      </c>
      <c r="F4" s="3672"/>
      <c r="G4" s="3658" t="s">
        <v>1771</v>
      </c>
      <c r="H4" s="3670"/>
      <c r="I4" s="3658" t="s">
        <v>1772</v>
      </c>
      <c r="J4" s="3670"/>
      <c r="K4" s="559" t="s">
        <v>1773</v>
      </c>
      <c r="L4" s="2713"/>
      <c r="M4" s="2714"/>
      <c r="N4" s="2714"/>
      <c r="O4" s="2714"/>
      <c r="P4" s="3673" t="s">
        <v>1774</v>
      </c>
      <c r="Q4" s="3674"/>
      <c r="R4" s="3679" t="s">
        <v>1770</v>
      </c>
      <c r="S4" s="3680"/>
      <c r="T4" s="3679" t="s">
        <v>1771</v>
      </c>
      <c r="U4" s="3680"/>
      <c r="V4" s="3666" t="s">
        <v>1772</v>
      </c>
      <c r="W4" s="3666"/>
      <c r="X4" s="1354"/>
      <c r="Y4" s="3679" t="s">
        <v>1774</v>
      </c>
      <c r="Z4" s="3680"/>
      <c r="AA4" s="3667" t="s">
        <v>1770</v>
      </c>
      <c r="AB4" s="3668" t="s">
        <v>1771</v>
      </c>
      <c r="AC4" s="3667" t="s">
        <v>1772</v>
      </c>
    </row>
    <row r="5" spans="1:29">
      <c r="A5" s="358"/>
      <c r="B5" s="359"/>
      <c r="C5" s="3687" t="s">
        <v>1672</v>
      </c>
      <c r="D5" s="3688"/>
      <c r="E5" s="3694" t="s">
        <v>1673</v>
      </c>
      <c r="F5" s="3695"/>
      <c r="G5" s="3687" t="s">
        <v>1674</v>
      </c>
      <c r="H5" s="3688"/>
      <c r="I5" s="3687" t="s">
        <v>1675</v>
      </c>
      <c r="J5" s="3688"/>
      <c r="K5" s="559"/>
      <c r="L5" s="2713"/>
      <c r="M5" s="2714"/>
      <c r="N5" s="2714"/>
      <c r="O5" s="2714"/>
      <c r="P5" s="3675"/>
      <c r="Q5" s="3676"/>
      <c r="R5" s="3681"/>
      <c r="S5" s="3682"/>
      <c r="T5" s="3681"/>
      <c r="U5" s="3682"/>
      <c r="V5" s="3666"/>
      <c r="W5" s="3666"/>
      <c r="X5" s="1354"/>
      <c r="Y5" s="3681"/>
      <c r="Z5" s="3682"/>
      <c r="AA5" s="3668"/>
      <c r="AB5" s="3668"/>
      <c r="AC5" s="3668"/>
    </row>
    <row r="6" spans="1:29" ht="15" thickBot="1">
      <c r="A6" s="360"/>
      <c r="B6" s="361"/>
      <c r="C6" s="3752" t="s">
        <v>1918</v>
      </c>
      <c r="D6" s="3753"/>
      <c r="E6" s="3754" t="s">
        <v>1918</v>
      </c>
      <c r="F6" s="3755"/>
      <c r="G6" s="3752" t="s">
        <v>1918</v>
      </c>
      <c r="H6" s="3753"/>
      <c r="I6" s="3752" t="s">
        <v>1918</v>
      </c>
      <c r="J6" s="3753"/>
      <c r="K6" s="559" t="s">
        <v>1677</v>
      </c>
      <c r="L6" s="2713"/>
      <c r="M6" s="2714"/>
      <c r="N6" s="2714"/>
      <c r="O6" s="2714"/>
      <c r="P6" s="3677"/>
      <c r="Q6" s="3678"/>
      <c r="R6" s="3681"/>
      <c r="S6" s="3682"/>
      <c r="T6" s="3683"/>
      <c r="U6" s="3684"/>
      <c r="V6" s="3666"/>
      <c r="W6" s="3666"/>
      <c r="X6" s="1354"/>
      <c r="Y6" s="3683"/>
      <c r="Z6" s="3684"/>
      <c r="AA6" s="3669"/>
      <c r="AB6" s="3669"/>
      <c r="AC6" s="3669"/>
    </row>
    <row r="7" spans="1:29" s="108" customFormat="1" ht="15" thickBot="1">
      <c r="A7" s="362" t="s">
        <v>1678</v>
      </c>
      <c r="B7" s="363"/>
      <c r="C7" s="364">
        <f>'数据-取费表'!B2</f>
        <v>44917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89" t="s">
        <v>1679</v>
      </c>
      <c r="Q7" s="3691"/>
      <c r="R7" s="701" t="s">
        <v>14</v>
      </c>
      <c r="S7" s="702">
        <f t="shared" ref="S7:S15" si="0">F7</f>
        <v>0</v>
      </c>
      <c r="T7" s="701" t="s">
        <v>14</v>
      </c>
      <c r="U7" s="702">
        <f t="shared" ref="U7:U15" si="1">H7</f>
        <v>0</v>
      </c>
      <c r="V7" s="701" t="s">
        <v>14</v>
      </c>
      <c r="W7" s="702">
        <f t="shared" ref="W7:W15" si="2">J7</f>
        <v>0</v>
      </c>
      <c r="X7" s="703"/>
      <c r="Y7" s="3689" t="s">
        <v>1679</v>
      </c>
      <c r="Z7" s="3690"/>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9" t="s">
        <v>1682</v>
      </c>
      <c r="Q8" s="3690"/>
      <c r="R8" s="701" t="s">
        <v>14</v>
      </c>
      <c r="S8" s="702">
        <f t="shared" si="0"/>
        <v>0</v>
      </c>
      <c r="T8" s="701" t="s">
        <v>14</v>
      </c>
      <c r="U8" s="702">
        <f t="shared" si="1"/>
        <v>0</v>
      </c>
      <c r="V8" s="701" t="s">
        <v>14</v>
      </c>
      <c r="W8" s="702">
        <f t="shared" si="2"/>
        <v>0</v>
      </c>
      <c r="X8" s="703"/>
      <c r="Y8" s="3689" t="s">
        <v>1682</v>
      </c>
      <c r="Z8" s="3690"/>
      <c r="AA8" s="704" t="e">
        <f t="shared" ref="AA8:AA40" si="3">D8/F8</f>
        <v>#DIV/0!</v>
      </c>
      <c r="AB8" s="704" t="e">
        <f t="shared" ref="AB8:AB40" si="4">D8/H8</f>
        <v>#DIV/0!</v>
      </c>
      <c r="AC8" s="704" t="e">
        <f t="shared" ref="AC8:AC40" si="5">D8/J8</f>
        <v>#DIV/0!</v>
      </c>
    </row>
    <row r="9" spans="1:29" s="108" customFormat="1" ht="14.4">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61" t="s">
        <v>1685</v>
      </c>
      <c r="Q9" s="1342"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103</v>
      </c>
      <c r="G10" s="383"/>
      <c r="H10" s="127">
        <f>ROUND(100/'数据-取费表'!G16,0)</f>
        <v>103</v>
      </c>
      <c r="I10" s="383"/>
      <c r="J10" s="127">
        <f>ROUND(100/'数据-取费表'!G16,0)</f>
        <v>103</v>
      </c>
      <c r="K10" s="620"/>
      <c r="L10" s="2717"/>
      <c r="M10" s="2718"/>
      <c r="N10" s="2718"/>
      <c r="O10" s="2771"/>
      <c r="P10" s="3661"/>
      <c r="Q10" s="1342" t="str">
        <f t="shared" si="6"/>
        <v>土地使用年限（年）</v>
      </c>
      <c r="R10" s="701" t="s">
        <v>14</v>
      </c>
      <c r="S10" s="702">
        <f t="shared" si="0"/>
        <v>103</v>
      </c>
      <c r="T10" s="701" t="s">
        <v>14</v>
      </c>
      <c r="U10" s="702">
        <f t="shared" si="1"/>
        <v>103</v>
      </c>
      <c r="V10" s="701" t="s">
        <v>14</v>
      </c>
      <c r="W10" s="702">
        <f t="shared" si="2"/>
        <v>103</v>
      </c>
      <c r="X10" s="703"/>
      <c r="Y10" s="3558"/>
      <c r="Z10" s="52" t="str">
        <f t="shared" si="7"/>
        <v>土地使用年限（年）</v>
      </c>
      <c r="AA10" s="704">
        <f t="shared" si="3"/>
        <v>0.970873786407767</v>
      </c>
      <c r="AB10" s="704">
        <f t="shared" si="4"/>
        <v>0.970873786407767</v>
      </c>
      <c r="AC10" s="704">
        <f t="shared" si="5"/>
        <v>0.970873786407767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1"/>
      <c r="Q11" s="1342"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1"/>
      <c r="Q12" s="1342">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1"/>
      <c r="Q13" s="1342">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1"/>
      <c r="Q14" s="1342">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69">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2" t="s">
        <v>1690</v>
      </c>
      <c r="Q15" s="1351" t="str">
        <f t="shared" si="6"/>
        <v>产业集聚程度</v>
      </c>
      <c r="R15" s="705" t="s">
        <v>14</v>
      </c>
      <c r="S15" s="706">
        <f t="shared" si="0"/>
        <v>100</v>
      </c>
      <c r="T15" s="705" t="s">
        <v>14</v>
      </c>
      <c r="U15" s="706">
        <f t="shared" si="1"/>
        <v>100</v>
      </c>
      <c r="V15" s="705" t="s">
        <v>14</v>
      </c>
      <c r="W15" s="706">
        <f t="shared" si="2"/>
        <v>100</v>
      </c>
      <c r="X15" s="1354"/>
      <c r="Y15" s="3662"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663"/>
      <c r="Q16" s="1351"/>
      <c r="R16" s="705"/>
      <c r="S16" s="706"/>
      <c r="T16" s="705"/>
      <c r="U16" s="706"/>
      <c r="V16" s="705"/>
      <c r="W16" s="706"/>
      <c r="X16" s="1354"/>
      <c r="Y16" s="3663"/>
      <c r="Z16" s="1355"/>
      <c r="AA16" s="1352">
        <v>1</v>
      </c>
      <c r="AB16" s="1352">
        <v>1</v>
      </c>
      <c r="AC16" s="1352">
        <v>1</v>
      </c>
    </row>
    <row r="17" spans="1:29" ht="96.6">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3"/>
      <c r="Q17" s="1351" t="str">
        <f>B17</f>
        <v>交通便捷度</v>
      </c>
      <c r="R17" s="705" t="s">
        <v>14</v>
      </c>
      <c r="S17" s="706">
        <f>F17</f>
        <v>100</v>
      </c>
      <c r="T17" s="705" t="s">
        <v>14</v>
      </c>
      <c r="U17" s="706">
        <f>H17</f>
        <v>100</v>
      </c>
      <c r="V17" s="705" t="s">
        <v>14</v>
      </c>
      <c r="W17" s="706">
        <f>J17</f>
        <v>100</v>
      </c>
      <c r="X17" s="1354"/>
      <c r="Y17" s="366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663"/>
      <c r="Q18" s="1351"/>
      <c r="R18" s="705"/>
      <c r="S18" s="706"/>
      <c r="T18" s="705"/>
      <c r="U18" s="706"/>
      <c r="V18" s="705"/>
      <c r="W18" s="706"/>
      <c r="X18" s="1354"/>
      <c r="Y18" s="3663"/>
      <c r="Z18" s="1355"/>
      <c r="AA18" s="1352">
        <v>1</v>
      </c>
      <c r="AB18" s="1352">
        <v>1</v>
      </c>
      <c r="AC18" s="1352">
        <v>1</v>
      </c>
    </row>
    <row r="19" spans="1:29" ht="28.8">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3"/>
      <c r="Q19" s="1351" t="str">
        <f t="shared" ref="Q19:Q33" si="8">B19</f>
        <v>区域土地利用方向</v>
      </c>
      <c r="R19" s="705" t="s">
        <v>14</v>
      </c>
      <c r="S19" s="706">
        <f>F19</f>
        <v>100</v>
      </c>
      <c r="T19" s="705" t="s">
        <v>14</v>
      </c>
      <c r="U19" s="706">
        <f>H19</f>
        <v>100</v>
      </c>
      <c r="V19" s="705" t="s">
        <v>14</v>
      </c>
      <c r="W19" s="706">
        <f>J19</f>
        <v>100</v>
      </c>
      <c r="X19" s="1354"/>
      <c r="Y19" s="366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663"/>
      <c r="Q20" s="1351"/>
      <c r="R20" s="705"/>
      <c r="S20" s="706"/>
      <c r="T20" s="705"/>
      <c r="U20" s="706"/>
      <c r="V20" s="705"/>
      <c r="W20" s="706"/>
      <c r="X20" s="1354"/>
      <c r="Y20" s="3663"/>
      <c r="Z20" s="1355"/>
      <c r="AA20" s="1352"/>
      <c r="AB20" s="1352"/>
      <c r="AC20" s="1352"/>
    </row>
    <row r="21" spans="1:29" ht="82.8">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3"/>
      <c r="Q21" s="1351" t="str">
        <f t="shared" si="8"/>
        <v>环境状况</v>
      </c>
      <c r="R21" s="705" t="s">
        <v>14</v>
      </c>
      <c r="S21" s="706">
        <f>F21</f>
        <v>100</v>
      </c>
      <c r="T21" s="705" t="s">
        <v>14</v>
      </c>
      <c r="U21" s="706">
        <f>H21</f>
        <v>100</v>
      </c>
      <c r="V21" s="705" t="s">
        <v>14</v>
      </c>
      <c r="W21" s="706">
        <f>J21</f>
        <v>100</v>
      </c>
      <c r="X21" s="1354"/>
      <c r="Y21" s="366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663"/>
      <c r="Q22" s="1351"/>
      <c r="R22" s="705"/>
      <c r="S22" s="706"/>
      <c r="T22" s="705"/>
      <c r="U22" s="706"/>
      <c r="V22" s="705"/>
      <c r="W22" s="706"/>
      <c r="X22" s="1354"/>
      <c r="Y22" s="3663"/>
      <c r="Z22" s="1355"/>
      <c r="AA22" s="1352">
        <v>1</v>
      </c>
      <c r="AB22" s="1352">
        <v>1</v>
      </c>
      <c r="AC22" s="1352">
        <v>1</v>
      </c>
    </row>
    <row r="23" spans="1:29" s="108" customFormat="1" ht="41.4">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3"/>
      <c r="Q23" s="1342" t="str">
        <f t="shared" si="8"/>
        <v>公共配套设施</v>
      </c>
      <c r="R23" s="701" t="s">
        <v>14</v>
      </c>
      <c r="S23" s="702">
        <f>F23</f>
        <v>100</v>
      </c>
      <c r="T23" s="701" t="s">
        <v>14</v>
      </c>
      <c r="U23" s="702">
        <f>H23</f>
        <v>100</v>
      </c>
      <c r="V23" s="701" t="s">
        <v>14</v>
      </c>
      <c r="W23" s="702">
        <f>J23</f>
        <v>100</v>
      </c>
      <c r="X23" s="703"/>
      <c r="Y23" s="366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663"/>
      <c r="Q24" s="1342"/>
      <c r="R24" s="701"/>
      <c r="S24" s="702"/>
      <c r="T24" s="701"/>
      <c r="U24" s="702"/>
      <c r="V24" s="701"/>
      <c r="W24" s="702"/>
      <c r="X24" s="703"/>
      <c r="Y24" s="3663"/>
      <c r="Z24" s="52"/>
      <c r="AA24" s="704">
        <v>1</v>
      </c>
      <c r="AB24" s="704">
        <v>1</v>
      </c>
      <c r="AC24" s="704">
        <v>1</v>
      </c>
    </row>
    <row r="25" spans="1:29" s="108" customFormat="1" ht="41.4">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3"/>
      <c r="Q25" s="1342" t="str">
        <f t="shared" ref="Q25" si="9">B25</f>
        <v>基础设施水平</v>
      </c>
      <c r="R25" s="701" t="s">
        <v>14</v>
      </c>
      <c r="S25" s="702">
        <f>F25</f>
        <v>100</v>
      </c>
      <c r="T25" s="701" t="s">
        <v>14</v>
      </c>
      <c r="U25" s="702">
        <f>H25</f>
        <v>100</v>
      </c>
      <c r="V25" s="701" t="s">
        <v>14</v>
      </c>
      <c r="W25" s="702">
        <f>J25</f>
        <v>100</v>
      </c>
      <c r="X25" s="703"/>
      <c r="Y25" s="366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663"/>
      <c r="Q26" s="1342"/>
      <c r="R26" s="701"/>
      <c r="S26" s="702"/>
      <c r="T26" s="701"/>
      <c r="U26" s="702"/>
      <c r="V26" s="701"/>
      <c r="W26" s="702"/>
      <c r="X26" s="703"/>
      <c r="Y26" s="366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3"/>
      <c r="Z27" s="1355" t="str">
        <f t="shared" ref="Z27:Z40" si="13">Q27</f>
        <v>临街状况</v>
      </c>
      <c r="AA27" s="1352">
        <f t="shared" si="3"/>
        <v>1</v>
      </c>
      <c r="AB27" s="1352">
        <f t="shared" si="4"/>
        <v>1</v>
      </c>
      <c r="AC27" s="1352">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3"/>
      <c r="Q28" s="1351" t="str">
        <f t="shared" si="8"/>
        <v>毗邻道路的类型与等级</v>
      </c>
      <c r="R28" s="705" t="s">
        <v>14</v>
      </c>
      <c r="S28" s="706">
        <f t="shared" si="10"/>
        <v>100</v>
      </c>
      <c r="T28" s="705" t="s">
        <v>14</v>
      </c>
      <c r="U28" s="706">
        <f t="shared" si="11"/>
        <v>100</v>
      </c>
      <c r="V28" s="705" t="s">
        <v>14</v>
      </c>
      <c r="W28" s="706">
        <f t="shared" si="12"/>
        <v>100</v>
      </c>
      <c r="X28" s="1354"/>
      <c r="Y28" s="366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663"/>
      <c r="Q29" s="1351"/>
      <c r="R29" s="705"/>
      <c r="S29" s="706"/>
      <c r="T29" s="705"/>
      <c r="U29" s="706"/>
      <c r="V29" s="705"/>
      <c r="W29" s="706"/>
      <c r="X29" s="1354"/>
      <c r="Y29" s="3663"/>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3"/>
      <c r="Q30" s="1351" t="str">
        <f t="shared" si="8"/>
        <v>土地级别</v>
      </c>
      <c r="R30" s="705" t="s">
        <v>14</v>
      </c>
      <c r="S30" s="706">
        <f t="shared" si="10"/>
        <v>100</v>
      </c>
      <c r="T30" s="705" t="s">
        <v>14</v>
      </c>
      <c r="U30" s="706">
        <f t="shared" si="11"/>
        <v>100</v>
      </c>
      <c r="V30" s="705" t="s">
        <v>14</v>
      </c>
      <c r="W30" s="706">
        <f t="shared" si="12"/>
        <v>100</v>
      </c>
      <c r="X30" s="1354"/>
      <c r="Y30" s="366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3"/>
      <c r="Q31" s="1351">
        <f t="shared" si="8"/>
        <v>111</v>
      </c>
      <c r="R31" s="705" t="s">
        <v>14</v>
      </c>
      <c r="S31" s="706">
        <f t="shared" si="10"/>
        <v>100</v>
      </c>
      <c r="T31" s="705" t="s">
        <v>14</v>
      </c>
      <c r="U31" s="706">
        <f t="shared" si="11"/>
        <v>100</v>
      </c>
      <c r="V31" s="705" t="s">
        <v>14</v>
      </c>
      <c r="W31" s="706">
        <f t="shared" si="12"/>
        <v>100</v>
      </c>
      <c r="X31" s="1354"/>
      <c r="Y31" s="366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64" t="s">
        <v>1695</v>
      </c>
      <c r="Q32" s="1351">
        <f t="shared" si="8"/>
        <v>111</v>
      </c>
      <c r="R32" s="705" t="s">
        <v>14</v>
      </c>
      <c r="S32" s="706">
        <f t="shared" si="10"/>
        <v>100</v>
      </c>
      <c r="T32" s="705" t="s">
        <v>14</v>
      </c>
      <c r="U32" s="706">
        <f t="shared" si="11"/>
        <v>100</v>
      </c>
      <c r="V32" s="705" t="s">
        <v>14</v>
      </c>
      <c r="W32" s="706">
        <f t="shared" si="12"/>
        <v>100</v>
      </c>
      <c r="X32" s="1354"/>
      <c r="Y32" s="3665" t="s">
        <v>1695</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5"/>
      <c r="Q33" s="1351">
        <f t="shared" si="8"/>
        <v>111</v>
      </c>
      <c r="R33" s="708" t="s">
        <v>14</v>
      </c>
      <c r="S33" s="709">
        <f t="shared" si="10"/>
        <v>100</v>
      </c>
      <c r="T33" s="708" t="s">
        <v>14</v>
      </c>
      <c r="U33" s="709">
        <f t="shared" si="11"/>
        <v>100</v>
      </c>
      <c r="V33" s="708" t="s">
        <v>14</v>
      </c>
      <c r="W33" s="709">
        <f t="shared" si="12"/>
        <v>100</v>
      </c>
      <c r="X33" s="710"/>
      <c r="Y33" s="3665"/>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5"/>
      <c r="Q34" s="1351" t="str">
        <f>B34</f>
        <v>宗地面积</v>
      </c>
      <c r="R34" s="705" t="s">
        <v>14</v>
      </c>
      <c r="S34" s="706" t="e">
        <f t="shared" si="10"/>
        <v>#N/A</v>
      </c>
      <c r="T34" s="705" t="s">
        <v>14</v>
      </c>
      <c r="U34" s="706" t="e">
        <f t="shared" si="11"/>
        <v>#N/A</v>
      </c>
      <c r="V34" s="705" t="s">
        <v>14</v>
      </c>
      <c r="W34" s="706" t="e">
        <f t="shared" si="12"/>
        <v>#N/A</v>
      </c>
      <c r="X34" s="1354"/>
      <c r="Y34" s="3665"/>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65"/>
      <c r="Q35" s="1351" t="str">
        <f t="shared" ref="Q35:Q40" si="14">B35</f>
        <v>宗地形状</v>
      </c>
      <c r="R35" s="705" t="s">
        <v>14</v>
      </c>
      <c r="S35" s="706">
        <f t="shared" si="10"/>
        <v>100</v>
      </c>
      <c r="T35" s="705" t="s">
        <v>14</v>
      </c>
      <c r="U35" s="706">
        <f t="shared" si="11"/>
        <v>100</v>
      </c>
      <c r="V35" s="705" t="s">
        <v>14</v>
      </c>
      <c r="W35" s="706">
        <f t="shared" si="12"/>
        <v>100</v>
      </c>
      <c r="X35" s="1354"/>
      <c r="Y35" s="3665"/>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65"/>
      <c r="Q36" s="1351" t="str">
        <f t="shared" si="14"/>
        <v>宗地开发程度</v>
      </c>
      <c r="R36" s="701" t="s">
        <v>14</v>
      </c>
      <c r="S36" s="702">
        <f t="shared" si="10"/>
        <v>100</v>
      </c>
      <c r="T36" s="701" t="s">
        <v>14</v>
      </c>
      <c r="U36" s="702">
        <f t="shared" si="11"/>
        <v>100</v>
      </c>
      <c r="V36" s="701" t="s">
        <v>14</v>
      </c>
      <c r="W36" s="702">
        <f t="shared" si="12"/>
        <v>100</v>
      </c>
      <c r="X36" s="703"/>
      <c r="Y36" s="3665"/>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65" t="s">
        <v>1695</v>
      </c>
      <c r="Q37" s="1351" t="str">
        <f t="shared" si="14"/>
        <v>工程地质条件</v>
      </c>
      <c r="R37" s="705" t="s">
        <v>14</v>
      </c>
      <c r="S37" s="706">
        <f t="shared" si="10"/>
        <v>100</v>
      </c>
      <c r="T37" s="705" t="s">
        <v>14</v>
      </c>
      <c r="U37" s="706">
        <f t="shared" si="11"/>
        <v>100</v>
      </c>
      <c r="V37" s="705" t="s">
        <v>14</v>
      </c>
      <c r="W37" s="706">
        <f t="shared" si="12"/>
        <v>100</v>
      </c>
      <c r="X37" s="1354"/>
      <c r="Y37" s="3665"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5"/>
      <c r="Q38" s="1351">
        <f t="shared" si="14"/>
        <v>111</v>
      </c>
      <c r="R38" s="705" t="s">
        <v>14</v>
      </c>
      <c r="S38" s="706">
        <f t="shared" si="10"/>
        <v>100</v>
      </c>
      <c r="T38" s="705" t="s">
        <v>14</v>
      </c>
      <c r="U38" s="706">
        <f t="shared" si="11"/>
        <v>100</v>
      </c>
      <c r="V38" s="705" t="s">
        <v>14</v>
      </c>
      <c r="W38" s="706">
        <f t="shared" si="12"/>
        <v>100</v>
      </c>
      <c r="X38" s="1354"/>
      <c r="Y38" s="366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5"/>
      <c r="Q39" s="1351">
        <f t="shared" si="14"/>
        <v>111</v>
      </c>
      <c r="R39" s="705" t="s">
        <v>14</v>
      </c>
      <c r="S39" s="706">
        <f t="shared" si="10"/>
        <v>100</v>
      </c>
      <c r="T39" s="705" t="s">
        <v>14</v>
      </c>
      <c r="U39" s="706">
        <f t="shared" si="11"/>
        <v>100</v>
      </c>
      <c r="V39" s="705" t="s">
        <v>14</v>
      </c>
      <c r="W39" s="706">
        <f t="shared" si="12"/>
        <v>100</v>
      </c>
      <c r="X39" s="1354"/>
      <c r="Y39" s="3665"/>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5"/>
      <c r="Q40" s="1351">
        <f t="shared" si="14"/>
        <v>111</v>
      </c>
      <c r="R40" s="708" t="s">
        <v>14</v>
      </c>
      <c r="S40" s="709">
        <f t="shared" si="10"/>
        <v>100</v>
      </c>
      <c r="T40" s="708" t="s">
        <v>14</v>
      </c>
      <c r="U40" s="709">
        <f t="shared" si="11"/>
        <v>100</v>
      </c>
      <c r="V40" s="708" t="s">
        <v>14</v>
      </c>
      <c r="W40" s="709">
        <f t="shared" si="12"/>
        <v>100</v>
      </c>
      <c r="X40" s="710"/>
      <c r="Y40" s="3665"/>
      <c r="Z40" s="711">
        <f t="shared" si="13"/>
        <v>111</v>
      </c>
      <c r="AA40" s="1352">
        <f t="shared" si="3"/>
        <v>1</v>
      </c>
      <c r="AB40" s="1352">
        <f t="shared" si="4"/>
        <v>1</v>
      </c>
      <c r="AC40" s="1352">
        <f t="shared" si="5"/>
        <v>1</v>
      </c>
    </row>
    <row r="41" spans="1:31" ht="14.4">
      <c r="A41" s="430" t="s">
        <v>1843</v>
      </c>
      <c r="B41" s="1981" t="s">
        <v>1921</v>
      </c>
      <c r="C41" s="630" t="s">
        <v>0</v>
      </c>
      <c r="D41" s="432"/>
      <c r="E41" s="433"/>
      <c r="F41" s="434"/>
      <c r="G41" s="435"/>
      <c r="H41" s="436"/>
      <c r="I41" s="433"/>
      <c r="J41" s="436"/>
      <c r="K41" s="714"/>
      <c r="L41" s="2722"/>
      <c r="M41" s="2714"/>
      <c r="N41" s="2714"/>
      <c r="O41" s="2723"/>
      <c r="P41" s="3661" t="str">
        <f>A41</f>
        <v>成交单价</v>
      </c>
      <c r="Q41" s="3661"/>
      <c r="R41" s="3666">
        <f>E41</f>
        <v>0</v>
      </c>
      <c r="S41" s="3666"/>
      <c r="T41" s="3666">
        <f>G41</f>
        <v>0</v>
      </c>
      <c r="U41" s="3666"/>
      <c r="V41" s="3666">
        <f>I41</f>
        <v>0</v>
      </c>
      <c r="W41" s="3666"/>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661" t="str">
        <f>A42</f>
        <v>比较价值（元/平方米）</v>
      </c>
      <c r="Q42" s="3661"/>
      <c r="R42" s="3654" t="e">
        <f>ROUND(PRODUCT(R41,AA7:AA40),0)</f>
        <v>#DIV/0!</v>
      </c>
      <c r="S42" s="3654"/>
      <c r="T42" s="3654" t="e">
        <f>ROUND(PRODUCT(T41,AB7:AB40),0)</f>
        <v>#DIV/0!</v>
      </c>
      <c r="U42" s="3654"/>
      <c r="V42" s="3654" t="e">
        <f>ROUND(PRODUCT(V41,AC7:AC40),0)</f>
        <v>#DIV/0!</v>
      </c>
      <c r="W42" s="3654"/>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2"/>
      <c r="M43" s="2714"/>
      <c r="N43" s="2714"/>
      <c r="O43" s="2723"/>
      <c r="P43" s="3655" t="str">
        <f>A43</f>
        <v>估价对象XX用房的比较价值（楼面单价，元/平方米）</v>
      </c>
      <c r="Q43" s="3656"/>
      <c r="R43" s="3657" t="e">
        <f>ROUND(IF(D42="简单平均",AVERAGE(R42:W42),R42*F42+T42*H42+V42*J42),0)</f>
        <v>#DIV/0!</v>
      </c>
      <c r="S43" s="3657"/>
      <c r="T43" s="3657"/>
      <c r="U43" s="3657"/>
      <c r="V43" s="3657"/>
      <c r="W43" s="365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1880</v>
      </c>
      <c r="B50" s="633" t="s">
        <v>1881</v>
      </c>
      <c r="C50" s="1982" t="s">
        <v>1882</v>
      </c>
      <c r="D50" s="1983" t="s">
        <v>1883</v>
      </c>
      <c r="E50" s="634" t="s">
        <v>1884</v>
      </c>
      <c r="F50" s="635" t="s">
        <v>1885</v>
      </c>
      <c r="G50" s="3658" t="s">
        <v>1886</v>
      </c>
      <c r="H50" s="3659"/>
      <c r="I50" s="1355" t="s">
        <v>1922</v>
      </c>
      <c r="J50" s="1355">
        <f>项目基本情况!F35</f>
        <v>0</v>
      </c>
      <c r="K50" s="1985"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95690.32</v>
      </c>
      <c r="F51" s="639" t="e">
        <f t="shared" ref="F51:F60" si="15">ROUND(B51*E51/10000,0)</f>
        <v>#DIV/0!</v>
      </c>
      <c r="G51" s="3660"/>
      <c r="H51" s="366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0.6</v>
      </c>
      <c r="D52" s="945">
        <v>0.25</v>
      </c>
      <c r="E52" s="642"/>
      <c r="F52" s="639" t="e">
        <f t="shared" si="15"/>
        <v>#DIV/0!</v>
      </c>
      <c r="G52" s="3004" t="s">
        <v>1891</v>
      </c>
      <c r="H52" s="887" t="str">
        <f>项目基本情况!B37</f>
        <v>七级</v>
      </c>
      <c r="I52" s="773">
        <f>SUMIF(修正!A57:A68,H52,修正!B57:B68)</f>
        <v>0.6</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0.3</v>
      </c>
      <c r="D53" s="945">
        <v>0.25</v>
      </c>
      <c r="E53" s="642"/>
      <c r="F53" s="639" t="e">
        <f t="shared" si="15"/>
        <v>#DIV/0!</v>
      </c>
      <c r="G53" s="3005"/>
      <c r="H53" s="887" t="str">
        <f>项目基本情况!B37</f>
        <v>七级</v>
      </c>
      <c r="I53" s="773">
        <f>SUMIF(修正!A57:A68,H53,修正!C57:C68)</f>
        <v>0.3</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0.25</v>
      </c>
      <c r="D54" s="945">
        <v>0.25</v>
      </c>
      <c r="E54" s="642"/>
      <c r="F54" s="639" t="e">
        <f t="shared" si="15"/>
        <v>#DIV/0!</v>
      </c>
      <c r="G54" s="3005"/>
      <c r="H54" s="887" t="str">
        <f>项目基本情况!B37</f>
        <v>七级</v>
      </c>
      <c r="I54" s="773">
        <f>SUMIF(修正!A57:A68,H54,修正!D57:D68)</f>
        <v>0.25</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0.25</v>
      </c>
      <c r="D56" s="945">
        <v>0.25</v>
      </c>
      <c r="E56" s="217">
        <f>'数据-汇总表'!E11</f>
        <v>0</v>
      </c>
      <c r="F56" s="639" t="e">
        <f t="shared" si="15"/>
        <v>#DIV/0!</v>
      </c>
      <c r="G56" s="1986" t="s">
        <v>1895</v>
      </c>
      <c r="H56" s="887" t="str">
        <f>项目基本情况!C37</f>
        <v>七级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24830.799999999999</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0.15</v>
      </c>
      <c r="D59" s="945">
        <v>0.25</v>
      </c>
      <c r="E59" s="217">
        <f>'数据-汇总表'!E14</f>
        <v>0</v>
      </c>
      <c r="F59" s="639" t="e">
        <f t="shared" si="15"/>
        <v>#DIV/0!</v>
      </c>
      <c r="G59" s="1986" t="s">
        <v>1891</v>
      </c>
      <c r="H59" s="887" t="str">
        <f>项目基本情况!B37</f>
        <v>七级</v>
      </c>
      <c r="I59" s="773">
        <f>SUMIF(修正!A57:A68,H59,修正!G57:G68)</f>
        <v>0.15</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1901</v>
      </c>
      <c r="B60" s="218" t="e">
        <f t="shared" si="17"/>
        <v>#DIV/0!</v>
      </c>
      <c r="C60" s="171">
        <f t="shared" si="16"/>
        <v>0.15</v>
      </c>
      <c r="D60" s="945">
        <v>0.25</v>
      </c>
      <c r="E60" s="217">
        <f>'数据-汇总表'!E15</f>
        <v>0</v>
      </c>
      <c r="F60" s="639" t="e">
        <f t="shared" si="15"/>
        <v>#DIV/0!</v>
      </c>
      <c r="G60" s="1987" t="s">
        <v>1895</v>
      </c>
      <c r="H60" s="897" t="str">
        <f>项目基本情况!C37</f>
        <v>七级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1902</v>
      </c>
      <c r="B61" s="644" t="s">
        <v>22</v>
      </c>
      <c r="C61" s="644" t="s">
        <v>23</v>
      </c>
      <c r="D61" s="644" t="s">
        <v>392</v>
      </c>
      <c r="E61" s="644">
        <f>IF(B41="楼面地价",SUM(E51:E60),'数据-汇总表'!D3)</f>
        <v>37315.089999999997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3"/>
      <c r="Q63" s="2723"/>
      <c r="R63" s="2723"/>
      <c r="S63" s="2723"/>
      <c r="T63" s="2723"/>
      <c r="U63" s="2723"/>
      <c r="V63" s="2723"/>
      <c r="W63" s="2723"/>
      <c r="X63" s="2723"/>
      <c r="Y63" s="2723"/>
      <c r="Z63" s="2723"/>
      <c r="AA63" s="2723"/>
      <c r="AB63" s="2723"/>
      <c r="AC63" s="2723"/>
      <c r="AD63" s="2723"/>
      <c r="AE63" s="2723"/>
    </row>
    <row r="64" spans="1:31" ht="22.2"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1903</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1923</v>
      </c>
      <c r="B66" s="288" t="str">
        <f>"北京市平均增长率"&amp;TEXT(基准地价修正!P28,"0.00%")</f>
        <v>北京市平均增长率1.10%</v>
      </c>
      <c r="C66" s="552">
        <v>100</v>
      </c>
      <c r="D66" s="544"/>
      <c r="E66" s="544"/>
      <c r="F66" s="544"/>
      <c r="G66" s="544"/>
      <c r="H66" s="544"/>
      <c r="I66" s="544"/>
      <c r="J66" s="544"/>
      <c r="K66" s="544"/>
      <c r="L66" s="544"/>
      <c r="M66" s="1178"/>
      <c r="N66" s="1178"/>
      <c r="O66" s="1179"/>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9" t="s">
        <v>2083</v>
      </c>
      <c r="D1" s="3760"/>
      <c r="E1" s="3760"/>
      <c r="F1" s="3760"/>
      <c r="G1" s="3760"/>
      <c r="H1" s="3760"/>
      <c r="I1" s="3760"/>
      <c r="J1" s="3760"/>
      <c r="K1" s="3760"/>
      <c r="L1" s="3760"/>
      <c r="M1" s="3760"/>
      <c r="N1" s="3760"/>
      <c r="O1" s="3760"/>
      <c r="P1" s="3760"/>
      <c r="Q1" s="3760"/>
      <c r="R1" s="3760"/>
      <c r="S1" s="376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91"/>
      <c r="G1" s="2791"/>
      <c r="H1" s="2791"/>
      <c r="I1" s="2791"/>
      <c r="J1" s="2791"/>
      <c r="K1" s="2791"/>
      <c r="L1" s="2791"/>
      <c r="M1" s="2791"/>
      <c r="N1" s="2791"/>
      <c r="O1" s="2791"/>
      <c r="P1" s="2791"/>
    </row>
    <row r="2" spans="1:16" ht="15.6">
      <c r="A2" s="2144" t="s">
        <v>2072</v>
      </c>
      <c r="B2" s="2600" t="e">
        <f ca="1">SUMIF(B6:B13,"&lt;&gt;#ref!",B6:B13)</f>
        <v>#DIV/0!</v>
      </c>
      <c r="C2" s="2144" t="s">
        <v>2073</v>
      </c>
      <c r="D2" s="2144" t="s">
        <v>2074</v>
      </c>
      <c r="E2" s="2610">
        <f ca="1">SUMIF(E6:E13,"&lt;&gt;#ref!",E6:E13)</f>
        <v>0</v>
      </c>
      <c r="F2" s="2791"/>
      <c r="G2" s="2791"/>
      <c r="H2" s="2791"/>
      <c r="I2" s="2791"/>
      <c r="J2" s="2791"/>
      <c r="K2" s="2791"/>
      <c r="L2" s="2791"/>
      <c r="M2" s="2791"/>
      <c r="N2" s="2791"/>
      <c r="O2" s="2791"/>
      <c r="P2" s="2791"/>
    </row>
    <row r="3" spans="1:16" ht="15.6">
      <c r="A3" s="2144" t="s">
        <v>2075</v>
      </c>
      <c r="B3" s="2600" t="e">
        <f ca="1">ROUND(B2*10000/E2,0)</f>
        <v>#DIV/0!</v>
      </c>
      <c r="C3" s="2144" t="s">
        <v>2081</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2076</v>
      </c>
      <c r="B5" s="2608" t="s">
        <v>2077</v>
      </c>
      <c r="C5" s="2145"/>
      <c r="D5" s="2791"/>
      <c r="E5" s="2609" t="s">
        <v>2078</v>
      </c>
      <c r="F5" s="2791"/>
      <c r="G5" s="2791"/>
      <c r="H5" s="2791"/>
      <c r="I5" s="2791"/>
      <c r="J5" s="2791"/>
      <c r="K5" s="2791"/>
      <c r="L5" s="2791"/>
      <c r="M5" s="2791"/>
      <c r="N5" s="2791"/>
      <c r="O5" s="2791"/>
      <c r="P5" s="2791"/>
    </row>
    <row r="6" spans="1:16" ht="15.6">
      <c r="A6" s="2607" t="s">
        <v>2079</v>
      </c>
      <c r="B6" s="2600" t="e">
        <f ca="1">SUMIF(INDIRECT("'"&amp;A6&amp;"'"&amp;"!A:A"),"总价",INDIRECT("'"&amp;A6&amp;"'"&amp;"!B:B"))</f>
        <v>#DIV/0!</v>
      </c>
      <c r="C6" s="2144" t="s">
        <v>2073</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2073</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2073</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2073</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2073</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2073</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3.2"/>
  <cols>
    <col min="1" max="1" width="9.77734375" style="2052" customWidth="1"/>
    <col min="2" max="2" width="22.554687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1" t="s">
        <v>1933</v>
      </c>
      <c r="B2" s="204" t="e">
        <f>C30</f>
        <v>#DIV/0!</v>
      </c>
      <c r="C2" s="1998" t="s">
        <v>1934</v>
      </c>
      <c r="D2" s="1999" t="s">
        <v>1935</v>
      </c>
      <c r="E2" s="3422"/>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1">
        <f>ROUND(SUMPRODUCT((B106:B110=R2)*(C105:N105=G2)*(C106:N110)),4)</f>
        <v>0</v>
      </c>
      <c r="T2" s="3361" t="e">
        <f t="shared" ref="T2:T16" si="0">ROUND($C$5*$C$22*$C$23*$C$24*S2*$C$28,0)</f>
        <v>#DIV/0!</v>
      </c>
      <c r="U2" s="1212"/>
      <c r="V2" s="3361" t="e">
        <f>ROUND(T2*U2/10000,0)</f>
        <v>#DIV/0!</v>
      </c>
      <c r="W2" s="1215"/>
      <c r="X2" s="1215"/>
      <c r="Y2" s="1215"/>
      <c r="Z2" s="1215"/>
      <c r="AA2" s="1215"/>
      <c r="AB2" s="1215"/>
      <c r="AC2" s="1216"/>
      <c r="AD2" s="1217"/>
      <c r="AE2" s="1217"/>
      <c r="AF2" s="1217"/>
      <c r="AG2" s="1217"/>
      <c r="AH2" s="1217"/>
      <c r="AI2" s="1217"/>
      <c r="AJ2" s="1218"/>
    </row>
    <row r="3" spans="1:36" ht="15.6">
      <c r="A3" s="203" t="s">
        <v>1939</v>
      </c>
      <c r="B3" s="204" t="e">
        <f>ROUND(B2*10000/D1,0)</f>
        <v>#DIV/0!</v>
      </c>
      <c r="C3" s="1998" t="s">
        <v>1940</v>
      </c>
      <c r="D3" s="1999" t="s">
        <v>1941</v>
      </c>
      <c r="E3" s="3420"/>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1">
        <f>ROUND(SUMPRODUCT((B106:B110=R3)*(C105:N105=G2)*(C106:N110)),4)</f>
        <v>0</v>
      </c>
      <c r="T3" s="3361" t="e">
        <f t="shared" si="0"/>
        <v>#DIV/0!</v>
      </c>
      <c r="U3" s="1212"/>
      <c r="V3" s="3361" t="e">
        <f t="shared" ref="V3:V16" si="1">ROUND(T3*U3/10000,0)</f>
        <v>#DIV/0!</v>
      </c>
      <c r="W3" s="1215"/>
      <c r="X3" s="1215"/>
      <c r="Y3" s="1215"/>
      <c r="Z3" s="1215"/>
      <c r="AA3" s="1215"/>
      <c r="AB3" s="1215"/>
      <c r="AC3" s="1216"/>
      <c r="AD3" s="1217"/>
      <c r="AE3" s="1217"/>
      <c r="AF3" s="1217"/>
      <c r="AG3" s="1217"/>
      <c r="AH3" s="1217"/>
      <c r="AI3" s="1217"/>
      <c r="AJ3" s="1218"/>
    </row>
    <row r="4" spans="1:36" ht="15.6">
      <c r="A4" s="3769"/>
      <c r="B4" s="3770"/>
      <c r="C4" s="3770"/>
      <c r="D4" s="3771"/>
      <c r="E4" s="3771"/>
      <c r="F4" s="3771"/>
      <c r="G4" s="3771"/>
      <c r="H4" s="3771"/>
      <c r="I4" s="3771"/>
      <c r="J4" s="3772"/>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1">
        <f>ROUND(SUMPRODUCT((B106:B110=R4)*(C105:N105=G2)*(C106:N110)),4)</f>
        <v>0</v>
      </c>
      <c r="T4" s="3361" t="e">
        <f t="shared" si="0"/>
        <v>#DIV/0!</v>
      </c>
      <c r="U4" s="1212"/>
      <c r="V4" s="3361" t="e">
        <f t="shared" si="1"/>
        <v>#DIV/0!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3" t="e">
        <f>ROUND(IF(E2="商业",C6*C7*C17+C20,(IF(E2="住宅",C6*C13*C17+C20,IF(E2="办公",C6*C12*C17+C20,C6+C20)))),0)</f>
        <v>#DIV/0!</v>
      </c>
      <c r="D5" s="1338" t="e">
        <f>ROUND(C6*C17+C20,0)</f>
        <v>#DIV/0!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1">
        <f>ROUND(SUMPRODUCT((B106:B110=R5)*(C105:N105=G2)*(C106:N110)),4)</f>
        <v>0</v>
      </c>
      <c r="T5" s="3361" t="e">
        <f t="shared" si="0"/>
        <v>#DIV/0!</v>
      </c>
      <c r="U5" s="1212"/>
      <c r="V5" s="3361" t="e">
        <f t="shared" si="1"/>
        <v>#DIV/0!</v>
      </c>
      <c r="W5" s="1215"/>
      <c r="X5" s="1215"/>
      <c r="Y5" s="1215"/>
      <c r="Z5" s="1215"/>
      <c r="AA5" s="1215"/>
      <c r="AB5" s="1215"/>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1">
        <f>ROUND(SUMPRODUCT((B106:B110=R6)*(C105:N105=G2)*(C106:N110)),4)</f>
        <v>0</v>
      </c>
      <c r="T6" s="3361" t="e">
        <f t="shared" si="0"/>
        <v>#DIV/0!</v>
      </c>
      <c r="U6" s="1212"/>
      <c r="V6" s="3361" t="e">
        <f t="shared" si="1"/>
        <v>#DIV/0!</v>
      </c>
      <c r="W6" s="1215"/>
      <c r="X6" s="1215"/>
      <c r="Y6" s="1215"/>
      <c r="Z6" s="1215"/>
      <c r="AA6" s="1215"/>
      <c r="AB6" s="1215"/>
      <c r="AC6" s="2010"/>
      <c r="AD6" s="2011"/>
      <c r="AE6" s="2011"/>
      <c r="AF6" s="2011"/>
      <c r="AG6" s="2011"/>
      <c r="AH6" s="2011"/>
      <c r="AI6" s="2011"/>
      <c r="AJ6" s="2012"/>
    </row>
    <row r="7" spans="1:36" ht="24.6" thickBot="1">
      <c r="A7" s="3303" t="s">
        <v>3244</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9"/>
      <c r="T7" s="3361" t="e">
        <f t="shared" si="0"/>
        <v>#DIV/0!</v>
      </c>
      <c r="U7" s="1212"/>
      <c r="V7" s="3361"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1" t="e">
        <f t="shared" si="0"/>
        <v>#DIV/0!</v>
      </c>
      <c r="U8" s="1212"/>
      <c r="V8" s="3361" t="e">
        <f t="shared" si="1"/>
        <v>#DIV/0!</v>
      </c>
      <c r="W8" s="3766" t="s">
        <v>1959</v>
      </c>
      <c r="X8" s="3767"/>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1" t="e">
        <f t="shared" si="0"/>
        <v>#DIV/0!</v>
      </c>
      <c r="U9" s="1212"/>
      <c r="V9" s="3361" t="e">
        <f t="shared" si="1"/>
        <v>#DIV/0!</v>
      </c>
      <c r="W9" s="3768"/>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1" t="e">
        <f t="shared" si="0"/>
        <v>#DIV/0!</v>
      </c>
      <c r="U10" s="1212"/>
      <c r="V10" s="3361" t="e">
        <f t="shared" si="1"/>
        <v>#DIV/0!</v>
      </c>
      <c r="W10" s="376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1" t="e">
        <f t="shared" si="0"/>
        <v>#DIV/0!</v>
      </c>
      <c r="U11" s="1212"/>
      <c r="V11" s="3361" t="e">
        <f t="shared" si="1"/>
        <v>#DIV/0!</v>
      </c>
      <c r="W11" s="1215"/>
      <c r="X11" s="1215"/>
      <c r="Y11" s="1215"/>
      <c r="Z11" s="1215"/>
      <c r="AA11" s="1215"/>
      <c r="AB11" s="1215"/>
      <c r="AC11" s="1216"/>
      <c r="AD11" s="2787"/>
      <c r="AE11" s="2787"/>
      <c r="AF11" s="2787"/>
      <c r="AG11" s="2787"/>
      <c r="AH11" s="2787"/>
      <c r="AI11" s="2787"/>
      <c r="AJ11" s="2788"/>
    </row>
    <row r="12" spans="1:36" ht="25.8" thickBot="1">
      <c r="A12" s="3303" t="s">
        <v>3245</v>
      </c>
      <c r="B12" s="3304" t="s">
        <v>3246</v>
      </c>
      <c r="C12" s="3305"/>
      <c r="D12" s="3306" t="s">
        <v>3247</v>
      </c>
      <c r="E12" s="3307" t="s">
        <v>3248</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1" t="e">
        <f t="shared" si="0"/>
        <v>#DIV/0!</v>
      </c>
      <c r="U12" s="1212"/>
      <c r="V12" s="3361" t="e">
        <f t="shared" si="1"/>
        <v>#DIV/0!</v>
      </c>
      <c r="W12" s="1215"/>
      <c r="X12" s="1215"/>
      <c r="Y12" s="1215"/>
      <c r="Z12" s="1215"/>
      <c r="AA12" s="1215"/>
      <c r="AB12" s="1215"/>
      <c r="AC12" s="1216"/>
      <c r="AD12" s="2787"/>
      <c r="AE12" s="2787"/>
      <c r="AF12" s="2787"/>
      <c r="AG12" s="2787"/>
      <c r="AH12" s="2787"/>
      <c r="AI12" s="2787"/>
      <c r="AJ12" s="2788"/>
    </row>
    <row r="13" spans="1:36" ht="24.6" thickBot="1">
      <c r="A13" s="3303" t="s">
        <v>3249</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1" t="e">
        <f t="shared" si="0"/>
        <v>#DIV/0!</v>
      </c>
      <c r="U13" s="1212"/>
      <c r="V13" s="3361" t="e">
        <f t="shared" si="1"/>
        <v>#DIV/0!</v>
      </c>
      <c r="W13" s="1215"/>
      <c r="X13" s="1215"/>
      <c r="Y13" s="1215"/>
      <c r="Z13" s="1215"/>
      <c r="AA13" s="1215"/>
      <c r="AB13" s="1215"/>
      <c r="AC13" s="1216"/>
      <c r="AD13" s="2787"/>
      <c r="AE13" s="2787"/>
      <c r="AF13" s="2787"/>
      <c r="AG13" s="2787"/>
      <c r="AH13" s="2787"/>
      <c r="AI13" s="2787"/>
      <c r="AJ13" s="2788"/>
    </row>
    <row r="14" spans="1:36" ht="24">
      <c r="A14" s="3297"/>
      <c r="B14" s="2039" t="s">
        <v>1984</v>
      </c>
      <c r="C14" s="2040" t="s">
        <v>1985</v>
      </c>
      <c r="D14" s="1349" t="s">
        <v>1986</v>
      </c>
      <c r="E14" s="27" t="s">
        <v>1987</v>
      </c>
      <c r="F14" s="3311" t="s">
        <v>3250</v>
      </c>
      <c r="G14" s="3311" t="s">
        <v>3250</v>
      </c>
      <c r="H14" s="3311" t="s">
        <v>3250</v>
      </c>
      <c r="I14" s="3311" t="s">
        <v>3250</v>
      </c>
      <c r="J14" s="3311" t="s">
        <v>3250</v>
      </c>
      <c r="K14" s="1119"/>
      <c r="L14" s="1119"/>
      <c r="M14" s="1119"/>
      <c r="N14" s="1119"/>
      <c r="O14" s="1119"/>
      <c r="P14" s="1119"/>
      <c r="Q14" s="1119"/>
      <c r="R14" s="1211">
        <v>13</v>
      </c>
      <c r="S14" s="1212"/>
      <c r="T14" s="3361" t="e">
        <f t="shared" si="0"/>
        <v>#DIV/0!</v>
      </c>
      <c r="U14" s="1212"/>
      <c r="V14" s="3361" t="e">
        <f t="shared" si="1"/>
        <v>#DIV/0!</v>
      </c>
      <c r="W14" s="1215"/>
      <c r="X14" s="1215"/>
      <c r="Y14" s="1215"/>
      <c r="Z14" s="1215"/>
      <c r="AA14" s="1215"/>
      <c r="AB14" s="1215"/>
      <c r="AC14" s="1216"/>
      <c r="AD14" s="2787"/>
      <c r="AE14" s="2787"/>
      <c r="AF14" s="2787"/>
      <c r="AG14" s="2787"/>
      <c r="AH14" s="2787"/>
      <c r="AI14" s="2787"/>
      <c r="AJ14" s="2788"/>
    </row>
    <row r="15" spans="1:36" ht="15">
      <c r="A15" s="3297"/>
      <c r="B15" s="2041"/>
      <c r="C15" s="2042"/>
      <c r="D15" s="2043"/>
      <c r="E15" s="2044"/>
      <c r="F15" s="3312" t="s">
        <v>3251</v>
      </c>
      <c r="G15" s="3313"/>
      <c r="H15" s="3314"/>
      <c r="I15" s="3315"/>
      <c r="J15" s="3316"/>
      <c r="K15" s="1119"/>
      <c r="L15" s="1119"/>
      <c r="M15" s="1119"/>
      <c r="N15" s="1119"/>
      <c r="O15" s="1119"/>
      <c r="P15" s="1119"/>
      <c r="Q15" s="1119"/>
      <c r="R15" s="1211">
        <v>14</v>
      </c>
      <c r="S15" s="1212"/>
      <c r="T15" s="3361" t="e">
        <f t="shared" si="0"/>
        <v>#DIV/0!</v>
      </c>
      <c r="U15" s="1212"/>
      <c r="V15" s="3361" t="e">
        <f t="shared" si="1"/>
        <v>#DIV/0!</v>
      </c>
      <c r="W15" s="1215"/>
      <c r="X15" s="1215"/>
      <c r="Y15" s="1215"/>
      <c r="Z15" s="1215"/>
      <c r="AA15" s="1215"/>
      <c r="AB15" s="1215"/>
      <c r="AC15" s="1216"/>
      <c r="AD15" s="2787"/>
      <c r="AE15" s="2787"/>
      <c r="AF15" s="2787"/>
      <c r="AG15" s="2787"/>
      <c r="AH15" s="2787"/>
      <c r="AI15" s="2787"/>
      <c r="AJ15" s="2788"/>
    </row>
    <row r="16" spans="1:36" ht="15.6"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1" t="e">
        <f t="shared" si="0"/>
        <v>#DIV/0!</v>
      </c>
      <c r="U16" s="1212"/>
      <c r="V16" s="3361" t="e">
        <f t="shared" si="1"/>
        <v>#DIV/0!</v>
      </c>
      <c r="W16" s="1215"/>
      <c r="X16" s="1215"/>
      <c r="Y16" s="1215"/>
      <c r="Z16" s="1215"/>
      <c r="AA16" s="1215"/>
      <c r="AB16" s="1215"/>
      <c r="AC16" s="1216"/>
      <c r="AD16" s="2787"/>
      <c r="AE16" s="2787"/>
      <c r="AF16" s="2787"/>
      <c r="AG16" s="2787"/>
      <c r="AH16" s="2787"/>
      <c r="AI16" s="2787"/>
      <c r="AJ16" s="2788"/>
    </row>
    <row r="17" spans="1:37" ht="24">
      <c r="A17" s="3329" t="s">
        <v>3252</v>
      </c>
      <c r="B17" s="3320" t="s">
        <v>3253</v>
      </c>
      <c r="C17" s="3330">
        <f>ROUND(IF(OR(E2="工业",E2="公共服务"),1,IF(AND(E18=0,E19=0),1,IF(AND(E18=J24,E19=G19),0.8,IF(E19=0,1+E17*(-0.2),1+E17*G17*(-0.2))))),4)</f>
        <v>1</v>
      </c>
      <c r="D17" s="3321" t="s">
        <v>3254</v>
      </c>
      <c r="E17" s="3330" t="e">
        <f>ROUND(G18/I18,2)</f>
        <v>#DIV/0!</v>
      </c>
      <c r="F17" s="3321" t="s">
        <v>3257</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8"/>
      <c r="C18" s="3327"/>
      <c r="D18" s="3322" t="s">
        <v>3255</v>
      </c>
      <c r="E18" s="3328"/>
      <c r="F18" s="3323" t="s">
        <v>3258</v>
      </c>
      <c r="G18" s="3327">
        <f>ROUND(1-(1/(POWER(1+G24,E18))),4)</f>
        <v>0</v>
      </c>
      <c r="H18" s="3323" t="s">
        <v>3260</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4"/>
      <c r="B19" s="3335"/>
      <c r="C19" s="3336"/>
      <c r="D19" s="3336" t="s">
        <v>3256</v>
      </c>
      <c r="E19" s="3337"/>
      <c r="F19" s="3338" t="s">
        <v>3259</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773" t="s">
        <v>3261</v>
      </c>
      <c r="B20" s="167" t="s">
        <v>1993</v>
      </c>
      <c r="C20" s="3324" t="e">
        <f>ROUND(IF(F21="与级别开发程度一致",0,(G21-E21)/C21),0)</f>
        <v>#DIV/0!</v>
      </c>
      <c r="D20" s="3340" t="s">
        <v>1997</v>
      </c>
      <c r="E20" s="3341"/>
      <c r="F20" s="3779" t="s">
        <v>1994</v>
      </c>
      <c r="G20" s="3780"/>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774"/>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1999</v>
      </c>
      <c r="C22" s="2159">
        <f>SUMIF(修正!C20:C51,E3,修正!E20:E51)</f>
        <v>0</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2001</v>
      </c>
      <c r="E23" s="761">
        <v>44197</v>
      </c>
      <c r="F23" s="2053" t="s">
        <v>2002</v>
      </c>
      <c r="G23" s="762">
        <f>'数据-取费表'!B2</f>
        <v>44917</v>
      </c>
      <c r="H23" s="3342" t="s">
        <v>3263</v>
      </c>
      <c r="I23" s="3343" t="str">
        <f>IF(H23="季度增幅（自定义）",SUMIF(N25:N28,E2,O25:O28),"")</f>
        <v/>
      </c>
      <c r="J23" s="3344" t="s">
        <v>3262</v>
      </c>
      <c r="K23" s="1125"/>
      <c r="L23" s="2054" t="s">
        <v>2003</v>
      </c>
      <c r="M23" s="1327">
        <f>ROUND(SUMIF(地价!B2:G2,E2,地价!B16:G16),0)</f>
        <v>0</v>
      </c>
      <c r="N23" s="2055" t="s">
        <v>2004</v>
      </c>
      <c r="O23" s="763">
        <f>ROUNDDOWN(DATEDIF(E23,G23,"M")/3,0)</f>
        <v>7</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4">
        <f>存贷款利率!E22/100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8">
        <f>ROUND(SUMPRODUCT((地价!A4:A16=YEAR(G23)&amp;"-"&amp;ROUNDUP(MONTH(G23)/3,0))*(地价!B2:G2=E2)*(地价!B4:G16)),0)</f>
        <v>2022</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3342</v>
      </c>
      <c r="C25" s="771">
        <f>IF(B25="容积率修正",IF(G3&lt;10,D26,J26),C27)</f>
        <v>0</v>
      </c>
      <c r="D25" s="2066"/>
      <c r="E25" s="2066"/>
      <c r="F25" s="2066"/>
      <c r="G25" s="2066"/>
      <c r="H25" s="2066"/>
      <c r="I25" s="2066"/>
      <c r="J25" s="2067"/>
      <c r="K25" s="1125"/>
      <c r="L25" s="2786"/>
      <c r="M25" s="2786"/>
      <c r="N25" s="2068" t="s">
        <v>2012</v>
      </c>
      <c r="O25" s="1173"/>
      <c r="P25" s="1174">
        <f>SUMPRODUCT((地价!A3:A40=YEAR(G23)&amp;"-"&amp;ROUNDUP(MONTH(G23)/3,0))*(地价!AD2:AH2=N25)*(地价!AD3:AH40))</f>
        <v>9.7000000000000003E-3</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5" t="s">
        <v>3264</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6"/>
      <c r="M26" s="2786"/>
      <c r="N26" s="2068" t="s">
        <v>2015</v>
      </c>
      <c r="O26" s="1173"/>
      <c r="P26" s="1174">
        <f>SUMPRODUCT((地价!A3:A40=YEAR(G23)&amp;"-"&amp;ROUNDUP(MONTH(G23)/3,0))*(地价!AD2:AH2=N26)*(地价!AD3:AH40))</f>
        <v>9.7000000000000003E-3</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1.66E-2</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6"/>
      <c r="M28" s="2786"/>
      <c r="N28" s="2078" t="s">
        <v>2020</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3" t="s">
        <v>2022</v>
      </c>
      <c r="O29" s="2784"/>
      <c r="P29" s="2785">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51" t="s">
        <v>1935</v>
      </c>
      <c r="M30" s="3352" t="s">
        <v>1989</v>
      </c>
      <c r="N30" s="3352" t="s">
        <v>1990</v>
      </c>
      <c r="O30" s="3352" t="s">
        <v>1991</v>
      </c>
      <c r="P30" s="3352" t="s">
        <v>1992</v>
      </c>
      <c r="Q30" s="3355" t="s">
        <v>3269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3" t="s">
        <v>1995</v>
      </c>
      <c r="M31" s="1999">
        <v>0.25</v>
      </c>
      <c r="N31" s="1999">
        <v>0.2</v>
      </c>
      <c r="O31" s="1999">
        <v>0.15</v>
      </c>
      <c r="P31" s="1999">
        <v>0.1</v>
      </c>
      <c r="Q31" s="3348">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4" t="s">
        <v>1998</v>
      </c>
      <c r="M32" s="2568">
        <f>ROUND($E$24*(1+M31),3)</f>
        <v>5.3999999999999999E-2</v>
      </c>
      <c r="N32" s="2568">
        <f>ROUND($E$24*(1+N31),3)</f>
        <v>5.1999999999999998E-2</v>
      </c>
      <c r="O32" s="2568">
        <f>ROUND($E$24*(1+O31),3)</f>
        <v>0.05</v>
      </c>
      <c r="P32" s="2568">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6" t="s">
        <v>3267</v>
      </c>
      <c r="G33" s="2098"/>
      <c r="H33" s="2098"/>
      <c r="I33" s="2098"/>
      <c r="J33" s="2099"/>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7" t="s">
        <v>3268</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7" t="s">
        <v>3272</v>
      </c>
      <c r="L36" s="3357">
        <v>3.6999999999999998E-2</v>
      </c>
      <c r="M36" s="3358">
        <f>ROUND($L$36*(1+M31),3)</f>
        <v>4.5999999999999999E-2</v>
      </c>
      <c r="N36" s="3358">
        <f>ROUND($L$36*(1+N31),3)</f>
        <v>4.3999999999999997E-2</v>
      </c>
      <c r="O36" s="3358">
        <f>ROUND($L$36*(1+O31),3)</f>
        <v>4.2999999999999997E-2</v>
      </c>
      <c r="P36" s="3358">
        <f>ROUND($L$36*(1+P31),3)</f>
        <v>4.1000000000000002E-2</v>
      </c>
      <c r="Q36" s="3358">
        <f>ROUND($L$36*(1+Q31),3)</f>
        <v>4.2999999999999997E-2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77"/>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9" t="s">
        <v>3273</v>
      </c>
      <c r="L37" s="3357">
        <f>L36+K38</f>
        <v>4.1999999999999996E-2</v>
      </c>
      <c r="M37" s="3358">
        <f>ROUND($L$37*(1+M31),3)</f>
        <v>5.2999999999999999E-2</v>
      </c>
      <c r="N37" s="3358">
        <f t="shared" ref="N37:Q37" si="3">ROUND($L$37*(1+N31),3)</f>
        <v>0.05</v>
      </c>
      <c r="O37" s="3358">
        <f t="shared" si="3"/>
        <v>4.8000000000000001E-2</v>
      </c>
      <c r="P37" s="3358">
        <f t="shared" si="3"/>
        <v>4.5999999999999999E-2</v>
      </c>
      <c r="Q37" s="3358">
        <f t="shared" si="3"/>
        <v>4.8000000000000001E-2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8"/>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8"/>
      <c r="B39" s="2040" t="s">
        <v>3266</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0" t="s">
        <v>3274</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3276</v>
      </c>
      <c r="B52" s="2133">
        <f>估价对象房地状况!C19</f>
        <v>0</v>
      </c>
      <c r="C52" s="2043"/>
      <c r="D52" s="1065">
        <f t="shared" si="7"/>
        <v>0</v>
      </c>
      <c r="E52" s="745"/>
      <c r="F52" s="1813"/>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3"/>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3"/>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5" t="str">
        <f>估价对象房地状况!C21</f>
        <v>估价对象所在区域公共配套设施齐备情况</v>
      </c>
      <c r="C56" s="2043"/>
      <c r="D56" s="1065">
        <f t="shared" si="7"/>
        <v>0</v>
      </c>
      <c r="E56" s="745"/>
      <c r="F56" s="1813"/>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3"/>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3276</v>
      </c>
      <c r="B63" s="2133">
        <f>估价对象房地状况!C19</f>
        <v>0</v>
      </c>
      <c r="C63" s="2043"/>
      <c r="D63" s="1065">
        <f t="shared" si="12"/>
        <v>0</v>
      </c>
      <c r="E63" s="745"/>
      <c r="F63" s="1813"/>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3"/>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3"/>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5" t="str">
        <f>估价对象房地状况!C21</f>
        <v>估价对象所在区域公共配套设施齐备情况</v>
      </c>
      <c r="C67" s="2043"/>
      <c r="D67" s="1065">
        <f t="shared" si="12"/>
        <v>0</v>
      </c>
      <c r="E67" s="745"/>
      <c r="F67" s="1813"/>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5" t="str">
        <f>估价对象房地状况!C22</f>
        <v>估价对象所在区域基础设施水平</v>
      </c>
      <c r="C68" s="2043"/>
      <c r="D68" s="1065">
        <f t="shared" si="12"/>
        <v>0</v>
      </c>
      <c r="E68" s="745"/>
      <c r="F68" s="1813"/>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9" t="s">
        <v>3276</v>
      </c>
      <c r="B74" s="2133">
        <f>估价对象房地状况!C19</f>
        <v>0</v>
      </c>
      <c r="C74" s="2043"/>
      <c r="D74" s="1065">
        <f t="shared" si="17"/>
        <v>0</v>
      </c>
      <c r="E74" s="747"/>
      <c r="F74" s="1813"/>
      <c r="G74" s="1063"/>
      <c r="H74" s="1066" t="str">
        <f t="shared" si="18"/>
        <v>——</v>
      </c>
      <c r="I74" s="3367">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3"/>
      <c r="G75" s="1063"/>
      <c r="H75" s="1066" t="str">
        <f t="shared" si="18"/>
        <v>——</v>
      </c>
      <c r="I75" s="3367">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5" t="str">
        <f>估价对象房地状况!C21</f>
        <v>估价对象所在区域公共配套设施齐备情况</v>
      </c>
      <c r="C76" s="2043"/>
      <c r="D76" s="1065">
        <f t="shared" si="17"/>
        <v>0</v>
      </c>
      <c r="E76" s="747"/>
      <c r="F76" s="1813"/>
      <c r="G76" s="1063"/>
      <c r="H76" s="1066" t="str">
        <f t="shared" si="18"/>
        <v>——</v>
      </c>
      <c r="I76" s="3367">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5" t="str">
        <f>估价对象房地状况!C22</f>
        <v>估价对象所在区域基础设施水平</v>
      </c>
      <c r="C77" s="2043"/>
      <c r="D77" s="1065">
        <f t="shared" si="17"/>
        <v>0</v>
      </c>
      <c r="E77" s="747"/>
      <c r="F77" s="1813"/>
      <c r="G77" s="1063"/>
      <c r="H77" s="1066" t="str">
        <f t="shared" si="18"/>
        <v>——</v>
      </c>
      <c r="I77" s="3367">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3"/>
      <c r="G78" s="1063"/>
      <c r="H78" s="1066" t="str">
        <f t="shared" si="18"/>
        <v>——</v>
      </c>
      <c r="I78" s="3367">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区域自然环境：；人文环境；综合评价环境状况一般</v>
      </c>
      <c r="C79" s="2043"/>
      <c r="D79" s="1065">
        <f t="shared" si="17"/>
        <v>0</v>
      </c>
      <c r="E79" s="747"/>
      <c r="F79" s="1813"/>
      <c r="G79" s="1063"/>
      <c r="H79" s="1066" t="str">
        <f t="shared" si="18"/>
        <v>——</v>
      </c>
      <c r="I79" s="3367">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3"/>
      <c r="G80" s="1063"/>
      <c r="H80" s="1066" t="str">
        <f t="shared" si="18"/>
        <v>——</v>
      </c>
      <c r="I80" s="3368">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7">
        <v>0.3</v>
      </c>
      <c r="J84" s="1064">
        <f t="shared" si="24"/>
        <v>0</v>
      </c>
      <c r="K84" s="1064">
        <f t="shared" si="25"/>
        <v>0</v>
      </c>
      <c r="L84" s="1064">
        <v>0</v>
      </c>
      <c r="M84" s="1064">
        <f t="shared" si="26"/>
        <v>0</v>
      </c>
      <c r="N84" s="1064">
        <f t="shared" si="26"/>
        <v>0</v>
      </c>
      <c r="Z84" s="1997"/>
      <c r="AA84" s="2052"/>
      <c r="AG84" s="1121"/>
      <c r="AK84" s="2052"/>
    </row>
    <row r="85" spans="1:37" ht="48">
      <c r="A85" s="3369" t="s">
        <v>3277</v>
      </c>
      <c r="B85" s="2133">
        <f>估价对象房地状况!G17</f>
        <v>0</v>
      </c>
      <c r="C85" s="2043"/>
      <c r="D85" s="1065">
        <f t="shared" si="22"/>
        <v>0</v>
      </c>
      <c r="E85" s="747"/>
      <c r="F85" s="1813"/>
      <c r="G85" s="1063"/>
      <c r="H85" s="1066" t="str">
        <f t="shared" si="23"/>
        <v>——</v>
      </c>
      <c r="I85" s="3367">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3"/>
      <c r="G86" s="1063"/>
      <c r="H86" s="1066" t="str">
        <f t="shared" si="23"/>
        <v>——</v>
      </c>
      <c r="I86" s="3367">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5" t="str">
        <f>估价对象房地状况!G19</f>
        <v>估价对象所在区域公共配套设施齐备情况</v>
      </c>
      <c r="C87" s="2043"/>
      <c r="D87" s="1065">
        <f t="shared" si="22"/>
        <v>0</v>
      </c>
      <c r="E87" s="747"/>
      <c r="F87" s="1813"/>
      <c r="G87" s="1063"/>
      <c r="H87" s="1066" t="str">
        <f t="shared" si="23"/>
        <v>——</v>
      </c>
      <c r="I87" s="3367">
        <v>0.06</v>
      </c>
      <c r="J87" s="1064">
        <f t="shared" si="24"/>
        <v>0</v>
      </c>
      <c r="K87" s="1064">
        <f t="shared" si="25"/>
        <v>0</v>
      </c>
      <c r="L87" s="1064">
        <v>0</v>
      </c>
      <c r="M87" s="1064">
        <f t="shared" si="26"/>
        <v>0</v>
      </c>
      <c r="N87" s="1064">
        <f t="shared" si="26"/>
        <v>0</v>
      </c>
    </row>
    <row r="88" spans="1:37" ht="26.4">
      <c r="A88" s="2129" t="s">
        <v>2059</v>
      </c>
      <c r="B88" s="1325" t="str">
        <f>估价对象房地状况!G20</f>
        <v>估价对象所在区域基础设施水平</v>
      </c>
      <c r="C88" s="2043"/>
      <c r="D88" s="1065">
        <f t="shared" si="22"/>
        <v>0</v>
      </c>
      <c r="E88" s="747"/>
      <c r="F88" s="1813"/>
      <c r="G88" s="1063"/>
      <c r="H88" s="1066" t="str">
        <f t="shared" si="23"/>
        <v>——</v>
      </c>
      <c r="I88" s="3367">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3"/>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3"/>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3"/>
      <c r="F91" s="1813"/>
      <c r="G91" s="3373"/>
      <c r="H91" s="3374"/>
      <c r="I91" s="3375"/>
      <c r="J91" s="3376"/>
      <c r="K91" s="3376"/>
      <c r="L91" s="3376"/>
      <c r="M91" s="3376"/>
      <c r="N91" s="3376"/>
    </row>
    <row r="92" spans="1:37" ht="25.2">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5"/>
      <c r="C93" s="2043"/>
      <c r="D93" s="3366">
        <f>SUMIF($J$92:$N$92,C93,J93:N93)</f>
        <v>0</v>
      </c>
      <c r="E93" s="3382">
        <f>ROUND(SUM(D93:D101),4)</f>
        <v>0</v>
      </c>
      <c r="F93" s="1813"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3280</v>
      </c>
      <c r="B94" s="3370" t="str">
        <f>估价对象房地状况!C18</f>
        <v>估价对象周边道路状况、公共交通通达情况、停车便捷程度，综合评价交通便捷度较好</v>
      </c>
      <c r="C94" s="2043"/>
      <c r="D94" s="3366">
        <f t="shared" ref="D94:D101" si="30">SUMIF($J$60:$N$60,C94,J94:N94)</f>
        <v>0</v>
      </c>
      <c r="E94" s="3383"/>
      <c r="F94" s="1813"/>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3276</v>
      </c>
      <c r="B95" s="3370">
        <f>估价对象房地状况!C19</f>
        <v>0</v>
      </c>
      <c r="C95" s="2043"/>
      <c r="D95" s="3366">
        <f t="shared" si="30"/>
        <v>0</v>
      </c>
      <c r="E95" s="3383"/>
      <c r="F95" s="1813"/>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3281</v>
      </c>
      <c r="B96" s="3385" t="s">
        <v>3292</v>
      </c>
      <c r="C96" s="2043"/>
      <c r="D96" s="3366">
        <f t="shared" si="30"/>
        <v>0</v>
      </c>
      <c r="E96" s="3383"/>
      <c r="F96" s="1813"/>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3"/>
      <c r="D97" s="3366">
        <f t="shared" si="30"/>
        <v>0</v>
      </c>
      <c r="E97" s="3383"/>
      <c r="F97" s="1813"/>
      <c r="G97" s="3373"/>
      <c r="H97" s="3421" t="str">
        <f t="shared" si="31"/>
        <v>——</v>
      </c>
      <c r="I97" s="3367">
        <v>0.05</v>
      </c>
      <c r="J97" s="3345">
        <f t="shared" si="27"/>
        <v>0</v>
      </c>
      <c r="K97" s="3345">
        <f t="shared" si="28"/>
        <v>0</v>
      </c>
      <c r="L97" s="3345">
        <v>0</v>
      </c>
      <c r="M97" s="3345">
        <f t="shared" si="29"/>
        <v>0</v>
      </c>
      <c r="N97" s="3345">
        <f t="shared" si="29"/>
        <v>0</v>
      </c>
    </row>
    <row r="98" spans="1:14" ht="36">
      <c r="A98" s="3379" t="s">
        <v>3283</v>
      </c>
      <c r="B98" s="3386" t="s">
        <v>3293</v>
      </c>
      <c r="C98" s="2043"/>
      <c r="D98" s="3366">
        <f t="shared" si="30"/>
        <v>0</v>
      </c>
      <c r="E98" s="3383"/>
      <c r="F98" s="1813"/>
      <c r="G98" s="3373"/>
      <c r="H98" s="3421" t="str">
        <f t="shared" si="31"/>
        <v>——</v>
      </c>
      <c r="I98" s="3367">
        <v>0.06</v>
      </c>
      <c r="J98" s="3345">
        <f t="shared" si="27"/>
        <v>0</v>
      </c>
      <c r="K98" s="3345">
        <f t="shared" si="28"/>
        <v>0</v>
      </c>
      <c r="L98" s="3345">
        <v>0</v>
      </c>
      <c r="M98" s="3345">
        <f t="shared" si="29"/>
        <v>0</v>
      </c>
      <c r="N98" s="3345">
        <f t="shared" si="29"/>
        <v>0</v>
      </c>
    </row>
    <row r="99" spans="1:14" ht="26.4">
      <c r="A99" s="3379" t="s">
        <v>3284</v>
      </c>
      <c r="B99" s="3370" t="str">
        <f>估价对象房地状况!C21</f>
        <v>估价对象所在区域公共配套设施齐备情况</v>
      </c>
      <c r="C99" s="2043"/>
      <c r="D99" s="3366">
        <f t="shared" si="30"/>
        <v>0</v>
      </c>
      <c r="E99" s="3383"/>
      <c r="F99" s="1813"/>
      <c r="G99" s="3373"/>
      <c r="H99" s="3421" t="str">
        <f t="shared" si="31"/>
        <v>——</v>
      </c>
      <c r="I99" s="3367">
        <v>0.06</v>
      </c>
      <c r="J99" s="3345">
        <f t="shared" si="27"/>
        <v>0</v>
      </c>
      <c r="K99" s="3345">
        <f t="shared" si="28"/>
        <v>0</v>
      </c>
      <c r="L99" s="3345">
        <v>0</v>
      </c>
      <c r="M99" s="3345">
        <f t="shared" si="29"/>
        <v>0</v>
      </c>
      <c r="N99" s="3345">
        <f t="shared" si="29"/>
        <v>0</v>
      </c>
    </row>
    <row r="100" spans="1:14" ht="26.4">
      <c r="A100" s="3379" t="s">
        <v>3285</v>
      </c>
      <c r="B100" s="3370" t="str">
        <f>估价对象房地状况!C22</f>
        <v>估价对象所在区域基础设施水平</v>
      </c>
      <c r="C100" s="2043"/>
      <c r="D100" s="3366">
        <f t="shared" si="30"/>
        <v>0</v>
      </c>
      <c r="E100" s="3383"/>
      <c r="F100" s="1813"/>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3286</v>
      </c>
      <c r="B101" s="3387" t="str">
        <f>估价对象房地状况!C20</f>
        <v>区域自然环境：；人文环境；综合评价环境状况一般</v>
      </c>
      <c r="C101" s="2043"/>
      <c r="D101" s="3366">
        <f t="shared" si="30"/>
        <v>0</v>
      </c>
      <c r="E101" s="3384"/>
      <c r="F101" s="1813"/>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5" t="s">
        <v>3301</v>
      </c>
      <c r="B103" s="3775"/>
      <c r="C103" s="3775"/>
      <c r="D103" s="3775"/>
      <c r="E103" s="3775"/>
      <c r="F103" s="3775"/>
      <c r="G103" s="3775"/>
      <c r="H103" s="3775"/>
      <c r="I103" s="3775"/>
      <c r="J103" s="3775"/>
      <c r="K103" s="3390"/>
      <c r="L103" s="3390"/>
      <c r="M103" s="3390"/>
      <c r="N103" s="3390"/>
    </row>
    <row r="104" spans="1:14">
      <c r="A104" s="3776" t="s">
        <v>3302</v>
      </c>
      <c r="B104" s="3776" t="s">
        <v>3303</v>
      </c>
      <c r="C104" s="3391" t="s">
        <v>3304</v>
      </c>
      <c r="D104" s="3392"/>
      <c r="E104" s="3392"/>
      <c r="F104" s="3392"/>
      <c r="G104" s="3392"/>
      <c r="H104" s="3392"/>
      <c r="I104" s="3392"/>
      <c r="J104" s="3393"/>
      <c r="K104" s="3394"/>
      <c r="L104" s="3394"/>
      <c r="M104" s="3394"/>
      <c r="N104" s="3394"/>
    </row>
    <row r="105" spans="1:14">
      <c r="A105" s="3776"/>
      <c r="B105" s="3776"/>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62"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3"/>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5" t="s">
        <v>3318</v>
      </c>
      <c r="B113" s="3765"/>
      <c r="C113" s="3765"/>
      <c r="D113" s="3765"/>
      <c r="E113" s="3765"/>
      <c r="F113" s="3765"/>
      <c r="G113" s="3765"/>
      <c r="H113" s="3765"/>
      <c r="I113" s="3765"/>
      <c r="J113" s="376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3319</v>
      </c>
      <c r="B116" s="3416">
        <f>G3</f>
        <v>0</v>
      </c>
      <c r="C116" s="3400" t="s">
        <v>3320</v>
      </c>
      <c r="D116" s="3401">
        <f>SUMPRODUCT((A118:A122=F116)*(B117:M117=H116)*B118:M122)</f>
        <v>0</v>
      </c>
      <c r="E116" s="1999" t="s">
        <v>3321</v>
      </c>
      <c r="F116" s="3402">
        <f>E2</f>
        <v>0</v>
      </c>
      <c r="G116" s="1999" t="s">
        <v>3322</v>
      </c>
      <c r="H116" s="3402">
        <f>G2</f>
        <v>0</v>
      </c>
      <c r="I116" s="1999"/>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7.399999999999999">
      <c r="A3" s="3474" t="str">
        <f>IF(项目基本情况!B9="房地产市场价值","估价结果一览表（市场价值不需“结果表-1”）","估价结果一览表")</f>
        <v>估价结果一览表</v>
      </c>
      <c r="B3" s="3474"/>
      <c r="C3" s="3474"/>
      <c r="D3" s="3474"/>
      <c r="E3" s="3474"/>
    </row>
    <row r="4" spans="1:5" ht="18" thickBot="1">
      <c r="A4" s="1492"/>
      <c r="B4" s="3472" t="s">
        <v>917</v>
      </c>
      <c r="C4" s="3472"/>
      <c r="D4" s="3472"/>
      <c r="E4" s="1492"/>
    </row>
    <row r="5" spans="1:5" ht="16.2" thickTop="1">
      <c r="A5" s="1490"/>
      <c r="B5" s="3470" t="s">
        <v>909</v>
      </c>
      <c r="C5" s="1493" t="s">
        <v>910</v>
      </c>
      <c r="D5" s="850" t="e">
        <f ca="1">结果表!H101</f>
        <v>#REF!</v>
      </c>
      <c r="E5" s="1490"/>
    </row>
    <row r="6" spans="1:5" ht="15.6">
      <c r="A6" s="1490"/>
      <c r="B6" s="3470"/>
      <c r="C6" s="1493" t="s">
        <v>911</v>
      </c>
      <c r="D6" s="850" t="e">
        <f ca="1">NUMBERSTRING(INT(D5*10000),2)&amp;"元整"</f>
        <v>#REF!</v>
      </c>
      <c r="E6" s="1490"/>
    </row>
    <row r="7" spans="1:5" ht="15.6">
      <c r="A7" s="1490"/>
      <c r="B7" s="3475"/>
      <c r="C7" s="1494" t="s">
        <v>912</v>
      </c>
      <c r="D7" s="851" t="e">
        <f ca="1">结果表!H102</f>
        <v>#REF!</v>
      </c>
      <c r="E7" s="1490"/>
    </row>
    <row r="8" spans="1:5" ht="15.6">
      <c r="A8" s="1490"/>
      <c r="B8" s="3476" t="str">
        <f>结果表!E103</f>
        <v>2.估价师知悉的法定优先受偿款</v>
      </c>
      <c r="C8" s="1495" t="s">
        <v>913</v>
      </c>
      <c r="D8" s="851">
        <f>结果表!H103</f>
        <v>0</v>
      </c>
      <c r="E8" s="1490"/>
    </row>
    <row r="9" spans="1:5" ht="15.6">
      <c r="A9" s="1490"/>
      <c r="B9" s="3478"/>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69" t="str">
        <f>结果表!E107</f>
        <v>3.房地产抵押价值</v>
      </c>
      <c r="C13" s="1498" t="s">
        <v>910</v>
      </c>
      <c r="D13" s="853" t="e">
        <f ca="1">结果表!H107</f>
        <v>#REF!</v>
      </c>
      <c r="E13" s="1490"/>
    </row>
    <row r="14" spans="1:5" ht="15.6">
      <c r="A14" s="1490"/>
      <c r="B14" s="3470"/>
      <c r="C14" s="1493" t="s">
        <v>911</v>
      </c>
      <c r="D14" s="850" t="e">
        <f ca="1">NUMBERSTRING(INT(D13*10000),2)&amp;"元整"</f>
        <v>#REF!</v>
      </c>
      <c r="E14" s="1490"/>
    </row>
    <row r="15" spans="1:5" ht="15.6">
      <c r="A15" s="1490"/>
      <c r="B15" s="3475"/>
      <c r="C15" s="1494" t="s">
        <v>921</v>
      </c>
      <c r="D15" s="859" t="e">
        <f ca="1">结果表!H108</f>
        <v>#REF!</v>
      </c>
      <c r="E15" s="1490"/>
    </row>
    <row r="16" spans="1:5" ht="15.6">
      <c r="A16" s="1490"/>
      <c r="B16" s="3476" t="str">
        <f>结果表!E109</f>
        <v>——</v>
      </c>
      <c r="C16" s="1498" t="s">
        <v>922</v>
      </c>
      <c r="D16" s="1499" t="str">
        <f>结果表!H109</f>
        <v>——</v>
      </c>
      <c r="E16" s="1490"/>
    </row>
    <row r="17" spans="1:5" ht="15.6">
      <c r="A17" s="1490"/>
      <c r="B17" s="3477"/>
      <c r="C17" s="1493" t="s">
        <v>923</v>
      </c>
      <c r="D17" s="850" t="e">
        <f>NUMBERSTRING(INT(D16*10000),2)&amp;"元整"</f>
        <v>#VALUE!</v>
      </c>
      <c r="E17" s="1490"/>
    </row>
    <row r="18" spans="1:5" ht="15.6">
      <c r="A18" s="1490"/>
      <c r="B18" s="3478"/>
      <c r="C18" s="1494" t="s">
        <v>912</v>
      </c>
      <c r="D18" s="859" t="str">
        <f>结果表!H110</f>
        <v>——</v>
      </c>
      <c r="E18" s="1490"/>
    </row>
    <row r="19" spans="1:5" ht="15.6">
      <c r="A19" s="1490"/>
      <c r="B19" s="3469" t="str">
        <f>结果表!E111</f>
        <v>——</v>
      </c>
      <c r="C19" s="1498" t="s">
        <v>910</v>
      </c>
      <c r="D19" s="851" t="str">
        <f>结果表!H111</f>
        <v>——</v>
      </c>
      <c r="E19" s="1490"/>
    </row>
    <row r="20" spans="1:5" ht="15.6">
      <c r="A20" s="1490"/>
      <c r="B20" s="3470"/>
      <c r="C20" s="1493" t="s">
        <v>923</v>
      </c>
      <c r="D20" s="850" t="e">
        <f>NUMBERSTRING(INT(D19*10000),2)&amp;"元整"</f>
        <v>#VALUE!</v>
      </c>
      <c r="E20" s="1490"/>
    </row>
    <row r="21" spans="1:5" ht="16.2" thickBot="1">
      <c r="A21" s="1490"/>
      <c r="B21" s="3471"/>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90" t="s">
        <v>2608</v>
      </c>
      <c r="B20" s="3785" t="s">
        <v>2629</v>
      </c>
      <c r="C20" s="3101" t="s">
        <v>2440</v>
      </c>
      <c r="D20" s="3102"/>
      <c r="E20" s="3103">
        <v>1</v>
      </c>
      <c r="F20" s="3104" t="s">
        <v>2441</v>
      </c>
      <c r="G20" s="3104"/>
    </row>
    <row r="21" spans="1:13" ht="19.5" customHeight="1">
      <c r="A21" s="3791"/>
      <c r="B21" s="3784"/>
      <c r="C21" s="3105" t="s">
        <v>2442</v>
      </c>
      <c r="D21" s="3106"/>
      <c r="E21" s="3107">
        <v>1</v>
      </c>
      <c r="F21" s="3104" t="s">
        <v>2443</v>
      </c>
      <c r="G21" s="3104"/>
    </row>
    <row r="22" spans="1:13" ht="19.5" customHeight="1">
      <c r="A22" s="3791"/>
      <c r="B22" s="3784"/>
      <c r="C22" s="3105" t="s">
        <v>2444</v>
      </c>
      <c r="D22" s="3106"/>
      <c r="E22" s="3107">
        <v>0.9</v>
      </c>
      <c r="F22" s="3104" t="s">
        <v>2445</v>
      </c>
      <c r="G22" s="3104"/>
    </row>
    <row r="23" spans="1:13" ht="19.5" customHeight="1">
      <c r="A23" s="3791"/>
      <c r="B23" s="3784"/>
      <c r="C23" s="3105" t="s">
        <v>2446</v>
      </c>
      <c r="D23" s="3106"/>
      <c r="E23" s="3107">
        <v>0.9</v>
      </c>
      <c r="F23" s="3104" t="s">
        <v>2447</v>
      </c>
      <c r="G23" s="3104"/>
    </row>
    <row r="24" spans="1:13" ht="19.5" customHeight="1">
      <c r="A24" s="3791"/>
      <c r="B24" s="3784"/>
      <c r="C24" s="3105" t="s">
        <v>2448</v>
      </c>
      <c r="D24" s="3106"/>
      <c r="E24" s="3107">
        <v>0.8</v>
      </c>
      <c r="F24" s="3104" t="s">
        <v>2449</v>
      </c>
      <c r="G24" s="3104"/>
    </row>
    <row r="25" spans="1:13" ht="19.5" customHeight="1" thickBot="1">
      <c r="A25" s="3792"/>
      <c r="B25" s="3786"/>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87" t="s">
        <v>2632</v>
      </c>
      <c r="B27" s="3785" t="s">
        <v>2613</v>
      </c>
      <c r="C27" s="3101" t="s">
        <v>2453</v>
      </c>
      <c r="D27" s="3102"/>
      <c r="E27" s="3103">
        <v>1</v>
      </c>
      <c r="F27" s="3104" t="s">
        <v>2454</v>
      </c>
      <c r="G27" s="3104"/>
    </row>
    <row r="28" spans="1:13" ht="19.5" customHeight="1">
      <c r="A28" s="3788"/>
      <c r="B28" s="3784"/>
      <c r="C28" s="3105" t="s">
        <v>2455</v>
      </c>
      <c r="D28" s="3106"/>
      <c r="E28" s="3107">
        <v>1</v>
      </c>
      <c r="F28" s="3104" t="s">
        <v>2456</v>
      </c>
      <c r="G28" s="3104"/>
    </row>
    <row r="29" spans="1:13" ht="19.5" customHeight="1">
      <c r="A29" s="3788"/>
      <c r="B29" s="3784"/>
      <c r="C29" s="3105" t="s">
        <v>2457</v>
      </c>
      <c r="D29" s="3106"/>
      <c r="E29" s="3107">
        <v>0.8</v>
      </c>
      <c r="F29" s="3104" t="s">
        <v>2458</v>
      </c>
      <c r="G29" s="3104"/>
    </row>
    <row r="30" spans="1:13" ht="19.5" customHeight="1">
      <c r="A30" s="3788"/>
      <c r="B30" s="3784"/>
      <c r="C30" s="3105" t="s">
        <v>2459</v>
      </c>
      <c r="D30" s="3106"/>
      <c r="E30" s="3107">
        <v>0.8</v>
      </c>
      <c r="F30" s="3104" t="s">
        <v>2460</v>
      </c>
      <c r="G30" s="3104"/>
    </row>
    <row r="31" spans="1:13" ht="19.5" customHeight="1">
      <c r="A31" s="3788"/>
      <c r="B31" s="3784"/>
      <c r="C31" s="3105" t="s">
        <v>2461</v>
      </c>
      <c r="D31" s="3106"/>
      <c r="E31" s="3107">
        <v>0.8</v>
      </c>
      <c r="F31" s="3104" t="s">
        <v>2462</v>
      </c>
      <c r="G31" s="3104"/>
    </row>
    <row r="32" spans="1:13" ht="19.5" customHeight="1">
      <c r="A32" s="3788"/>
      <c r="B32" s="3784"/>
      <c r="C32" s="3105" t="s">
        <v>2463</v>
      </c>
      <c r="D32" s="3106"/>
      <c r="E32" s="3107">
        <v>0.7</v>
      </c>
      <c r="F32" s="3104" t="s">
        <v>2464</v>
      </c>
      <c r="G32" s="3104"/>
    </row>
    <row r="33" spans="1:7" ht="19.5" customHeight="1">
      <c r="A33" s="3788"/>
      <c r="B33" s="3784"/>
      <c r="C33" s="3105" t="s">
        <v>2465</v>
      </c>
      <c r="D33" s="3106"/>
      <c r="E33" s="3107">
        <v>0.8</v>
      </c>
      <c r="F33" s="3104" t="s">
        <v>2466</v>
      </c>
      <c r="G33" s="3104"/>
    </row>
    <row r="34" spans="1:7" ht="19.5" customHeight="1">
      <c r="A34" s="3788"/>
      <c r="B34" s="3784"/>
      <c r="C34" s="3105" t="s">
        <v>2467</v>
      </c>
      <c r="D34" s="3106"/>
      <c r="E34" s="3107">
        <v>0.6</v>
      </c>
      <c r="F34" s="3104" t="s">
        <v>2468</v>
      </c>
      <c r="G34" s="3104"/>
    </row>
    <row r="35" spans="1:7" ht="19.5" customHeight="1">
      <c r="A35" s="3788"/>
      <c r="B35" s="3784"/>
      <c r="C35" s="3105" t="s">
        <v>2469</v>
      </c>
      <c r="D35" s="3106"/>
      <c r="E35" s="3107">
        <v>0.2</v>
      </c>
      <c r="F35" s="3104" t="s">
        <v>2470</v>
      </c>
      <c r="G35" s="3104"/>
    </row>
    <row r="36" spans="1:7" ht="19.5" customHeight="1">
      <c r="A36" s="3788"/>
      <c r="B36" s="3784"/>
      <c r="C36" s="3105" t="s">
        <v>2471</v>
      </c>
      <c r="D36" s="3106"/>
      <c r="E36" s="3107">
        <v>0.2</v>
      </c>
      <c r="F36" s="3104" t="s">
        <v>2472</v>
      </c>
      <c r="G36" s="3104"/>
    </row>
    <row r="37" spans="1:7" ht="19.5" customHeight="1">
      <c r="A37" s="3788"/>
      <c r="B37" s="3782" t="s">
        <v>2633</v>
      </c>
      <c r="C37" s="3105" t="s">
        <v>2473</v>
      </c>
      <c r="D37" s="3106"/>
      <c r="E37" s="3107">
        <v>0.6</v>
      </c>
      <c r="F37" s="3104" t="s">
        <v>2474</v>
      </c>
      <c r="G37" s="3104"/>
    </row>
    <row r="38" spans="1:7" ht="19.5" customHeight="1">
      <c r="A38" s="3788"/>
      <c r="B38" s="3784"/>
      <c r="C38" s="3105" t="s">
        <v>2475</v>
      </c>
      <c r="D38" s="3106"/>
      <c r="E38" s="3107">
        <v>0.6</v>
      </c>
      <c r="F38" s="3104" t="s">
        <v>2476</v>
      </c>
      <c r="G38" s="3104"/>
    </row>
    <row r="39" spans="1:7" ht="19.5" customHeight="1" thickBot="1">
      <c r="A39" s="3789"/>
      <c r="B39" s="3786"/>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90" t="s">
        <v>2611</v>
      </c>
      <c r="B41" s="3785" t="s">
        <v>2635</v>
      </c>
      <c r="C41" s="3101" t="s">
        <v>2480</v>
      </c>
      <c r="D41" s="3102"/>
      <c r="E41" s="3103">
        <v>1</v>
      </c>
      <c r="F41" s="3104" t="s">
        <v>2481</v>
      </c>
      <c r="G41" s="3104"/>
    </row>
    <row r="42" spans="1:7" ht="19.5" customHeight="1">
      <c r="A42" s="3791"/>
      <c r="B42" s="3784"/>
      <c r="C42" s="3105" t="s">
        <v>2482</v>
      </c>
      <c r="D42" s="3106"/>
      <c r="E42" s="3107">
        <v>1</v>
      </c>
      <c r="F42" s="3104" t="s">
        <v>2483</v>
      </c>
      <c r="G42" s="3104"/>
    </row>
    <row r="43" spans="1:7" ht="19.5" customHeight="1">
      <c r="A43" s="3791"/>
      <c r="B43" s="3783"/>
      <c r="C43" s="3105" t="s">
        <v>2484</v>
      </c>
      <c r="D43" s="3106"/>
      <c r="E43" s="3107">
        <v>1.5</v>
      </c>
      <c r="F43" s="3104" t="s">
        <v>2485</v>
      </c>
      <c r="G43" s="3104"/>
    </row>
    <row r="44" spans="1:7" ht="19.5" customHeight="1">
      <c r="A44" s="3791"/>
      <c r="B44" s="3116" t="s">
        <v>2636</v>
      </c>
      <c r="C44" s="3105" t="s">
        <v>2637</v>
      </c>
      <c r="D44" s="3106"/>
      <c r="E44" s="3107">
        <v>2</v>
      </c>
      <c r="F44" s="3104" t="s">
        <v>2486</v>
      </c>
      <c r="G44" s="3104"/>
    </row>
    <row r="45" spans="1:7" ht="19.5" customHeight="1">
      <c r="A45" s="3791"/>
      <c r="B45" s="3782" t="s">
        <v>2638</v>
      </c>
      <c r="C45" s="3105" t="s">
        <v>2487</v>
      </c>
      <c r="D45" s="3106"/>
      <c r="E45" s="3107">
        <v>1</v>
      </c>
      <c r="F45" s="3104" t="s">
        <v>2488</v>
      </c>
      <c r="G45" s="3104"/>
    </row>
    <row r="46" spans="1:7" ht="19.5" customHeight="1">
      <c r="A46" s="3791"/>
      <c r="B46" s="3784"/>
      <c r="C46" s="3105" t="s">
        <v>2489</v>
      </c>
      <c r="D46" s="3106"/>
      <c r="E46" s="3107">
        <v>1</v>
      </c>
      <c r="F46" s="3104" t="s">
        <v>2490</v>
      </c>
      <c r="G46" s="3104"/>
    </row>
    <row r="47" spans="1:7" ht="19.5" customHeight="1">
      <c r="A47" s="3791"/>
      <c r="B47" s="3784"/>
      <c r="C47" s="3105" t="s">
        <v>2491</v>
      </c>
      <c r="D47" s="3106"/>
      <c r="E47" s="3107">
        <v>1</v>
      </c>
      <c r="F47" s="3104" t="s">
        <v>2492</v>
      </c>
      <c r="G47" s="3104"/>
    </row>
    <row r="48" spans="1:7" ht="19.5" customHeight="1">
      <c r="A48" s="3791"/>
      <c r="B48" s="3784"/>
      <c r="C48" s="3105" t="s">
        <v>2493</v>
      </c>
      <c r="D48" s="3106"/>
      <c r="E48" s="3107">
        <v>1</v>
      </c>
      <c r="F48" s="3104" t="s">
        <v>2494</v>
      </c>
      <c r="G48" s="3104"/>
    </row>
    <row r="49" spans="1:7" ht="19.5" customHeight="1">
      <c r="A49" s="3791"/>
      <c r="B49" s="3784"/>
      <c r="C49" s="3105" t="s">
        <v>2495</v>
      </c>
      <c r="D49" s="3106"/>
      <c r="E49" s="3107">
        <v>1</v>
      </c>
      <c r="F49" s="3104" t="s">
        <v>2496</v>
      </c>
      <c r="G49" s="3104"/>
    </row>
    <row r="50" spans="1:7" ht="19.5" customHeight="1">
      <c r="A50" s="3791"/>
      <c r="B50" s="3784"/>
      <c r="C50" s="3105" t="s">
        <v>2497</v>
      </c>
      <c r="D50" s="3106"/>
      <c r="E50" s="3107">
        <v>1</v>
      </c>
      <c r="F50" s="3104" t="s">
        <v>2498</v>
      </c>
      <c r="G50" s="3104"/>
    </row>
    <row r="51" spans="1:7" ht="19.5" customHeight="1" thickBot="1">
      <c r="A51" s="3792"/>
      <c r="B51" s="3786"/>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4.4">
      <c r="A72" s="3116"/>
      <c r="B72" s="3116"/>
      <c r="C72" s="3116" t="s">
        <v>2651</v>
      </c>
      <c r="D72" s="3116"/>
      <c r="E72" s="3116" t="s">
        <v>2622</v>
      </c>
      <c r="F72" s="3116" t="s">
        <v>2622</v>
      </c>
    </row>
    <row r="73" spans="1:7" ht="14.4">
      <c r="A73" s="3116">
        <v>1</v>
      </c>
      <c r="B73" s="3782" t="s">
        <v>2652</v>
      </c>
      <c r="C73" s="3090" t="s">
        <v>2653</v>
      </c>
      <c r="D73" s="3090" t="s">
        <v>2654</v>
      </c>
      <c r="E73" s="3116">
        <v>0.2</v>
      </c>
      <c r="F73" s="3116">
        <v>25</v>
      </c>
    </row>
    <row r="74" spans="1:7" ht="24">
      <c r="A74" s="3116">
        <v>2</v>
      </c>
      <c r="B74" s="3784"/>
      <c r="C74" s="3090" t="s">
        <v>2655</v>
      </c>
      <c r="D74" s="3090" t="s">
        <v>2656</v>
      </c>
      <c r="E74" s="3116">
        <v>0.2</v>
      </c>
      <c r="F74" s="3116">
        <v>25</v>
      </c>
    </row>
    <row r="75" spans="1:7" ht="24">
      <c r="A75" s="3116">
        <v>3</v>
      </c>
      <c r="B75" s="3784"/>
      <c r="C75" s="3090" t="s">
        <v>2657</v>
      </c>
      <c r="D75" s="3090" t="s">
        <v>2658</v>
      </c>
      <c r="E75" s="3116">
        <v>0.2</v>
      </c>
      <c r="F75" s="3116">
        <v>25</v>
      </c>
    </row>
    <row r="76" spans="1:7" ht="14.4">
      <c r="A76" s="3116">
        <v>4</v>
      </c>
      <c r="B76" s="3784"/>
      <c r="C76" s="3090" t="s">
        <v>2659</v>
      </c>
      <c r="D76" s="3090" t="s">
        <v>2660</v>
      </c>
      <c r="E76" s="3116">
        <v>0.15</v>
      </c>
      <c r="F76" s="3116">
        <v>20</v>
      </c>
    </row>
    <row r="77" spans="1:7" ht="24">
      <c r="A77" s="3116">
        <v>5</v>
      </c>
      <c r="B77" s="3784"/>
      <c r="C77" s="3090" t="s">
        <v>2661</v>
      </c>
      <c r="D77" s="3090" t="s">
        <v>2662</v>
      </c>
      <c r="E77" s="3116">
        <v>0.15</v>
      </c>
      <c r="F77" s="3116">
        <v>20</v>
      </c>
    </row>
    <row r="78" spans="1:7" ht="24">
      <c r="A78" s="3116">
        <v>6</v>
      </c>
      <c r="B78" s="3784"/>
      <c r="C78" s="3090" t="s">
        <v>2663</v>
      </c>
      <c r="D78" s="3090" t="s">
        <v>2664</v>
      </c>
      <c r="E78" s="3116">
        <v>0.15</v>
      </c>
      <c r="F78" s="3116">
        <v>20</v>
      </c>
    </row>
    <row r="79" spans="1:7" ht="24">
      <c r="A79" s="3116">
        <v>7</v>
      </c>
      <c r="B79" s="3784"/>
      <c r="C79" s="3090" t="s">
        <v>2665</v>
      </c>
      <c r="D79" s="3090" t="s">
        <v>2666</v>
      </c>
      <c r="E79" s="3116">
        <v>0.15</v>
      </c>
      <c r="F79" s="3116">
        <v>20</v>
      </c>
    </row>
    <row r="80" spans="1:7" ht="24">
      <c r="A80" s="3116">
        <v>8</v>
      </c>
      <c r="B80" s="3784"/>
      <c r="C80" s="3090" t="s">
        <v>2667</v>
      </c>
      <c r="D80" s="3090" t="s">
        <v>2668</v>
      </c>
      <c r="E80" s="3116">
        <v>0.1</v>
      </c>
      <c r="F80" s="3116">
        <v>15</v>
      </c>
    </row>
    <row r="81" spans="1:6" ht="24">
      <c r="A81" s="3116">
        <v>9</v>
      </c>
      <c r="B81" s="3784"/>
      <c r="C81" s="3090" t="s">
        <v>2669</v>
      </c>
      <c r="D81" s="3090" t="s">
        <v>2670</v>
      </c>
      <c r="E81" s="3116">
        <v>0.1</v>
      </c>
      <c r="F81" s="3116">
        <v>15</v>
      </c>
    </row>
    <row r="82" spans="1:6" ht="24">
      <c r="A82" s="3116">
        <v>10</v>
      </c>
      <c r="B82" s="3784"/>
      <c r="C82" s="3090" t="s">
        <v>2671</v>
      </c>
      <c r="D82" s="3090" t="s">
        <v>2672</v>
      </c>
      <c r="E82" s="3116">
        <v>0.1</v>
      </c>
      <c r="F82" s="3116">
        <v>15</v>
      </c>
    </row>
    <row r="83" spans="1:6" ht="24">
      <c r="A83" s="3116">
        <v>11</v>
      </c>
      <c r="B83" s="3784"/>
      <c r="C83" s="3090" t="s">
        <v>2673</v>
      </c>
      <c r="D83" s="3090" t="s">
        <v>2674</v>
      </c>
      <c r="E83" s="3116">
        <v>0.1</v>
      </c>
      <c r="F83" s="3116">
        <v>15</v>
      </c>
    </row>
    <row r="84" spans="1:6" ht="24">
      <c r="A84" s="3116">
        <v>12</v>
      </c>
      <c r="B84" s="3784"/>
      <c r="C84" s="3090" t="s">
        <v>2675</v>
      </c>
      <c r="D84" s="3090" t="s">
        <v>2676</v>
      </c>
      <c r="E84" s="3116">
        <v>0.1</v>
      </c>
      <c r="F84" s="3116">
        <v>15</v>
      </c>
    </row>
    <row r="85" spans="1:6" ht="24">
      <c r="A85" s="3116">
        <v>13</v>
      </c>
      <c r="B85" s="3784"/>
      <c r="C85" s="3090" t="s">
        <v>2677</v>
      </c>
      <c r="D85" s="3090" t="s">
        <v>2678</v>
      </c>
      <c r="E85" s="3116">
        <v>0.1</v>
      </c>
      <c r="F85" s="3116">
        <v>15</v>
      </c>
    </row>
    <row r="86" spans="1:6" ht="24">
      <c r="A86" s="3116">
        <v>14</v>
      </c>
      <c r="B86" s="3784"/>
      <c r="C86" s="3090" t="s">
        <v>2679</v>
      </c>
      <c r="D86" s="3090" t="s">
        <v>2680</v>
      </c>
      <c r="E86" s="3116">
        <v>0.1</v>
      </c>
      <c r="F86" s="3116">
        <v>15</v>
      </c>
    </row>
    <row r="87" spans="1:6" ht="24">
      <c r="A87" s="3116">
        <v>15</v>
      </c>
      <c r="B87" s="3784"/>
      <c r="C87" s="3090" t="s">
        <v>2681</v>
      </c>
      <c r="D87" s="3090" t="s">
        <v>2682</v>
      </c>
      <c r="E87" s="3116">
        <v>0.1</v>
      </c>
      <c r="F87" s="3116">
        <v>15</v>
      </c>
    </row>
    <row r="88" spans="1:6" ht="24">
      <c r="A88" s="3116">
        <v>16</v>
      </c>
      <c r="B88" s="3784"/>
      <c r="C88" s="3090" t="s">
        <v>2683</v>
      </c>
      <c r="D88" s="3090" t="s">
        <v>2684</v>
      </c>
      <c r="E88" s="3116">
        <v>0.1</v>
      </c>
      <c r="F88" s="3116">
        <v>15</v>
      </c>
    </row>
    <row r="89" spans="1:6" ht="24">
      <c r="A89" s="3116">
        <v>17</v>
      </c>
      <c r="B89" s="3783"/>
      <c r="C89" s="3090" t="s">
        <v>2685</v>
      </c>
      <c r="D89" s="3090" t="s">
        <v>2686</v>
      </c>
      <c r="E89" s="3116">
        <v>0.1</v>
      </c>
      <c r="F89" s="3116">
        <v>15</v>
      </c>
    </row>
    <row r="90" spans="1:6" ht="14.4">
      <c r="A90" s="3116">
        <v>18</v>
      </c>
      <c r="B90" s="3782" t="s">
        <v>2687</v>
      </c>
      <c r="C90" s="3090" t="s">
        <v>2688</v>
      </c>
      <c r="D90" s="3090" t="s">
        <v>2689</v>
      </c>
      <c r="E90" s="3116">
        <v>0.2</v>
      </c>
      <c r="F90" s="3116">
        <v>25</v>
      </c>
    </row>
    <row r="91" spans="1:6" ht="24">
      <c r="A91" s="3116">
        <v>19</v>
      </c>
      <c r="B91" s="3784"/>
      <c r="C91" s="3090" t="s">
        <v>2690</v>
      </c>
      <c r="D91" s="3090" t="s">
        <v>2691</v>
      </c>
      <c r="E91" s="3116">
        <v>0.2</v>
      </c>
      <c r="F91" s="3116">
        <v>25</v>
      </c>
    </row>
    <row r="92" spans="1:6" ht="14.4">
      <c r="A92" s="3116">
        <v>20</v>
      </c>
      <c r="B92" s="3784"/>
      <c r="C92" s="3090" t="s">
        <v>2692</v>
      </c>
      <c r="D92" s="3090" t="s">
        <v>2693</v>
      </c>
      <c r="E92" s="3116">
        <v>0.15</v>
      </c>
      <c r="F92" s="3116">
        <v>20</v>
      </c>
    </row>
    <row r="93" spans="1:6" ht="24">
      <c r="A93" s="3116">
        <v>21</v>
      </c>
      <c r="B93" s="3784"/>
      <c r="C93" s="3090" t="s">
        <v>2694</v>
      </c>
      <c r="D93" s="3090" t="s">
        <v>2695</v>
      </c>
      <c r="E93" s="3116">
        <v>0.15</v>
      </c>
      <c r="F93" s="3116">
        <v>20</v>
      </c>
    </row>
    <row r="94" spans="1:6" ht="24">
      <c r="A94" s="3116">
        <v>22</v>
      </c>
      <c r="B94" s="3784"/>
      <c r="C94" s="3090" t="s">
        <v>2696</v>
      </c>
      <c r="D94" s="3090" t="s">
        <v>2697</v>
      </c>
      <c r="E94" s="3116">
        <v>0.15</v>
      </c>
      <c r="F94" s="3116">
        <v>20</v>
      </c>
    </row>
    <row r="95" spans="1:6" ht="36">
      <c r="A95" s="3116">
        <v>23</v>
      </c>
      <c r="B95" s="3784"/>
      <c r="C95" s="3090" t="s">
        <v>2698</v>
      </c>
      <c r="D95" s="3090" t="s">
        <v>2699</v>
      </c>
      <c r="E95" s="3116">
        <v>0.15</v>
      </c>
      <c r="F95" s="3116">
        <v>20</v>
      </c>
    </row>
    <row r="96" spans="1:6" ht="24">
      <c r="A96" s="3116">
        <v>24</v>
      </c>
      <c r="B96" s="3784"/>
      <c r="C96" s="3090" t="s">
        <v>2700</v>
      </c>
      <c r="D96" s="3090" t="s">
        <v>2701</v>
      </c>
      <c r="E96" s="3116">
        <v>0.1</v>
      </c>
      <c r="F96" s="3116">
        <v>15</v>
      </c>
    </row>
    <row r="97" spans="1:6" ht="24">
      <c r="A97" s="3116">
        <v>25</v>
      </c>
      <c r="B97" s="3784"/>
      <c r="C97" s="3090" t="s">
        <v>2702</v>
      </c>
      <c r="D97" s="3090" t="s">
        <v>2703</v>
      </c>
      <c r="E97" s="3116">
        <v>0.1</v>
      </c>
      <c r="F97" s="3116">
        <v>15</v>
      </c>
    </row>
    <row r="98" spans="1:6" ht="24">
      <c r="A98" s="3116">
        <v>26</v>
      </c>
      <c r="B98" s="3784"/>
      <c r="C98" s="3090" t="s">
        <v>2704</v>
      </c>
      <c r="D98" s="3090" t="s">
        <v>2705</v>
      </c>
      <c r="E98" s="3116">
        <v>0.1</v>
      </c>
      <c r="F98" s="3116">
        <v>15</v>
      </c>
    </row>
    <row r="99" spans="1:6" ht="24">
      <c r="A99" s="3116">
        <v>27</v>
      </c>
      <c r="B99" s="3784"/>
      <c r="C99" s="3090" t="s">
        <v>2706</v>
      </c>
      <c r="D99" s="3090" t="s">
        <v>2707</v>
      </c>
      <c r="E99" s="3116">
        <v>0.1</v>
      </c>
      <c r="F99" s="3116">
        <v>15</v>
      </c>
    </row>
    <row r="100" spans="1:6" ht="24">
      <c r="A100" s="3116">
        <v>28</v>
      </c>
      <c r="B100" s="3784"/>
      <c r="C100" s="3090" t="s">
        <v>2708</v>
      </c>
      <c r="D100" s="3090" t="s">
        <v>2709</v>
      </c>
      <c r="E100" s="3116">
        <v>0.1</v>
      </c>
      <c r="F100" s="3116">
        <v>15</v>
      </c>
    </row>
    <row r="101" spans="1:6" ht="24">
      <c r="A101" s="3116">
        <v>29</v>
      </c>
      <c r="B101" s="3784"/>
      <c r="C101" s="3090" t="s">
        <v>2710</v>
      </c>
      <c r="D101" s="3090" t="s">
        <v>2711</v>
      </c>
      <c r="E101" s="3116">
        <v>0.1</v>
      </c>
      <c r="F101" s="3116">
        <v>15</v>
      </c>
    </row>
    <row r="102" spans="1:6" ht="24">
      <c r="A102" s="3116">
        <v>30</v>
      </c>
      <c r="B102" s="3784"/>
      <c r="C102" s="3090" t="s">
        <v>2712</v>
      </c>
      <c r="D102" s="3090" t="s">
        <v>2713</v>
      </c>
      <c r="E102" s="3116">
        <v>0.1</v>
      </c>
      <c r="F102" s="3116">
        <v>15</v>
      </c>
    </row>
    <row r="103" spans="1:6" ht="24">
      <c r="A103" s="3116">
        <v>31</v>
      </c>
      <c r="B103" s="3784"/>
      <c r="C103" s="3090" t="s">
        <v>2714</v>
      </c>
      <c r="D103" s="3090" t="s">
        <v>2715</v>
      </c>
      <c r="E103" s="3116">
        <v>0.1</v>
      </c>
      <c r="F103" s="3116">
        <v>15</v>
      </c>
    </row>
    <row r="104" spans="1:6" ht="24">
      <c r="A104" s="3116">
        <v>32</v>
      </c>
      <c r="B104" s="3784"/>
      <c r="C104" s="3090" t="s">
        <v>2716</v>
      </c>
      <c r="D104" s="3090" t="s">
        <v>2717</v>
      </c>
      <c r="E104" s="3116">
        <v>0.1</v>
      </c>
      <c r="F104" s="3116">
        <v>15</v>
      </c>
    </row>
    <row r="105" spans="1:6" ht="24">
      <c r="A105" s="3116">
        <v>33</v>
      </c>
      <c r="B105" s="3784"/>
      <c r="C105" s="3090" t="s">
        <v>2718</v>
      </c>
      <c r="D105" s="3090" t="s">
        <v>2719</v>
      </c>
      <c r="E105" s="3116">
        <v>0.1</v>
      </c>
      <c r="F105" s="3116">
        <v>15</v>
      </c>
    </row>
    <row r="106" spans="1:6" ht="24">
      <c r="A106" s="3116">
        <v>34</v>
      </c>
      <c r="B106" s="3783"/>
      <c r="C106" s="3090" t="s">
        <v>2720</v>
      </c>
      <c r="D106" s="3090" t="s">
        <v>2721</v>
      </c>
      <c r="E106" s="3116">
        <v>0.1</v>
      </c>
      <c r="F106" s="3116">
        <v>15</v>
      </c>
    </row>
    <row r="107" spans="1:6" ht="36">
      <c r="A107" s="3116">
        <v>35</v>
      </c>
      <c r="B107" s="3782" t="s">
        <v>2722</v>
      </c>
      <c r="C107" s="3116" t="s">
        <v>2723</v>
      </c>
      <c r="D107" s="3090" t="s">
        <v>2724</v>
      </c>
      <c r="E107" s="3116">
        <v>0.15</v>
      </c>
      <c r="F107" s="3116">
        <v>20</v>
      </c>
    </row>
    <row r="108" spans="1:6" ht="24">
      <c r="A108" s="3116">
        <v>36</v>
      </c>
      <c r="B108" s="3784"/>
      <c r="C108" s="3116" t="s">
        <v>2725</v>
      </c>
      <c r="D108" s="3090" t="s">
        <v>2726</v>
      </c>
      <c r="E108" s="3116">
        <v>0.15</v>
      </c>
      <c r="F108" s="3116">
        <v>20</v>
      </c>
    </row>
    <row r="109" spans="1:6" ht="24">
      <c r="A109" s="3116">
        <v>37</v>
      </c>
      <c r="B109" s="3784"/>
      <c r="C109" s="3116" t="s">
        <v>2727</v>
      </c>
      <c r="D109" s="3090" t="s">
        <v>2728</v>
      </c>
      <c r="E109" s="3116">
        <v>0.15</v>
      </c>
      <c r="F109" s="3116">
        <v>20</v>
      </c>
    </row>
    <row r="110" spans="1:6" ht="24">
      <c r="A110" s="3116">
        <v>38</v>
      </c>
      <c r="B110" s="3784"/>
      <c r="C110" s="3116" t="s">
        <v>2729</v>
      </c>
      <c r="D110" s="3090" t="s">
        <v>2730</v>
      </c>
      <c r="E110" s="3116">
        <v>0.1</v>
      </c>
      <c r="F110" s="3116">
        <v>15</v>
      </c>
    </row>
    <row r="111" spans="1:6" ht="24">
      <c r="A111" s="3116">
        <v>39</v>
      </c>
      <c r="B111" s="3784"/>
      <c r="C111" s="3116" t="s">
        <v>2731</v>
      </c>
      <c r="D111" s="3090" t="s">
        <v>2732</v>
      </c>
      <c r="E111" s="3116">
        <v>0.1</v>
      </c>
      <c r="F111" s="3116">
        <v>15</v>
      </c>
    </row>
    <row r="112" spans="1:6" ht="24">
      <c r="A112" s="3116">
        <v>40</v>
      </c>
      <c r="B112" s="3783"/>
      <c r="C112" s="3116" t="s">
        <v>2733</v>
      </c>
      <c r="D112" s="3090" t="s">
        <v>2734</v>
      </c>
      <c r="E112" s="3116">
        <v>0.1</v>
      </c>
      <c r="F112" s="3116">
        <v>15</v>
      </c>
    </row>
    <row r="113" spans="1:6" ht="24">
      <c r="A113" s="3116">
        <v>41</v>
      </c>
      <c r="B113" s="3781" t="s">
        <v>2735</v>
      </c>
      <c r="C113" s="3116" t="s">
        <v>2736</v>
      </c>
      <c r="D113" s="3090" t="s">
        <v>2737</v>
      </c>
      <c r="E113" s="3116">
        <v>0.1</v>
      </c>
      <c r="F113" s="3116">
        <v>15</v>
      </c>
    </row>
    <row r="114" spans="1:6" ht="24">
      <c r="A114" s="3116">
        <v>42</v>
      </c>
      <c r="B114" s="3781"/>
      <c r="C114" s="3116" t="s">
        <v>2738</v>
      </c>
      <c r="D114" s="3090" t="s">
        <v>2739</v>
      </c>
      <c r="E114" s="3116">
        <v>0.1</v>
      </c>
      <c r="F114" s="3116">
        <v>15</v>
      </c>
    </row>
    <row r="115" spans="1:6" ht="24">
      <c r="A115" s="3116">
        <v>43</v>
      </c>
      <c r="B115" s="3781"/>
      <c r="C115" s="3116" t="s">
        <v>2740</v>
      </c>
      <c r="D115" s="3090" t="s">
        <v>2741</v>
      </c>
      <c r="E115" s="3116">
        <v>0.1</v>
      </c>
      <c r="F115" s="3116">
        <v>15</v>
      </c>
    </row>
    <row r="116" spans="1:6" ht="24">
      <c r="A116" s="3116">
        <v>44</v>
      </c>
      <c r="B116" s="3782" t="s">
        <v>2742</v>
      </c>
      <c r="C116" s="3116" t="s">
        <v>2743</v>
      </c>
      <c r="D116" s="3090" t="s">
        <v>2744</v>
      </c>
      <c r="E116" s="3116">
        <v>0.1</v>
      </c>
      <c r="F116" s="3116">
        <v>15</v>
      </c>
    </row>
    <row r="117" spans="1:6" ht="24">
      <c r="A117" s="3116">
        <v>45</v>
      </c>
      <c r="B117" s="3783"/>
      <c r="C117" s="3090" t="s">
        <v>2745</v>
      </c>
      <c r="D117" s="3090" t="s">
        <v>2746</v>
      </c>
      <c r="E117" s="3116">
        <v>0.1</v>
      </c>
      <c r="F117" s="3116">
        <v>15</v>
      </c>
    </row>
    <row r="118" spans="1:6" ht="24">
      <c r="A118" s="3116">
        <v>46</v>
      </c>
      <c r="B118" s="3782" t="s">
        <v>2747</v>
      </c>
      <c r="C118" s="3116" t="s">
        <v>2748</v>
      </c>
      <c r="D118" s="3090" t="s">
        <v>2749</v>
      </c>
      <c r="E118" s="3116">
        <v>0.1</v>
      </c>
      <c r="F118" s="3116">
        <v>15</v>
      </c>
    </row>
    <row r="119" spans="1:6" ht="24">
      <c r="A119" s="3116">
        <v>47</v>
      </c>
      <c r="B119" s="3783"/>
      <c r="C119" s="3116" t="s">
        <v>2750</v>
      </c>
      <c r="D119" s="3090" t="s">
        <v>2751</v>
      </c>
      <c r="E119" s="3116">
        <v>0.1</v>
      </c>
      <c r="F119" s="3116">
        <v>15</v>
      </c>
    </row>
    <row r="120" spans="1:6" ht="24">
      <c r="A120" s="3116">
        <v>48</v>
      </c>
      <c r="B120" s="3782" t="s">
        <v>2752</v>
      </c>
      <c r="C120" s="3116" t="s">
        <v>2753</v>
      </c>
      <c r="D120" s="3090" t="s">
        <v>2754</v>
      </c>
      <c r="E120" s="3116">
        <v>0.1</v>
      </c>
      <c r="F120" s="3116">
        <v>15</v>
      </c>
    </row>
    <row r="121" spans="1:6" ht="24">
      <c r="A121" s="3116">
        <v>49</v>
      </c>
      <c r="B121" s="3783"/>
      <c r="C121" s="3116" t="s">
        <v>2755</v>
      </c>
      <c r="D121" s="3090" t="s">
        <v>2756</v>
      </c>
      <c r="E121" s="3116">
        <v>0.1</v>
      </c>
      <c r="F121" s="3116">
        <v>15</v>
      </c>
    </row>
    <row r="122" spans="1:6" ht="24">
      <c r="A122" s="3116">
        <v>50</v>
      </c>
      <c r="B122" s="3781" t="s">
        <v>2757</v>
      </c>
      <c r="C122" s="3116" t="s">
        <v>2758</v>
      </c>
      <c r="D122" s="3090" t="s">
        <v>2759</v>
      </c>
      <c r="E122" s="3116">
        <v>0.1</v>
      </c>
      <c r="F122" s="3116">
        <v>15</v>
      </c>
    </row>
    <row r="123" spans="1:6" ht="24">
      <c r="A123" s="3116">
        <v>51</v>
      </c>
      <c r="B123" s="3781"/>
      <c r="C123" s="3116" t="s">
        <v>2760</v>
      </c>
      <c r="D123" s="3090" t="s">
        <v>2761</v>
      </c>
      <c r="E123" s="3116">
        <v>0.1</v>
      </c>
      <c r="F123" s="3116">
        <v>15</v>
      </c>
    </row>
    <row r="124" spans="1:6" ht="24">
      <c r="A124" s="3116">
        <v>52</v>
      </c>
      <c r="B124" s="3781" t="s">
        <v>2762</v>
      </c>
      <c r="C124" s="3116" t="s">
        <v>2763</v>
      </c>
      <c r="D124" s="3090" t="s">
        <v>2764</v>
      </c>
      <c r="E124" s="3116">
        <v>0.1</v>
      </c>
      <c r="F124" s="3116">
        <v>15</v>
      </c>
    </row>
    <row r="125" spans="1:6" ht="24">
      <c r="A125" s="3116">
        <v>53</v>
      </c>
      <c r="B125" s="3781"/>
      <c r="C125" s="3116" t="s">
        <v>2765</v>
      </c>
      <c r="D125" s="3090" t="s">
        <v>2766</v>
      </c>
      <c r="E125" s="3116">
        <v>0.1</v>
      </c>
      <c r="F125" s="3116">
        <v>15</v>
      </c>
    </row>
    <row r="126" spans="1:6" ht="24">
      <c r="A126" s="3116">
        <v>54</v>
      </c>
      <c r="B126" s="3116" t="s">
        <v>2767</v>
      </c>
      <c r="C126" s="3116" t="s">
        <v>2768</v>
      </c>
      <c r="D126" s="3090" t="s">
        <v>2769</v>
      </c>
      <c r="E126" s="3116">
        <v>0.1</v>
      </c>
      <c r="F126" s="3116">
        <v>15</v>
      </c>
    </row>
    <row r="127" spans="1:6" ht="24">
      <c r="A127" s="3116">
        <v>55</v>
      </c>
      <c r="B127" s="3781" t="s">
        <v>2770</v>
      </c>
      <c r="C127" s="3116" t="s">
        <v>2771</v>
      </c>
      <c r="D127" s="3090" t="s">
        <v>2772</v>
      </c>
      <c r="E127" s="3116">
        <v>0.1</v>
      </c>
      <c r="F127" s="3116">
        <v>15</v>
      </c>
    </row>
    <row r="128" spans="1:6" ht="24">
      <c r="A128" s="3116">
        <v>56</v>
      </c>
      <c r="B128" s="3781"/>
      <c r="C128" s="3116" t="s">
        <v>2773</v>
      </c>
      <c r="D128" s="3090" t="s">
        <v>2774</v>
      </c>
      <c r="E128" s="3116">
        <v>0.1</v>
      </c>
      <c r="F128" s="3116">
        <v>15</v>
      </c>
    </row>
    <row r="129" spans="1:6" ht="24">
      <c r="A129" s="3116">
        <v>57</v>
      </c>
      <c r="B129" s="3781"/>
      <c r="C129" s="3116" t="s">
        <v>2775</v>
      </c>
      <c r="D129" s="3090" t="s">
        <v>2776</v>
      </c>
      <c r="E129" s="3116">
        <v>0.1</v>
      </c>
      <c r="F129" s="3116">
        <v>15</v>
      </c>
    </row>
    <row r="130" spans="1:6" ht="24">
      <c r="A130" s="3116">
        <v>58</v>
      </c>
      <c r="B130" s="3781" t="s">
        <v>2777</v>
      </c>
      <c r="C130" s="3116" t="s">
        <v>2778</v>
      </c>
      <c r="D130" s="3090" t="s">
        <v>2779</v>
      </c>
      <c r="E130" s="3116">
        <v>0.1</v>
      </c>
      <c r="F130" s="3116">
        <v>15</v>
      </c>
    </row>
    <row r="131" spans="1:6" ht="24">
      <c r="A131" s="3116">
        <v>59</v>
      </c>
      <c r="B131" s="3781"/>
      <c r="C131" s="3116" t="s">
        <v>2780</v>
      </c>
      <c r="D131" s="3090" t="s">
        <v>2781</v>
      </c>
      <c r="E131" s="3116">
        <v>0.1</v>
      </c>
      <c r="F131" s="3116">
        <v>15</v>
      </c>
    </row>
    <row r="132" spans="1:6" ht="24">
      <c r="A132" s="3116">
        <v>60</v>
      </c>
      <c r="B132" s="3782" t="s">
        <v>2782</v>
      </c>
      <c r="C132" s="3116" t="s">
        <v>2783</v>
      </c>
      <c r="D132" s="3090" t="s">
        <v>2784</v>
      </c>
      <c r="E132" s="3116">
        <v>0.1</v>
      </c>
      <c r="F132" s="3116">
        <v>15</v>
      </c>
    </row>
    <row r="133" spans="1:6" ht="24">
      <c r="A133" s="3116">
        <v>61</v>
      </c>
      <c r="B133" s="3783"/>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24">
      <c r="A135" s="3116">
        <v>63</v>
      </c>
      <c r="B135" s="3781" t="s">
        <v>2790</v>
      </c>
      <c r="C135" s="3116" t="s">
        <v>2791</v>
      </c>
      <c r="D135" s="3090" t="s">
        <v>2792</v>
      </c>
      <c r="E135" s="3116">
        <v>0.1</v>
      </c>
      <c r="F135" s="3116">
        <v>15</v>
      </c>
    </row>
    <row r="136" spans="1:6" ht="24">
      <c r="A136" s="3116">
        <v>64</v>
      </c>
      <c r="B136" s="3781"/>
      <c r="C136" s="3116" t="s">
        <v>2793</v>
      </c>
      <c r="D136" s="3090" t="s">
        <v>2794</v>
      </c>
      <c r="E136" s="3116">
        <v>0.1</v>
      </c>
      <c r="F136" s="3116">
        <v>15</v>
      </c>
    </row>
    <row r="137" spans="1:6" ht="24">
      <c r="A137" s="3116">
        <v>65</v>
      </c>
      <c r="B137" s="3116" t="s">
        <v>2795</v>
      </c>
      <c r="C137" s="3116" t="s">
        <v>2796</v>
      </c>
      <c r="D137" s="3090" t="s">
        <v>2797</v>
      </c>
      <c r="E137" s="3116">
        <v>0.1</v>
      </c>
      <c r="F137" s="3116">
        <v>15</v>
      </c>
    </row>
    <row r="138" spans="1:6" ht="14.4">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87252</v>
      </c>
      <c r="C2" s="2" t="s">
        <v>106</v>
      </c>
      <c r="D2" s="199"/>
      <c r="E2" s="199"/>
      <c r="F2" s="199"/>
      <c r="G2" s="199"/>
    </row>
    <row r="3" spans="1:7" s="200" customFormat="1" ht="18" customHeight="1" thickBot="1">
      <c r="A3" s="203" t="s">
        <v>58</v>
      </c>
      <c r="B3" s="204">
        <f ca="1">ROUND(B2*10000/'数据-汇总表'!E3,0)</f>
        <v>5839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2989</v>
      </c>
      <c r="D10" s="845">
        <f>'数据-汇总表'!E6</f>
        <v>149436.09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2989</v>
      </c>
      <c r="D19" s="849">
        <f>'数据-汇总表'!E3</f>
        <v>149436.09</v>
      </c>
      <c r="E19" s="211">
        <f>'数据-取费表'!B31</f>
        <v>200</v>
      </c>
      <c r="F19" s="231"/>
      <c r="G19" s="1" t="s">
        <v>436</v>
      </c>
    </row>
    <row r="20" spans="1:7" s="214" customFormat="1" ht="13.5" customHeight="1">
      <c r="A20" s="777" t="s">
        <v>419</v>
      </c>
      <c r="B20" s="210" t="s">
        <v>77</v>
      </c>
      <c r="C20" s="232">
        <f>ROUND((C5+C19)*F20,0)</f>
        <v>472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1585</v>
      </c>
      <c r="D22" s="235">
        <f ca="1">C26</f>
        <v>6.9999999999999999E-4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1371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199</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1652</v>
      </c>
      <c r="D27" s="235">
        <f>C29</f>
        <v>1.4E-3</v>
      </c>
      <c r="E27" s="236" t="s">
        <v>99</v>
      </c>
      <c r="F27" s="246">
        <f>'数据-取费表'!Q16</f>
        <v>0.13</v>
      </c>
      <c r="G27" s="247" t="s">
        <v>431</v>
      </c>
    </row>
    <row r="28" spans="1:7" s="214" customFormat="1" ht="13.5" customHeight="1">
      <c r="A28" s="780" t="s">
        <v>349</v>
      </c>
      <c r="B28" s="248" t="s">
        <v>424</v>
      </c>
      <c r="C28" s="249">
        <f>ROUND((C5+C19+C20)*F27*'数据-取费表'!B21/'数据-取费表'!B20,0)</f>
        <v>1652</v>
      </c>
      <c r="D28" s="235"/>
      <c r="E28" s="236"/>
      <c r="F28" s="246"/>
      <c r="G28" s="247"/>
    </row>
    <row r="29" spans="1:7" s="214" customFormat="1" ht="13.5" customHeight="1">
      <c r="A29" s="780" t="s">
        <v>347</v>
      </c>
      <c r="B29" s="248" t="s">
        <v>425</v>
      </c>
      <c r="C29" s="238">
        <f>ROUND(C21*F27*'数据-取费表'!B21/'数据-取费表'!B20,4)</f>
        <v>1.4E-3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29506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45006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41164</v>
      </c>
      <c r="D34" s="217"/>
      <c r="E34" s="220"/>
      <c r="F34" s="257">
        <f>IF('数据-取费表'!B24=0,1,'数据-取费表'!N16)</f>
        <v>0.52800000000000002</v>
      </c>
      <c r="G34" s="219" t="s">
        <v>89</v>
      </c>
    </row>
    <row r="35" spans="1:7" ht="13.5" customHeight="1">
      <c r="A35" s="780" t="s">
        <v>351</v>
      </c>
      <c r="B35" s="215" t="s">
        <v>33</v>
      </c>
      <c r="C35" s="220">
        <f>ROUND(C34*F35,0)</f>
        <v>1647</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1578</v>
      </c>
      <c r="D37" s="217">
        <f>'数据-汇总表'!E3</f>
        <v>149436.09</v>
      </c>
      <c r="E37" s="249">
        <f>'数据-取费表'!B35</f>
        <v>200</v>
      </c>
      <c r="F37" s="259"/>
      <c r="G37" s="261" t="s">
        <v>92</v>
      </c>
    </row>
    <row r="38" spans="1:7" ht="13.5" customHeight="1">
      <c r="A38" s="780" t="s">
        <v>354</v>
      </c>
      <c r="B38" s="215" t="s">
        <v>36</v>
      </c>
      <c r="C38" s="220">
        <f>ROUND(C34*F38,0)</f>
        <v>617</v>
      </c>
      <c r="D38" s="220"/>
      <c r="E38" s="220"/>
      <c r="F38" s="259">
        <f>'数据-取费表'!B36</f>
        <v>1.4999999999999999E-2</v>
      </c>
      <c r="G38" s="219" t="s">
        <v>90</v>
      </c>
    </row>
    <row r="39" spans="1:7" s="214" customFormat="1" ht="13.5" customHeight="1">
      <c r="A39" s="777" t="s">
        <v>338</v>
      </c>
      <c r="B39" s="210" t="s">
        <v>77</v>
      </c>
      <c r="C39" s="232">
        <f>ROUND(C33*F20,0)</f>
        <v>900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1502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1473</v>
      </c>
      <c r="D42" s="238"/>
      <c r="E42" s="238"/>
      <c r="F42" s="239"/>
      <c r="G42" s="3651" t="s">
        <v>94</v>
      </c>
    </row>
    <row r="43" spans="1:7" ht="13.5" customHeight="1">
      <c r="A43" s="780" t="s">
        <v>347</v>
      </c>
      <c r="B43" s="215" t="s">
        <v>426</v>
      </c>
      <c r="C43" s="238">
        <f ca="1">ROUND(IF('数据-取费表'!B22&lt;=1,C39*F22*'数据-取费表'!B21/2,C39*(POWER((1+F22),'数据-取费表'!B21/2)-1)),0)</f>
        <v>29</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5968</v>
      </c>
      <c r="D45" s="235">
        <f>C47</f>
        <v>2.5999999999999999E-3</v>
      </c>
      <c r="E45" s="236" t="s">
        <v>102</v>
      </c>
      <c r="F45" s="246"/>
      <c r="G45" s="247" t="s">
        <v>434</v>
      </c>
    </row>
    <row r="46" spans="1:7" s="214" customFormat="1" ht="13.5" customHeight="1">
      <c r="A46" s="780" t="s">
        <v>349</v>
      </c>
      <c r="B46" s="248" t="s">
        <v>427</v>
      </c>
      <c r="C46" s="249">
        <f>ROUND((C33+C39)*F27,0)</f>
        <v>5968</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57746</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57746</v>
      </c>
      <c r="D51" s="232"/>
      <c r="E51" s="232"/>
      <c r="F51" s="264"/>
      <c r="G51" s="234" t="s">
        <v>37</v>
      </c>
    </row>
    <row r="52" spans="1:7" s="208" customFormat="1" ht="16.8" thickBot="1">
      <c r="A52" s="265" t="s">
        <v>38</v>
      </c>
      <c r="B52" s="266"/>
      <c r="C52" s="267">
        <f ca="1">C31+C51</f>
        <v>87252</v>
      </c>
      <c r="D52" s="266"/>
      <c r="E52" s="266"/>
      <c r="F52" s="266"/>
      <c r="G52" s="268"/>
    </row>
    <row r="55" spans="1:7" ht="15">
      <c r="B55" s="270" t="s">
        <v>39</v>
      </c>
      <c r="C55" s="271"/>
    </row>
    <row r="56" spans="1:7">
      <c r="B56" s="273" t="s">
        <v>40</v>
      </c>
      <c r="C56" s="274">
        <f ca="1">ROUND(C51/C52,3)</f>
        <v>0.66200000000000003</v>
      </c>
    </row>
    <row r="57" spans="1:7">
      <c r="B57" s="273" t="s">
        <v>41</v>
      </c>
      <c r="C57" s="275">
        <f ca="1">1-C56</f>
        <v>0.33799999999999997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95" t="s">
        <v>2846</v>
      </c>
      <c r="B1" s="3795"/>
      <c r="C1" s="3795"/>
      <c r="D1" s="3795"/>
      <c r="E1" s="3795"/>
      <c r="F1" s="3795"/>
      <c r="G1" s="3796"/>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1.4"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93" t="s">
        <v>2873</v>
      </c>
      <c r="B3" s="3229"/>
      <c r="C3" s="3230" t="s">
        <v>2812</v>
      </c>
      <c r="D3" s="3230" t="s">
        <v>2874</v>
      </c>
      <c r="E3" s="3230" t="s">
        <v>2814</v>
      </c>
      <c r="F3" s="3230" t="s">
        <v>2875</v>
      </c>
      <c r="G3" s="3230" t="s">
        <v>2632</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1.4" thickBot="1">
      <c r="A4" s="3794"/>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1.4"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1.4"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1.4"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1.4"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RowHeight="14.4"/>
  <cols>
    <col min="1" max="1" width="12.6640625" style="3288" customWidth="1"/>
    <col min="2" max="2" width="20" style="3288" customWidth="1"/>
    <col min="3" max="7" width="8.88671875" style="3252"/>
    <col min="8" max="16384" width="8.88671875" style="3253"/>
  </cols>
  <sheetData>
    <row r="1" spans="1:7">
      <c r="A1" s="3797" t="s">
        <v>3188</v>
      </c>
      <c r="B1" s="3797"/>
    </row>
    <row r="2" spans="1:7" ht="15" thickBot="1">
      <c r="A2" s="3254"/>
      <c r="B2" s="3254"/>
    </row>
    <row r="3" spans="1:7" ht="15" thickBot="1">
      <c r="A3" s="3254"/>
      <c r="B3" s="3254"/>
      <c r="C3" s="3255" t="s">
        <v>2812</v>
      </c>
      <c r="D3" s="3255" t="s">
        <v>2874</v>
      </c>
      <c r="E3" s="3255" t="s">
        <v>2814</v>
      </c>
      <c r="F3" s="3255" t="s">
        <v>2875</v>
      </c>
      <c r="G3" s="3255" t="s">
        <v>2632</v>
      </c>
    </row>
    <row r="4" spans="1:7" ht="1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98" t="s">
        <v>3239</v>
      </c>
      <c r="B1" s="3798"/>
      <c r="C1" s="3798"/>
      <c r="D1" s="3798"/>
      <c r="E1" s="3798"/>
      <c r="F1" s="3799"/>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H3" sqref="H3"/>
    </sheetView>
  </sheetViews>
  <sheetFormatPr defaultRowHeight="14.4"/>
  <cols>
    <col min="1" max="1" width="13.88671875" customWidth="1"/>
  </cols>
  <sheetData>
    <row r="1" spans="1:30">
      <c r="A1" s="3220">
        <f>基准地价修正!G23</f>
        <v>44917</v>
      </c>
      <c r="B1" s="3209" t="s">
        <v>2845</v>
      </c>
      <c r="C1" s="3210"/>
      <c r="D1" s="3210"/>
      <c r="E1" s="3210"/>
      <c r="F1" s="3210"/>
      <c r="G1" s="3210"/>
      <c r="H1" s="3210"/>
      <c r="I1" s="3210"/>
      <c r="J1" s="3163"/>
      <c r="K1" s="3210" t="s">
        <v>454</v>
      </c>
      <c r="L1" s="3210"/>
      <c r="M1" s="3210"/>
      <c r="N1" s="3210"/>
      <c r="O1" s="3210"/>
      <c r="P1" s="3210"/>
      <c r="Q1" s="3163"/>
      <c r="R1" s="3800" t="s">
        <v>456</v>
      </c>
      <c r="S1" s="3801"/>
      <c r="T1" s="3801"/>
      <c r="U1" s="3801"/>
      <c r="V1" s="3801"/>
      <c r="W1" s="3801"/>
      <c r="X1" s="3163"/>
      <c r="Y1" s="3800" t="s">
        <v>457</v>
      </c>
      <c r="Z1" s="3801"/>
      <c r="AA1" s="3801"/>
      <c r="AB1" s="3801"/>
      <c r="AC1" s="3801"/>
      <c r="AD1" s="3801"/>
    </row>
    <row r="2" spans="1:30" s="3141" customFormat="1" ht="1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3.2">
      <c r="A3" s="3147" t="s">
        <v>2820</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3174" t="s">
        <v>2821</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ROUND(IF([2]项目基本情况!B8="出让",SUMPRODUCT(PRODUCT(1+K5:K13)),SUMPRODUCT(PRODUCT(1+K5:K12))),4)</f>
        <v>1.05</v>
      </c>
      <c r="S5" s="3181">
        <f>ROUND(IF([2]项目基本情况!B8="出让",SUMPRODUCT(PRODUCT(1+L5:L13)),SUMPRODUCT(PRODUCT(1+L5:L12))),4)</f>
        <v>1.0229999999999999</v>
      </c>
      <c r="T5" s="3181">
        <f>ROUND(IF([2]项目基本情况!B8="出让",SUMPRODUCT(PRODUCT(1+M5:M13)),SUMPRODUCT(PRODUCT(1+M5:M12))),4)</f>
        <v>1.0134000000000001</v>
      </c>
      <c r="U5" s="3181">
        <f>ROUND(IF([2]项目基本情况!B8="出让",SUMPRODUCT(PRODUCT(1+N5:N13)),SUMPRODUCT(PRODUCT(1+N5:N12))),4)</f>
        <v>1.0545</v>
      </c>
      <c r="V5" s="3181">
        <f>ROUND(IF([2]项目基本情况!B8="出让",SUMPRODUCT(PRODUCT(1+O5:O13)),SUMPRODUCT(PRODUCT(1+O5:O12))),4)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3.2">
      <c r="A6" s="3174" t="s">
        <v>2822</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ROUND(IF([2]项目基本情况!B8="出让",SUMPRODUCT(PRODUCT(1+K6:K13)),SUMPRODUCT(PRODUCT(1+K6:K12))),4)</f>
        <v>1.05</v>
      </c>
      <c r="S6" s="3181">
        <f>ROUND(IF([2]项目基本情况!B8="出让",SUMPRODUCT(PRODUCT(1+L6:L13)),SUMPRODUCT(PRODUCT(1+L6:L12))),4)</f>
        <v>1.0229999999999999</v>
      </c>
      <c r="T6" s="3181">
        <f>ROUND(IF([2]项目基本情况!B8="出让",SUMPRODUCT(PRODUCT(1+M6:M13)),SUMPRODUCT(PRODUCT(1+M6:M12))),4)</f>
        <v>1.0134000000000001</v>
      </c>
      <c r="U6" s="3181">
        <f>ROUND(IF([2]项目基本情况!B8="出让",SUMPRODUCT(PRODUCT(1+N6:N13)),SUMPRODUCT(PRODUCT(1+N6:N12))),4)</f>
        <v>1.0545</v>
      </c>
      <c r="V6" s="3181">
        <f>ROUND(IF([2]项目基本情况!B8="出让",SUMPRODUCT(PRODUCT(1+O6:O13)),SUMPRODUCT(PRODUCT(1+O6:O12))),4)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3.2">
      <c r="A7" s="3185" t="s">
        <v>3362</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ROUND(IF([2]项目基本情况!B8="出让",SUMPRODUCT(PRODUCT(1+K7:K13)),SUMPRODUCT(PRODUCT(1+K7:K12))),4)</f>
        <v>1.05</v>
      </c>
      <c r="S7" s="3191">
        <f>ROUND(IF([2]项目基本情况!B8="出让",SUMPRODUCT(PRODUCT(1+L7:L13)),SUMPRODUCT(PRODUCT(1+L7:L12))),4)</f>
        <v>1.0229999999999999</v>
      </c>
      <c r="T7" s="3191">
        <f>ROUND(IF([2]项目基本情况!B8="出让",SUMPRODUCT(PRODUCT(1+M7:M13)),SUMPRODUCT(PRODUCT(1+M7:M12))),4)</f>
        <v>1.0134000000000001</v>
      </c>
      <c r="U7" s="3191">
        <f>ROUND(IF([2]项目基本情况!B8="出让",SUMPRODUCT(PRODUCT(1+N7:N13)),SUMPRODUCT(PRODUCT(1+N7:N12))),4)</f>
        <v>1.0545</v>
      </c>
      <c r="V7" s="3191">
        <f>ROUND(IF([2]项目基本情况!B8="出让",SUMPRODUCT(PRODUCT(1+O7:O13)),SUMPRODUCT(PRODUCT(1+O7:O12))),4)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3.2">
      <c r="A8" s="3174" t="s">
        <v>3363</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ROUND(IF([2]项目基本情况!B8="出让",SUMPRODUCT(PRODUCT(1+K8:K13)),SUMPRODUCT(PRODUCT(1+K8:K12))),4)</f>
        <v>1.0430999999999999</v>
      </c>
      <c r="S8" s="3181">
        <f>ROUND(IF([2]项目基本情况!B8="出让",SUMPRODUCT(PRODUCT(1+L8:L13)),SUMPRODUCT(PRODUCT(1+L8:L12))),4)</f>
        <v>1.0197000000000001</v>
      </c>
      <c r="T8" s="3181">
        <f>ROUND(IF([2]项目基本情况!B8="出让",SUMPRODUCT(PRODUCT(1+M8:M13)),SUMPRODUCT(PRODUCT(1+M8:M12))),4)</f>
        <v>1.0109999999999999</v>
      </c>
      <c r="U8" s="3181">
        <f>ROUND(IF([2]项目基本情况!B8="出让",SUMPRODUCT(PRODUCT(1+N8:N13)),SUMPRODUCT(PRODUCT(1+N8:N12))),4)</f>
        <v>1.0468999999999999</v>
      </c>
      <c r="V8" s="3181">
        <f>ROUND(IF([2]项目基本情况!B8="出让",SUMPRODUCT(PRODUCT(1+O8:O13)),SUMPRODUCT(PRODUCT(1+O8:O12))),4)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3.2">
      <c r="A9" s="3174" t="s">
        <v>2823</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ROUND(IF([2]项目基本情况!B8="出让",SUMPRODUCT(PRODUCT(1+K9:K13)),SUMPRODUCT(PRODUCT(1+K9:K12))),4)</f>
        <v>1.0335000000000001</v>
      </c>
      <c r="S9" s="3181">
        <f>ROUND(IF([2]项目基本情况!B8="出让",SUMPRODUCT(PRODUCT(1+L9:L13)),SUMPRODUCT(PRODUCT(1+L9:L12))),4)</f>
        <v>1.0182</v>
      </c>
      <c r="T9" s="3181">
        <f>ROUND(IF([2]项目基本情况!B8="出让",SUMPRODUCT(PRODUCT(1+M9:M13)),SUMPRODUCT(PRODUCT(1+M9:M12))),4)</f>
        <v>1.0108999999999999</v>
      </c>
      <c r="U9" s="3181">
        <f>ROUND(IF([2]项目基本情况!B8="出让",SUMPRODUCT(PRODUCT(1+N9:N13)),SUMPRODUCT(PRODUCT(1+N9:N12))),4)</f>
        <v>1.0361</v>
      </c>
      <c r="V9" s="3181">
        <f>ROUND(IF([2]项目基本情况!B8="出让",SUMPRODUCT(PRODUCT(1+O9:O13)),SUMPRODUCT(PRODUCT(1+O9:O12))),4)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3.2">
      <c r="A10" s="3174" t="s">
        <v>2824</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ROUND(IF([2]项目基本情况!B8="出让",SUMPRODUCT(PRODUCT(1+K10:K13)),SUMPRODUCT(PRODUCT(1+K10:K12))),4)</f>
        <v>1.0244</v>
      </c>
      <c r="S10" s="3181">
        <f>ROUND(IF([2]项目基本情况!B8="出让",SUMPRODUCT(PRODUCT(1+L10:L13)),SUMPRODUCT(PRODUCT(1+L10:L12))),4)</f>
        <v>1.0138</v>
      </c>
      <c r="T10" s="3181">
        <f>ROUND(IF([2]项目基本情况!B8="出让",SUMPRODUCT(PRODUCT(1+M10:M13)),SUMPRODUCT(PRODUCT(1+M10:M12))),4)</f>
        <v>1.0072000000000001</v>
      </c>
      <c r="U10" s="3181">
        <f>ROUND(IF([2]项目基本情况!B8="出让",SUMPRODUCT(PRODUCT(1+N10:N13)),SUMPRODUCT(PRODUCT(1+N10:N12))),4)</f>
        <v>1.0262</v>
      </c>
      <c r="V10" s="3181">
        <f>ROUND(IF([2]项目基本情况!B8="出让",SUMPRODUCT(PRODUCT(1+O10:O13)),SUMPRODUCT(PRODUCT(1+O10:O12))),4)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3.2">
      <c r="A11" s="3174" t="s">
        <v>2825</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ROUND(IF([2]项目基本情况!B8="出让",SUMPRODUCT(PRODUCT(1+K11:K13)),SUMPRODUCT(PRODUCT(1+K11:K12))),4)</f>
        <v>1.0139</v>
      </c>
      <c r="S11" s="3181">
        <f>ROUND(IF([2]项目基本情况!B8="出让",SUMPRODUCT(PRODUCT(1+L11:L13)),SUMPRODUCT(PRODUCT(1+L11:L12))),4)</f>
        <v>1.0113000000000001</v>
      </c>
      <c r="T11" s="3181">
        <f>ROUND(IF([2]项目基本情况!B8="出让",SUMPRODUCT(PRODUCT(1+M11:M13)),SUMPRODUCT(PRODUCT(1+M11:M12))),4)</f>
        <v>1.0065</v>
      </c>
      <c r="U11" s="3181">
        <f>ROUND(IF([2]项目基本情况!B8="出让",SUMPRODUCT(PRODUCT(1+N11:N13)),SUMPRODUCT(PRODUCT(1+N11:N12))),4)</f>
        <v>1.0143</v>
      </c>
      <c r="V11" s="3181">
        <f>ROUND(IF([2]项目基本情况!B8="出让",SUMPRODUCT(PRODUCT(1+O11:O13)),SUMPRODUCT(PRODUCT(1+O11:O12))),4)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3.2">
      <c r="A12" s="3174" t="s">
        <v>2826</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ROUND(IF([2]项目基本情况!B8="出让",SUMPRODUCT(PRODUCT(1+K12:K13)),SUMPRODUCT(PRODUCT(1+K12:K12))),4)</f>
        <v>1.0092000000000001</v>
      </c>
      <c r="S12" s="3181">
        <f>ROUND(IF([2]项目基本情况!B8="出让",SUMPRODUCT(PRODUCT(1+L12:L13)),SUMPRODUCT(PRODUCT(1+L12:L12))),4)</f>
        <v>1.0072000000000001</v>
      </c>
      <c r="T12" s="3181">
        <f>ROUND(IF([2]项目基本情况!B8="出让",SUMPRODUCT(PRODUCT(1+M12:M13)),SUMPRODUCT(PRODUCT(1+M12:M12))),4)</f>
        <v>1.0041</v>
      </c>
      <c r="U12" s="3181">
        <f>ROUND(IF([2]项目基本情况!B8="出让",SUMPRODUCT(PRODUCT(1+N12:N13)),SUMPRODUCT(PRODUCT(1+N12:N12))),4)</f>
        <v>1.0095000000000001</v>
      </c>
      <c r="V12" s="3181">
        <f>ROUND(IF([2]项目基本情况!B8="出让",SUMPRODUCT(PRODUCT(1+O12:O13)),SUMPRODUCT(PRODUCT(1+O12:O12))),4)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ht="13.8" thickBot="1">
      <c r="A13" s="3196" t="s">
        <v>2827</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5" thickTop="1"/>
    <row r="15" spans="1:30" s="3007" customFormat="1"/>
    <row r="16" spans="1:30" s="3007" customFormat="1">
      <c r="I16" s="3207" t="s">
        <v>2828</v>
      </c>
    </row>
    <row r="17" spans="1:30" s="3007" customFormat="1"/>
    <row r="18" spans="1:30" s="3208" customFormat="1" ht="13.2">
      <c r="B18" s="3209" t="s">
        <v>2829</v>
      </c>
      <c r="C18" s="3210"/>
      <c r="D18" s="3210"/>
      <c r="E18" s="3210"/>
      <c r="F18" s="3210"/>
      <c r="G18" s="3210"/>
      <c r="H18" s="3210"/>
      <c r="I18" s="3210"/>
      <c r="J18" s="3163"/>
      <c r="K18" s="3210" t="s">
        <v>2830</v>
      </c>
      <c r="L18" s="3210"/>
      <c r="M18" s="3210"/>
      <c r="N18" s="3210"/>
      <c r="O18" s="3210"/>
      <c r="P18" s="3210"/>
      <c r="Q18" s="3163"/>
      <c r="R18" s="3800" t="s">
        <v>2831</v>
      </c>
      <c r="S18" s="3801"/>
      <c r="T18" s="3801"/>
      <c r="U18" s="3801"/>
      <c r="V18" s="3801"/>
      <c r="W18" s="3801"/>
      <c r="X18" s="3163"/>
      <c r="Y18" s="3800" t="s">
        <v>2832</v>
      </c>
      <c r="Z18" s="3801"/>
      <c r="AA18" s="3801"/>
      <c r="AB18" s="3801"/>
      <c r="AC18" s="3801"/>
      <c r="AD18" s="3801"/>
    </row>
    <row r="19" spans="1:30" s="3141" customFormat="1" ht="15" thickBot="1">
      <c r="B19" s="3142"/>
      <c r="C19" s="3143"/>
      <c r="D19" s="3144" t="s">
        <v>2833</v>
      </c>
      <c r="E19" s="3145" t="s">
        <v>2834</v>
      </c>
      <c r="F19" s="3145" t="s">
        <v>2835</v>
      </c>
      <c r="G19" s="3145" t="s">
        <v>2836</v>
      </c>
      <c r="H19" s="3145"/>
      <c r="I19" s="3145" t="s">
        <v>2837</v>
      </c>
      <c r="J19" s="3146"/>
      <c r="K19" s="3144" t="s">
        <v>2833</v>
      </c>
      <c r="L19" s="3145" t="s">
        <v>2834</v>
      </c>
      <c r="M19" s="3145" t="s">
        <v>2835</v>
      </c>
      <c r="N19" s="3145" t="s">
        <v>2836</v>
      </c>
      <c r="O19" s="3145"/>
      <c r="P19" s="3145" t="s">
        <v>2837</v>
      </c>
      <c r="Q19" s="3146"/>
      <c r="R19" s="3144" t="s">
        <v>2833</v>
      </c>
      <c r="S19" s="3145" t="s">
        <v>2834</v>
      </c>
      <c r="T19" s="3145" t="s">
        <v>2835</v>
      </c>
      <c r="U19" s="3145" t="s">
        <v>2836</v>
      </c>
      <c r="V19" s="3145"/>
      <c r="W19" s="3145" t="s">
        <v>2837</v>
      </c>
      <c r="X19" s="3146"/>
      <c r="Y19" s="3144" t="s">
        <v>2833</v>
      </c>
      <c r="Z19" s="3145" t="s">
        <v>2834</v>
      </c>
      <c r="AA19" s="3145" t="s">
        <v>2835</v>
      </c>
      <c r="AB19" s="3145" t="s">
        <v>2836</v>
      </c>
      <c r="AC19" s="3145"/>
      <c r="AD19" s="3145" t="s">
        <v>2837</v>
      </c>
    </row>
    <row r="20" spans="1:30" s="3159" customFormat="1" ht="13.2">
      <c r="A20" s="3147" t="s">
        <v>2838</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3.2">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3.2">
      <c r="A22" s="3174" t="s">
        <v>2839</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ROUND(IF([2]项目基本情况!$B$8="出让",SUMPRODUCT(PRODUCT(1+L22:L$30)),SUMPRODUCT(PRODUCT(1+L22:L$29))),4)</f>
        <v>1.0241</v>
      </c>
      <c r="T22" s="3181">
        <f>ROUND(IF([2]项目基本情况!$B$8="出让",SUMPRODUCT(PRODUCT(1+M22:M$30)),SUMPRODUCT(PRODUCT(1+M22:M$29))),4)</f>
        <v>1.0144</v>
      </c>
      <c r="U22" s="3181">
        <f>ROUND(IF([2]项目基本情况!$B$8="出让",SUMPRODUCT(PRODUCT(1+N22:N$30)),SUMPRODUCT(PRODUCT(1+N22:N$29))),4)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3.2">
      <c r="A23" s="3174" t="s">
        <v>2840</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ROUND(IF([2]项目基本情况!$B$8="出让",SUMPRODUCT(PRODUCT(1+L23:L$30)),SUMPRODUCT(PRODUCT(1+L23:L$29))),4)</f>
        <v>1.0241</v>
      </c>
      <c r="T23" s="3181">
        <f>ROUND(IF([2]项目基本情况!$B$8="出让",SUMPRODUCT(PRODUCT(1+M23:M$30)),SUMPRODUCT(PRODUCT(1+M23:M$29))),4)</f>
        <v>1.0144</v>
      </c>
      <c r="U23" s="3181">
        <f>ROUND(IF([2]项目基本情况!$B$8="出让",SUMPRODUCT(PRODUCT(1+N23:N$30)),SUMPRODUCT(PRODUCT(1+N23:N$29))),4)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3.2">
      <c r="A24" s="3185" t="s">
        <v>3364</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ROUND(IF([2]项目基本情况!$B$8="出让",SUMPRODUCT(PRODUCT(1+L24:L$30)),SUMPRODUCT(PRODUCT(1+L24:L$29))),4)</f>
        <v>1.0241</v>
      </c>
      <c r="T24" s="3191">
        <f>ROUND(IF([2]项目基本情况!$B$8="出让",SUMPRODUCT(PRODUCT(1+M24:M$30)),SUMPRODUCT(PRODUCT(1+M24:M$29))),4)</f>
        <v>1.0144</v>
      </c>
      <c r="U24" s="3191">
        <f>ROUND(IF([2]项目基本情况!$B$8="出让",SUMPRODUCT(PRODUCT(1+N24:N$30)),SUMPRODUCT(PRODUCT(1+N24:N$29))),4)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3.2">
      <c r="A25" s="3174" t="s">
        <v>3363</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ROUND(IF([2]项目基本情况!$B$8="出让",SUMPRODUCT(PRODUCT(1+L25:L$30)),SUMPRODUCT(PRODUCT(1+L25:L$29))),4)</f>
        <v>1.0210999999999999</v>
      </c>
      <c r="T25" s="3181">
        <f>ROUND(IF([2]项目基本情况!$B$8="出让",SUMPRODUCT(PRODUCT(1+M25:M$30)),SUMPRODUCT(PRODUCT(1+M25:M$29))),4)</f>
        <v>1.0114000000000001</v>
      </c>
      <c r="U25" s="3181">
        <f>ROUND(IF([2]项目基本情况!$B$8="出让",SUMPRODUCT(PRODUCT(1+N25:N$30)),SUMPRODUCT(PRODUCT(1+N25:N$29))),4)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3.2">
      <c r="A26" s="3174" t="s">
        <v>2841</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ROUND(IF([2]项目基本情况!$B$8="出让",SUMPRODUCT(PRODUCT(1+L26:L$30)),SUMPRODUCT(PRODUCT(1+L26:L$29))),4)</f>
        <v>1.0222</v>
      </c>
      <c r="T26" s="3181">
        <f>ROUND(IF([2]项目基本情况!$B$8="出让",SUMPRODUCT(PRODUCT(1+M26:M$30)),SUMPRODUCT(PRODUCT(1+M26:M$29))),4)</f>
        <v>1.0127999999999999</v>
      </c>
      <c r="U26" s="3181">
        <f>ROUND(IF([2]项目基本情况!$B$8="出让",SUMPRODUCT(PRODUCT(1+N26:N$30)),SUMPRODUCT(PRODUCT(1+N26:N$29))),4)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3.2">
      <c r="A27" s="3174" t="s">
        <v>2842</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ROUND(IF([2]项目基本情况!$B$8="出让",SUMPRODUCT(PRODUCT(1+L27:L$30)),SUMPRODUCT(PRODUCT(1+L27:L$29))),4)</f>
        <v>1.0161</v>
      </c>
      <c r="T27" s="3181">
        <f>ROUND(IF([2]项目基本情况!$B$8="出让",SUMPRODUCT(PRODUCT(1+M27:M$30)),SUMPRODUCT(PRODUCT(1+M27:M$29))),4)</f>
        <v>1.0082</v>
      </c>
      <c r="U27" s="3181">
        <f>ROUND(IF([2]项目基本情况!$B$8="出让",SUMPRODUCT(PRODUCT(1+N27:N$30)),SUMPRODUCT(PRODUCT(1+N27:N$29))),4)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3.2">
      <c r="A28" s="3174" t="s">
        <v>2843</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ROUND(IF([2]项目基本情况!$B$8="出让",SUMPRODUCT(PRODUCT(1+L28:L$30)),SUMPRODUCT(PRODUCT(1+L28:L$29))),4)</f>
        <v>1.0102</v>
      </c>
      <c r="T28" s="3181">
        <f>ROUND(IF([2]项目基本情况!$B$8="出让",SUMPRODUCT(PRODUCT(1+M28:M$30)),SUMPRODUCT(PRODUCT(1+M28:M$29))),4)</f>
        <v>1.0074000000000001</v>
      </c>
      <c r="U28" s="3181">
        <f>ROUND(IF([2]项目基本情况!$B$8="出让",SUMPRODUCT(PRODUCT(1+N28:N$30)),SUMPRODUCT(PRODUCT(1+N28:N$29))),4)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3.2">
      <c r="A29" s="3174" t="s">
        <v>2844</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ROUND(IF([2]项目基本情况!$B$8="出让",SUMPRODUCT(PRODUCT(1+L29:L$30)),SUMPRODUCT(PRODUCT(1+L29:L$29))),4)</f>
        <v>1.0055000000000001</v>
      </c>
      <c r="T29" s="3181">
        <f>ROUND(IF([2]项目基本情况!$B$8="出让",SUMPRODUCT(PRODUCT(1+M29:M$30)),SUMPRODUCT(PRODUCT(1+M29:M$29))),4)</f>
        <v>1.0045999999999999</v>
      </c>
      <c r="U29" s="3181">
        <f>ROUND(IF([2]项目基本情况!$B$8="出让",SUMPRODUCT(PRODUCT(1+N29:N$30)),SUMPRODUCT(PRODUCT(1+N29:N$29))),4)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ht="13.8" thickBot="1">
      <c r="A30" s="3196" t="s">
        <v>2827</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0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0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0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0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0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0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0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0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0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0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0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0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0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3">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04">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0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3">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04">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44917</v>
      </c>
      <c r="D1" s="1301" t="s">
        <v>603</v>
      </c>
      <c r="E1" s="1296">
        <f>'数据-取费表'!B22</f>
        <v>3</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4" t="s">
        <v>2312</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6">
      <c r="A3" s="3482"/>
      <c r="B3" s="3482"/>
      <c r="C3" s="3482"/>
      <c r="D3" s="854" t="s">
        <v>925</v>
      </c>
      <c r="E3" s="854" t="s">
        <v>931</v>
      </c>
      <c r="F3" s="854" t="s">
        <v>925</v>
      </c>
      <c r="G3" s="854" t="s">
        <v>926</v>
      </c>
      <c r="H3" s="854" t="s">
        <v>925</v>
      </c>
      <c r="I3" s="854" t="s">
        <v>926</v>
      </c>
    </row>
    <row r="4" spans="1:9" ht="30">
      <c r="A4" s="1504" t="str">
        <f>项目基本情况!S2</f>
        <v>北京市出让国有建设用地使用权及在建建筑物房地产</v>
      </c>
      <c r="B4" s="854">
        <f>项目基本情况!C17</f>
        <v>149436.09</v>
      </c>
      <c r="C4" s="854">
        <f>项目基本情况!C18</f>
        <v>37315.089999999997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6">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6">
      <c r="A8" s="3481" t="str">
        <f>结果表!A122</f>
        <v>房地产抵押价值</v>
      </c>
      <c r="B8" s="3481"/>
      <c r="C8" s="3481"/>
      <c r="D8" s="3481" t="e">
        <f ca="1">结果表!D122</f>
        <v>#REF!</v>
      </c>
      <c r="E8" s="3481"/>
      <c r="F8" s="3481"/>
      <c r="G8" s="3481"/>
      <c r="H8" s="3481"/>
      <c r="I8" s="3481"/>
    </row>
    <row r="9" spans="1:9" ht="15">
      <c r="A9" s="3482" t="s">
        <v>927</v>
      </c>
      <c r="B9" s="3482"/>
      <c r="C9" s="3482"/>
      <c r="D9" s="3482" t="e">
        <f ca="1">结果表!D123</f>
        <v>#REF!</v>
      </c>
      <c r="E9" s="3482"/>
      <c r="F9" s="3482"/>
      <c r="G9" s="3482"/>
      <c r="H9" s="3482"/>
      <c r="I9" s="3482"/>
    </row>
    <row r="10" spans="1:9" ht="15.6">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6">
      <c r="A12" s="3481" t="str">
        <f>结果表!A126</f>
        <v/>
      </c>
      <c r="B12" s="3481"/>
      <c r="C12" s="3481"/>
      <c r="D12" s="3481" t="str">
        <f>结果表!D126</f>
        <v>——</v>
      </c>
      <c r="E12" s="3481"/>
      <c r="F12" s="3481"/>
      <c r="G12" s="3481"/>
      <c r="H12" s="3481"/>
      <c r="I12" s="3481"/>
    </row>
    <row r="13" spans="1:9" ht="15.6" thickBot="1">
      <c r="A13" s="3479" t="s">
        <v>927</v>
      </c>
      <c r="B13" s="3479"/>
      <c r="C13" s="3479"/>
      <c r="D13" s="3479" t="e">
        <f>结果表!D127</f>
        <v>#VALUE!</v>
      </c>
      <c r="E13" s="3479"/>
      <c r="F13" s="3479"/>
      <c r="G13" s="3479"/>
      <c r="H13" s="3479"/>
      <c r="I13" s="3479"/>
    </row>
    <row r="14" spans="1:9" ht="14.4" thickTop="1">
      <c r="A14" s="3480" t="s">
        <v>932</v>
      </c>
      <c r="B14" s="3480"/>
      <c r="C14" s="3480"/>
      <c r="D14" s="3480"/>
      <c r="E14" s="3480"/>
      <c r="F14" s="3480"/>
      <c r="G14" s="3480"/>
      <c r="H14" s="3480"/>
      <c r="I14" s="3480"/>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94" t="s">
        <v>949</v>
      </c>
      <c r="B1" s="3494"/>
      <c r="C1" s="3494"/>
      <c r="D1" s="3494"/>
    </row>
    <row r="2" spans="1:4" ht="17.399999999999999">
      <c r="A2" s="3495" t="s">
        <v>933</v>
      </c>
      <c r="B2" s="3495"/>
      <c r="C2" s="3495"/>
      <c r="D2" s="3495"/>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495" t="s">
        <v>939</v>
      </c>
      <c r="B6" s="3495"/>
      <c r="C6" s="3495"/>
      <c r="D6" s="3495"/>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496" t="s">
        <v>942</v>
      </c>
      <c r="B11" s="3488"/>
      <c r="C11" s="3488"/>
      <c r="D11" s="3488"/>
    </row>
    <row r="12" spans="1:4" ht="15.6">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02" t="s">
        <v>956</v>
      </c>
      <c r="B15" s="3497" t="s">
        <v>109</v>
      </c>
      <c r="C15" s="3498"/>
    </row>
    <row r="16" spans="1:7" ht="14.4">
      <c r="A16" s="3503"/>
      <c r="B16" s="3497" t="s">
        <v>42</v>
      </c>
      <c r="C16" s="3498"/>
    </row>
    <row r="17" spans="1:3" ht="14.4">
      <c r="A17" s="3503"/>
      <c r="B17" s="3500" t="s">
        <v>957</v>
      </c>
      <c r="C17" s="1531" t="s">
        <v>956</v>
      </c>
    </row>
    <row r="18" spans="1:3" ht="14.4">
      <c r="A18" s="3503"/>
      <c r="B18" s="3500"/>
      <c r="C18" s="1531" t="s">
        <v>958</v>
      </c>
    </row>
    <row r="19" spans="1:3" ht="14.4">
      <c r="A19" s="3503"/>
      <c r="B19" s="3500"/>
      <c r="C19" s="1531" t="s">
        <v>959</v>
      </c>
    </row>
    <row r="20" spans="1:3" ht="14.4">
      <c r="A20" s="3504"/>
      <c r="B20" s="3499" t="s">
        <v>960</v>
      </c>
      <c r="C20" s="3498"/>
    </row>
    <row r="21" spans="1:3" ht="14.4">
      <c r="A21" s="1532" t="s">
        <v>961</v>
      </c>
      <c r="B21" s="1533"/>
      <c r="C21" s="1534"/>
    </row>
    <row r="22" spans="1:3" ht="14.4">
      <c r="A22" s="3501" t="s">
        <v>962</v>
      </c>
      <c r="B22" s="3499" t="s">
        <v>963</v>
      </c>
      <c r="C22" s="3498"/>
    </row>
    <row r="23" spans="1:3" ht="14.4">
      <c r="A23" s="3501"/>
      <c r="B23" s="3499" t="s">
        <v>964</v>
      </c>
      <c r="C23" s="3498"/>
    </row>
    <row r="24" spans="1:3" ht="14.4">
      <c r="A24" s="3501"/>
      <c r="B24" s="3499" t="s">
        <v>965</v>
      </c>
      <c r="C24" s="3498"/>
    </row>
    <row r="25" spans="1:3" ht="14.4">
      <c r="A25" s="3501"/>
      <c r="B25" s="3500" t="s">
        <v>966</v>
      </c>
      <c r="C25" s="1531" t="s">
        <v>967</v>
      </c>
    </row>
    <row r="26" spans="1:3" ht="14.4">
      <c r="A26" s="3501"/>
      <c r="B26" s="3500"/>
      <c r="C26" s="1531" t="s">
        <v>968</v>
      </c>
    </row>
    <row r="27" spans="1:3" ht="14.4">
      <c r="A27" s="3501"/>
      <c r="B27" s="3500"/>
      <c r="C27" s="1531" t="s">
        <v>969</v>
      </c>
    </row>
    <row r="28" spans="1:3" ht="14.4">
      <c r="A28" s="3501"/>
      <c r="B28" s="3500"/>
      <c r="C28" s="1531" t="s">
        <v>970</v>
      </c>
    </row>
    <row r="29" spans="1:3" ht="14.4">
      <c r="A29" s="3501"/>
      <c r="B29" s="3500"/>
      <c r="C29" s="1531" t="s">
        <v>971</v>
      </c>
    </row>
    <row r="30" spans="1:3" ht="14.4">
      <c r="A30" s="3501"/>
      <c r="B30" s="3500"/>
      <c r="C30" s="1531" t="s">
        <v>972</v>
      </c>
    </row>
    <row r="31" spans="1:3" ht="14.4">
      <c r="A31" s="3501"/>
      <c r="B31" s="3500"/>
      <c r="C31" s="1531" t="s">
        <v>973</v>
      </c>
    </row>
    <row r="32" spans="1:3" ht="14.4">
      <c r="A32" s="3501"/>
      <c r="B32" s="3500"/>
      <c r="C32" s="1531" t="s">
        <v>974</v>
      </c>
    </row>
    <row r="33" spans="1:3" ht="14.4">
      <c r="A33" s="3501"/>
      <c r="B33" s="3500"/>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44917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f ca="1">IF(C14&lt;B2,"已过期",1119980106)</f>
        <v>1119980106</v>
      </c>
      <c r="C14" s="2349">
        <v>44969</v>
      </c>
      <c r="D14" s="2345" t="str">
        <f t="shared" ca="1" si="0"/>
        <v>刘俊财（注册号：1119980106）</v>
      </c>
      <c r="E14" s="2346" t="s">
        <v>2157</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5" t="s">
        <v>2159</v>
      </c>
      <c r="B17" s="3505"/>
      <c r="C17" s="3505"/>
      <c r="D17" s="3505"/>
      <c r="E17" s="3505"/>
      <c r="F17" s="3505"/>
      <c r="G17" s="3505"/>
      <c r="H17" s="3505"/>
    </row>
    <row r="18" spans="1:8" ht="24" customHeight="1">
      <c r="A18" s="3506" t="s">
        <v>2160</v>
      </c>
      <c r="B18" s="3506"/>
      <c r="C18" s="3506"/>
      <c r="D18" s="2342"/>
      <c r="E18" s="3507" t="s">
        <v>2161</v>
      </c>
      <c r="F18" s="3506"/>
      <c r="G18" s="350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进度</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2017-03-01T09:15:43Z</cp:lastPrinted>
  <dcterms:created xsi:type="dcterms:W3CDTF">2015-07-13T07:17:23Z</dcterms:created>
  <dcterms:modified xsi:type="dcterms:W3CDTF">2022-12-22T08:01:48Z</dcterms:modified>
</cp:coreProperties>
</file>