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80-P01DYGJ2-平谷公园壹号商务办公-时点10.20出具日10.243\最终\"/>
    </mc:Choice>
  </mc:AlternateContent>
  <xr:revisionPtr revIDLastSave="0" documentId="13_ncr:1_{76459898-FE20-4374-AB9A-ED85C0EAC6C9}"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元)" sheetId="69" r:id="rId33"/>
    <sheet name="基准地价修正" sheetId="43"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收益法 (元)" sheetId="67" r:id="rId40"/>
    <sheet name="比较法-办公" sheetId="34" r:id="rId41"/>
    <sheet name="案例"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40"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C6" i="69"/>
  <c r="D33" i="43"/>
  <c r="J49" i="67"/>
  <c r="B14" i="74"/>
  <c r="B59" i="1"/>
  <c r="B21" i="1"/>
  <c r="Y6" i="1"/>
  <c r="N6" i="1"/>
  <c r="L19"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D38" i="79"/>
  <c r="AD37" i="79"/>
  <c r="AD34"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U35" i="79"/>
  <c r="AI35" i="79" s="1"/>
  <c r="U33" i="79"/>
  <c r="AI33" i="79" s="1"/>
  <c r="U34" i="79"/>
  <c r="AI34" i="79" s="1"/>
  <c r="S20" i="79"/>
  <c r="AG20" i="79" s="1"/>
  <c r="AR18" i="79"/>
  <c r="AR19" i="79" s="1"/>
  <c r="AR20" i="79" s="1"/>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AH33" i="79"/>
  <c r="W33" i="79"/>
  <c r="AK33" i="79" s="1"/>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40" i="79"/>
  <c r="AK40" i="79" s="1"/>
  <c r="AH4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J25" i="36" s="1"/>
  <c r="B73" i="36"/>
  <c r="J24" i="36"/>
  <c r="AC24" i="36" s="1"/>
  <c r="B71" i="36"/>
  <c r="D70" i="36"/>
  <c r="H22" i="36"/>
  <c r="AB22" i="36" s="1"/>
  <c r="D68" i="36"/>
  <c r="E68" i="36" s="1"/>
  <c r="F68" i="36"/>
  <c r="G68" i="36"/>
  <c r="D64" i="36"/>
  <c r="E64" i="36" s="1"/>
  <c r="F64" i="36"/>
  <c r="G64" i="36"/>
  <c r="J16" i="36"/>
  <c r="W16" i="36" s="1"/>
  <c r="D62" i="36"/>
  <c r="E62" i="36"/>
  <c r="F62" i="36"/>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J35" i="35" s="1"/>
  <c r="AC35" i="35" s="1"/>
  <c r="B97" i="35"/>
  <c r="B77" i="35"/>
  <c r="B75" i="35"/>
  <c r="J24" i="35" s="1"/>
  <c r="AC24" i="35"/>
  <c r="B73" i="35"/>
  <c r="F23" i="35" s="1"/>
  <c r="AA23" i="35" s="1"/>
  <c r="B57" i="35"/>
  <c r="B61" i="35"/>
  <c r="B59" i="35"/>
  <c r="F12" i="35" s="1"/>
  <c r="B131" i="34"/>
  <c r="B129" i="34"/>
  <c r="B127" i="34"/>
  <c r="B99" i="34"/>
  <c r="B97" i="34"/>
  <c r="B95" i="34"/>
  <c r="B93" i="34"/>
  <c r="B75" i="34"/>
  <c r="H14" i="34" s="1"/>
  <c r="B73" i="34"/>
  <c r="B71" i="34"/>
  <c r="B130" i="33"/>
  <c r="B128" i="33"/>
  <c r="H45" i="33" s="1"/>
  <c r="B126" i="33"/>
  <c r="B98" i="33"/>
  <c r="B96" i="33"/>
  <c r="B94" i="33"/>
  <c r="J29" i="33" s="1"/>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F46" i="21" s="1"/>
  <c r="B128" i="21"/>
  <c r="J45" i="21" s="1"/>
  <c r="W45" i="21" s="1"/>
  <c r="B126" i="21"/>
  <c r="F44" i="21" s="1"/>
  <c r="AA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4" i="39"/>
  <c r="AC44" i="39"/>
  <c r="H36" i="39"/>
  <c r="AB36" i="39" s="1"/>
  <c r="J35" i="39"/>
  <c r="AC35" i="39" s="1"/>
  <c r="F35" i="39"/>
  <c r="AA35" i="39"/>
  <c r="J36" i="39"/>
  <c r="AC36" i="39" s="1"/>
  <c r="U9"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U34" i="35"/>
  <c r="F36" i="34"/>
  <c r="J35" i="34"/>
  <c r="U34" i="34"/>
  <c r="H39" i="33"/>
  <c r="AB39" i="33"/>
  <c r="F26" i="33"/>
  <c r="AA26" i="33"/>
  <c r="U35" i="33"/>
  <c r="W33" i="33"/>
  <c r="W39" i="33"/>
  <c r="H39" i="37"/>
  <c r="AB39" i="37" s="1"/>
  <c r="S27" i="35"/>
  <c r="F11" i="40"/>
  <c r="AA11" i="40"/>
  <c r="H11" i="40"/>
  <c r="AB11" i="40"/>
  <c r="AA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J21" i="40"/>
  <c r="W21" i="40"/>
  <c r="H42" i="39"/>
  <c r="AB42" i="39" s="1"/>
  <c r="J34" i="39"/>
  <c r="AC34" i="39" s="1"/>
  <c r="J31" i="39"/>
  <c r="F100" i="39"/>
  <c r="H27" i="39"/>
  <c r="U27" i="39" s="1"/>
  <c r="J19" i="39"/>
  <c r="AC19" i="39" s="1"/>
  <c r="J17" i="39"/>
  <c r="J27" i="39"/>
  <c r="AC27" i="39" s="1"/>
  <c r="F27" i="39"/>
  <c r="F11" i="21"/>
  <c r="S11" i="21" s="1"/>
  <c r="S40"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J32" i="35"/>
  <c r="AC32" i="35" s="1"/>
  <c r="J16" i="35"/>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F28" i="40"/>
  <c r="AA28" i="40" s="1"/>
  <c r="AA29" i="35"/>
  <c r="AA42" i="34"/>
  <c r="S42"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H46" i="21"/>
  <c r="U46" i="21"/>
  <c r="J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J31" i="21"/>
  <c r="AC31" i="21" s="1"/>
  <c r="F31" i="21"/>
  <c r="S31" i="21" s="1"/>
  <c r="F45" i="21"/>
  <c r="AA45" i="21" s="1"/>
  <c r="F27" i="33"/>
  <c r="AA27" i="33" s="1"/>
  <c r="J13" i="33"/>
  <c r="H13" i="33"/>
  <c r="U13" i="33" s="1"/>
  <c r="F13" i="33"/>
  <c r="AA13" i="33" s="1"/>
  <c r="H29" i="33"/>
  <c r="U29" i="33" s="1"/>
  <c r="F29" i="33"/>
  <c r="S29" i="33" s="1"/>
  <c r="J31" i="33"/>
  <c r="W31" i="33"/>
  <c r="H31" i="33"/>
  <c r="F31" i="33"/>
  <c r="U45" i="33"/>
  <c r="J45" i="33"/>
  <c r="W45" i="33" s="1"/>
  <c r="F45" i="33"/>
  <c r="J14" i="34"/>
  <c r="W14" i="34" s="1"/>
  <c r="F14" i="34"/>
  <c r="S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AA14" i="33" s="1"/>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F35" i="35"/>
  <c r="AA35" i="35"/>
  <c r="H35" i="35"/>
  <c r="W25" i="36"/>
  <c r="F25" i="36"/>
  <c r="S25" i="36" s="1"/>
  <c r="H25" i="36"/>
  <c r="AB25" i="36" s="1"/>
  <c r="H13" i="37"/>
  <c r="AB13" i="37" s="1"/>
  <c r="F13" i="37"/>
  <c r="S13" i="37" s="1"/>
  <c r="F28" i="37"/>
  <c r="AA28" i="37" s="1"/>
  <c r="J28" i="37"/>
  <c r="AC28" i="37"/>
  <c r="H28" i="37"/>
  <c r="H38" i="37"/>
  <c r="AB38" i="37" s="1"/>
  <c r="J38" i="37"/>
  <c r="AC38" i="37" s="1"/>
  <c r="F38" i="37"/>
  <c r="S38" i="37"/>
  <c r="F43" i="39"/>
  <c r="AA43" i="39" s="1"/>
  <c r="H43" i="39"/>
  <c r="F14" i="39"/>
  <c r="H14" i="39"/>
  <c r="AB14" i="39" s="1"/>
  <c r="F12" i="40"/>
  <c r="S12" i="40"/>
  <c r="H12" i="40"/>
  <c r="AB12" i="40" s="1"/>
  <c r="H30" i="40"/>
  <c r="AB30" i="40"/>
  <c r="F33" i="40"/>
  <c r="AA33" i="40" s="1"/>
  <c r="H33" i="40"/>
  <c r="U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c r="J14" i="37"/>
  <c r="J27" i="37"/>
  <c r="AC27" i="37" s="1"/>
  <c r="AA44" i="33"/>
  <c r="J36" i="37"/>
  <c r="AC36" i="37" s="1"/>
  <c r="J10" i="36"/>
  <c r="AC10" i="36" s="1"/>
  <c r="AB30" i="21"/>
  <c r="AA14" i="37"/>
  <c r="S11" i="36"/>
  <c r="AB46" i="34"/>
  <c r="AA14" i="34"/>
  <c r="AB45"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AZ504" i="3" s="1"/>
  <c r="BL500" i="3"/>
  <c r="BL496" i="3"/>
  <c r="G493" i="3"/>
  <c r="BA584" i="3"/>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c r="BA534" i="3"/>
  <c r="BA532" i="3"/>
  <c r="AZ532" i="3" s="1"/>
  <c r="BA530" i="3"/>
  <c r="BA528" i="3"/>
  <c r="BA526" i="3"/>
  <c r="AZ526" i="3" s="1"/>
  <c r="BA524" i="3"/>
  <c r="BA522" i="3"/>
  <c r="BA520" i="3"/>
  <c r="BA518" i="3"/>
  <c r="AZ518" i="3" s="1"/>
  <c r="BA516" i="3"/>
  <c r="BA514" i="3"/>
  <c r="AZ514" i="3" s="1"/>
  <c r="BA512" i="3"/>
  <c r="AZ512" i="3"/>
  <c r="BA510" i="3"/>
  <c r="AZ510" i="3"/>
  <c r="BA508" i="3"/>
  <c r="BA506" i="3"/>
  <c r="BA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c r="AZ533" i="3" s="1"/>
  <c r="BQ531" i="3"/>
  <c r="BL531" i="3" s="1"/>
  <c r="AZ531" i="3" s="1"/>
  <c r="BQ529" i="3"/>
  <c r="BL529" i="3"/>
  <c r="BQ527" i="3"/>
  <c r="BL527" i="3" s="1"/>
  <c r="AZ527" i="3" s="1"/>
  <c r="BQ525" i="3"/>
  <c r="BL525" i="3"/>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26" i="37"/>
  <c r="W47" i="34"/>
  <c r="AC36" i="34"/>
  <c r="AC31" i="33"/>
  <c r="AC45" i="33"/>
  <c r="W44" i="33"/>
  <c r="U19" i="21"/>
  <c r="W44" i="21"/>
  <c r="AB38"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J11" i="39"/>
  <c r="W11" i="39" s="1"/>
  <c r="F11" i="39"/>
  <c r="S11" i="39" s="1"/>
  <c r="AA11" i="39"/>
  <c r="G4" i="4"/>
  <c r="I4" i="4"/>
  <c r="F61" i="43"/>
  <c r="H64" i="43" s="1"/>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68" i="3"/>
  <c r="AZ97"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46" i="3"/>
  <c r="AZ186" i="3"/>
  <c r="BA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G367" i="3"/>
  <c r="BA369" i="3"/>
  <c r="AZ369" i="3"/>
  <c r="BL370" i="3"/>
  <c r="G371" i="3"/>
  <c r="BA373" i="3"/>
  <c r="AZ373" i="3"/>
  <c r="BL374" i="3"/>
  <c r="G375" i="3"/>
  <c r="BA377" i="3"/>
  <c r="AZ377" i="3"/>
  <c r="AZ237" i="3"/>
  <c r="AZ245" i="3"/>
  <c r="AZ257" i="3"/>
  <c r="AZ265" i="3"/>
  <c r="BA379" i="3"/>
  <c r="BL380" i="3"/>
  <c r="G381" i="3"/>
  <c r="BA383" i="3"/>
  <c r="AZ383" i="3" s="1"/>
  <c r="BL384" i="3"/>
  <c r="AZ384" i="3" s="1"/>
  <c r="G385" i="3"/>
  <c r="BA387" i="3"/>
  <c r="AZ387" i="3" s="1"/>
  <c r="BL388" i="3"/>
  <c r="G389" i="3"/>
  <c r="BA391" i="3"/>
  <c r="BL392" i="3"/>
  <c r="G393" i="3"/>
  <c r="AZ283" i="3"/>
  <c r="BO5" i="3"/>
  <c r="BM5" i="3"/>
  <c r="BJ5" i="3"/>
  <c r="BH5" i="3"/>
  <c r="BF5" i="3"/>
  <c r="BD5" i="3"/>
  <c r="AZ325" i="3"/>
  <c r="AZ341" i="3"/>
  <c r="AZ506" i="3"/>
  <c r="AZ496" i="3"/>
  <c r="G548" i="3"/>
  <c r="G538" i="3"/>
  <c r="G520" i="3"/>
  <c r="G502" i="3"/>
  <c r="BS5" i="3"/>
  <c r="BP5" i="3"/>
  <c r="BN5" i="3"/>
  <c r="BK5" i="3"/>
  <c r="BI5" i="3"/>
  <c r="BG5" i="3"/>
  <c r="BE5" i="3"/>
  <c r="BC5" i="3"/>
  <c r="G17" i="3"/>
  <c r="BA17" i="3"/>
  <c r="BT5" i="3"/>
  <c r="AZ350" i="3"/>
  <c r="AZ356" i="3"/>
  <c r="BA15" i="3"/>
  <c r="BB5" i="3"/>
  <c r="BR5" i="3"/>
  <c r="AZ392"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50" i="3"/>
  <c r="AZ110" i="3"/>
  <c r="F23" i="39"/>
  <c r="AA23" i="39"/>
  <c r="H27" i="36"/>
  <c r="U27" i="36" s="1"/>
  <c r="F27" i="36"/>
  <c r="AA27" i="36" s="1"/>
  <c r="H33" i="34"/>
  <c r="U33" i="34"/>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Z465" i="3"/>
  <c r="AZ586" i="3"/>
  <c r="W12" i="33"/>
  <c r="AC12" i="33"/>
  <c r="AA32" i="36"/>
  <c r="S32" i="36"/>
  <c r="BL14" i="3"/>
  <c r="U30" i="33"/>
  <c r="AC13" i="34"/>
  <c r="AA47" i="34"/>
  <c r="W28" i="37"/>
  <c r="S19" i="39"/>
  <c r="F12" i="33"/>
  <c r="S12" i="33" s="1"/>
  <c r="H12" i="39"/>
  <c r="AB12" i="39"/>
  <c r="F39" i="40"/>
  <c r="BA14" i="3"/>
  <c r="AZ14" i="3" s="1"/>
  <c r="AZ224" i="3"/>
  <c r="B12" i="1"/>
  <c r="E12" i="1" s="1"/>
  <c r="B10" i="1"/>
  <c r="E10" i="1" s="1"/>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H19" i="33"/>
  <c r="AB19" i="33" s="1"/>
  <c r="G81" i="33"/>
  <c r="H17" i="33"/>
  <c r="U17" i="33" s="1"/>
  <c r="F17" i="33"/>
  <c r="S17" i="33" s="1"/>
  <c r="W17" i="33"/>
  <c r="AC17" i="33"/>
  <c r="S37" i="21"/>
  <c r="AB15" i="21"/>
  <c r="J23" i="21"/>
  <c r="W23" i="21" s="1"/>
  <c r="F85" i="21"/>
  <c r="G85" i="21" s="1"/>
  <c r="H23" i="21"/>
  <c r="S13" i="21"/>
  <c r="D6" i="52"/>
  <c r="AP7" i="1"/>
  <c r="AA32" i="21"/>
  <c r="W9" i="21"/>
  <c r="AC9" i="21"/>
  <c r="AB32" i="21"/>
  <c r="U32" i="39"/>
  <c r="AC32" i="39"/>
  <c r="J63" i="37"/>
  <c r="K63" i="37" s="1"/>
  <c r="L63" i="37" s="1"/>
  <c r="M63" i="37" s="1"/>
  <c r="J11" i="37"/>
  <c r="AC11" i="37" s="1"/>
  <c r="H70" i="34"/>
  <c r="I70" i="34" s="1"/>
  <c r="J70" i="34" s="1"/>
  <c r="K70" i="34"/>
  <c r="L70" i="34" s="1"/>
  <c r="M70" i="34" s="1"/>
  <c r="J11" i="34"/>
  <c r="W11" i="34" s="1"/>
  <c r="W25" i="33"/>
  <c r="U19"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7" i="76"/>
  <c r="E9" i="76"/>
  <c r="M6" i="15"/>
  <c r="F6" i="67"/>
  <c r="E8" i="76"/>
  <c r="M28" i="15"/>
  <c r="F5" i="73"/>
  <c r="L48" i="15"/>
  <c r="F36" i="67"/>
  <c r="C76" i="15"/>
  <c r="M24" i="15"/>
  <c r="B13" i="76"/>
  <c r="F4" i="73"/>
  <c r="E2" i="68"/>
  <c r="M26" i="15"/>
  <c r="F6" i="73"/>
  <c r="F7" i="73"/>
  <c r="B9" i="76"/>
  <c r="M28" i="67"/>
  <c r="M22" i="15"/>
  <c r="AO13" i="1"/>
  <c r="B11" i="76"/>
  <c r="F43" i="15"/>
  <c r="F9" i="15"/>
  <c r="M23" i="15"/>
  <c r="F36" i="15"/>
  <c r="M29" i="67"/>
  <c r="L47" i="15"/>
  <c r="E10" i="76"/>
  <c r="F37" i="15"/>
  <c r="F13" i="67"/>
  <c r="M26" i="67"/>
  <c r="E7" i="76"/>
  <c r="M23" i="67"/>
  <c r="F42" i="15"/>
  <c r="F8" i="15"/>
  <c r="J15" i="15"/>
  <c r="F26" i="67"/>
  <c r="M9" i="15"/>
  <c r="L47" i="67"/>
  <c r="F13" i="15"/>
  <c r="F7" i="67"/>
  <c r="F43" i="67"/>
  <c r="C76" i="67"/>
  <c r="E12" i="76"/>
  <c r="M29" i="15"/>
  <c r="F9" i="67"/>
  <c r="B8" i="76"/>
  <c r="F7" i="15"/>
  <c r="B12" i="76"/>
  <c r="F3" i="73"/>
  <c r="F42" i="67"/>
  <c r="M8" i="67"/>
  <c r="E11" i="76"/>
  <c r="B10" i="76"/>
  <c r="M6" i="67"/>
  <c r="F16" i="15"/>
  <c r="F8" i="67"/>
  <c r="F16" i="67"/>
  <c r="J15" i="67"/>
  <c r="F6" i="15"/>
  <c r="M9" i="67"/>
  <c r="F20" i="31"/>
  <c r="F26" i="15"/>
  <c r="E2" i="69"/>
  <c r="E13" i="76"/>
  <c r="D6" i="73"/>
  <c r="L48" i="67"/>
  <c r="F38" i="15"/>
  <c r="F37" i="67"/>
  <c r="F40" i="15"/>
  <c r="F40" i="67"/>
  <c r="M8" i="15"/>
  <c r="D93" i="9" l="1"/>
  <c r="B41" i="1"/>
  <c r="C21" i="68"/>
  <c r="F29" i="6"/>
  <c r="H5" i="3"/>
  <c r="A2" i="9"/>
  <c r="A4" i="52"/>
  <c r="B41" i="72" s="1"/>
  <c r="A118" i="9"/>
  <c r="C7" i="34"/>
  <c r="M47" i="9"/>
  <c r="C7" i="21"/>
  <c r="C7" i="40"/>
  <c r="C63" i="40" s="1"/>
  <c r="C65" i="40" s="1"/>
  <c r="C7" i="39"/>
  <c r="C67" i="39" s="1"/>
  <c r="C7" i="37"/>
  <c r="C52" i="37" s="1"/>
  <c r="D52" i="37" s="1"/>
  <c r="E52" i="37" s="1"/>
  <c r="F52" i="37" s="1"/>
  <c r="G52" i="37" s="1"/>
  <c r="H52" i="37" s="1"/>
  <c r="I52" i="37" s="1"/>
  <c r="J52" i="37" s="1"/>
  <c r="K52" i="37" s="1"/>
  <c r="L52" i="37" s="1"/>
  <c r="M52" i="37" s="1"/>
  <c r="N52" i="37" s="1"/>
  <c r="O52" i="37" s="1"/>
  <c r="G23" i="43"/>
  <c r="C23" i="43" s="1"/>
  <c r="C7" i="33"/>
  <c r="C42" i="1"/>
  <c r="C24" i="12" s="1"/>
  <c r="AC23" i="21"/>
  <c r="AC27" i="33"/>
  <c r="AC23" i="37"/>
  <c r="U9" i="21"/>
  <c r="M18" i="15"/>
  <c r="M18" i="67"/>
  <c r="F30" i="11"/>
  <c r="C48" i="11" s="1"/>
  <c r="W17" i="21"/>
  <c r="AC39" i="34"/>
  <c r="S32" i="37"/>
  <c r="AA12" i="39"/>
  <c r="AA34" i="33"/>
  <c r="AZ322" i="3"/>
  <c r="AZ342" i="3"/>
  <c r="AZ337" i="3"/>
  <c r="AZ360" i="3"/>
  <c r="AZ519" i="3"/>
  <c r="AZ534" i="3"/>
  <c r="AC31" i="34"/>
  <c r="AA45" i="33"/>
  <c r="S45" i="33"/>
  <c r="AB11" i="33"/>
  <c r="U11" i="33"/>
  <c r="AB36" i="33"/>
  <c r="AB45" i="21"/>
  <c r="AA19" i="33"/>
  <c r="F54" i="9"/>
  <c r="F32" i="15"/>
  <c r="F60" i="15" s="1"/>
  <c r="F52" i="9"/>
  <c r="F30" i="68"/>
  <c r="F48" i="68" s="1"/>
  <c r="AC37" i="33"/>
  <c r="S20" i="36"/>
  <c r="AC34" i="33"/>
  <c r="AZ391" i="3"/>
  <c r="AZ311" i="3"/>
  <c r="AZ372" i="3"/>
  <c r="AZ305" i="3"/>
  <c r="AA25" i="21"/>
  <c r="AZ573" i="3"/>
  <c r="AZ564" i="3"/>
  <c r="AZ580" i="3"/>
  <c r="AA28" i="34"/>
  <c r="S28" i="34"/>
  <c r="AC16" i="35"/>
  <c r="W16" i="35"/>
  <c r="AB20" i="35"/>
  <c r="AC5" i="3"/>
  <c r="AZ379" i="3"/>
  <c r="AZ345" i="3"/>
  <c r="AZ310" i="3"/>
  <c r="AZ371" i="3"/>
  <c r="AZ309" i="3"/>
  <c r="AZ525" i="3"/>
  <c r="AZ569" i="3"/>
  <c r="AZ571" i="3"/>
  <c r="AZ579" i="3"/>
  <c r="AZ516" i="3"/>
  <c r="AZ524" i="3"/>
  <c r="AB26" i="33"/>
  <c r="AC35" i="40"/>
  <c r="AB46" i="33"/>
  <c r="U46" i="33"/>
  <c r="S13" i="33"/>
  <c r="W11" i="40"/>
  <c r="AC9" i="34"/>
  <c r="W9" i="34"/>
  <c r="AZ537" i="3"/>
  <c r="AA21" i="40"/>
  <c r="S21" i="40"/>
  <c r="B101" i="43"/>
  <c r="B79" i="43"/>
  <c r="H23" i="36"/>
  <c r="J23" i="36"/>
  <c r="AZ318" i="3"/>
  <c r="AZ364" i="3"/>
  <c r="AZ329" i="3"/>
  <c r="AZ304" i="3"/>
  <c r="AZ306" i="3"/>
  <c r="U39" i="37"/>
  <c r="AZ535" i="3"/>
  <c r="AZ577" i="3"/>
  <c r="AZ557" i="3"/>
  <c r="AZ513" i="3"/>
  <c r="AZ575" i="3"/>
  <c r="AZ528" i="3"/>
  <c r="AZ548" i="3"/>
  <c r="AZ566" i="3"/>
  <c r="AZ574" i="3"/>
  <c r="AZ582" i="3"/>
  <c r="AZ540" i="3"/>
  <c r="AZ502" i="3"/>
  <c r="J32" i="36"/>
  <c r="W32" i="36" s="1"/>
  <c r="H29" i="21"/>
  <c r="J13" i="21"/>
  <c r="AC38" i="34"/>
  <c r="U40" i="33"/>
  <c r="C25" i="39"/>
  <c r="U34" i="40"/>
  <c r="W22" i="35"/>
  <c r="W31" i="37"/>
  <c r="J45" i="39"/>
  <c r="W45" i="39" s="1"/>
  <c r="BL585" i="3"/>
  <c r="AZ585" i="3" s="1"/>
  <c r="F9" i="33"/>
  <c r="AA9" i="33" s="1"/>
  <c r="AB33" i="33"/>
  <c r="U33" i="33"/>
  <c r="AC40" i="39"/>
  <c r="W40" i="39"/>
  <c r="AC8" i="40"/>
  <c r="W8" i="40"/>
  <c r="G558" i="3"/>
  <c r="AZ451" i="3"/>
  <c r="U34" i="21"/>
  <c r="J12" i="34"/>
  <c r="F12" i="34"/>
  <c r="S12" i="34" s="1"/>
  <c r="J9" i="36"/>
  <c r="J39" i="40"/>
  <c r="H39" i="40"/>
  <c r="BL587" i="3"/>
  <c r="AZ587" i="3" s="1"/>
  <c r="F9" i="34"/>
  <c r="AA9" i="34" s="1"/>
  <c r="H9" i="34"/>
  <c r="J23" i="35"/>
  <c r="H23" i="35"/>
  <c r="BA551" i="3"/>
  <c r="AZ551" i="3" s="1"/>
  <c r="BA550" i="3"/>
  <c r="BL548" i="3"/>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BL441" i="3"/>
  <c r="BL442" i="3"/>
  <c r="BL444" i="3"/>
  <c r="AZ444" i="3" s="1"/>
  <c r="G446" i="3"/>
  <c r="BL448" i="3"/>
  <c r="AZ448" i="3" s="1"/>
  <c r="G450" i="3"/>
  <c r="BA454" i="3"/>
  <c r="AZ454" i="3" s="1"/>
  <c r="BA457" i="3"/>
  <c r="BA459" i="3"/>
  <c r="AZ459" i="3" s="1"/>
  <c r="BA460" i="3"/>
  <c r="AZ460" i="3" s="1"/>
  <c r="BA461" i="3"/>
  <c r="AZ461" i="3" s="1"/>
  <c r="BL464" i="3"/>
  <c r="BL466" i="3"/>
  <c r="AZ466" i="3" s="1"/>
  <c r="BL476" i="3"/>
  <c r="AZ476" i="3" s="1"/>
  <c r="BL477" i="3"/>
  <c r="BL478" i="3"/>
  <c r="BL480" i="3"/>
  <c r="AZ480" i="3" s="1"/>
  <c r="BA483" i="3"/>
  <c r="BL483" i="3"/>
  <c r="BA486" i="3"/>
  <c r="BL489" i="3"/>
  <c r="BL491" i="3"/>
  <c r="AZ491" i="3" s="1"/>
  <c r="BL492" i="3"/>
  <c r="BA315" i="3"/>
  <c r="AZ315" i="3" s="1"/>
  <c r="BA333" i="3"/>
  <c r="BL346" i="3"/>
  <c r="AZ346" i="3" s="1"/>
  <c r="AZ270" i="3"/>
  <c r="BL16" i="3"/>
  <c r="AZ16" i="3" s="1"/>
  <c r="BA401" i="3"/>
  <c r="AZ401" i="3" s="1"/>
  <c r="BA403" i="3"/>
  <c r="BA404" i="3"/>
  <c r="AZ404" i="3" s="1"/>
  <c r="BA405" i="3"/>
  <c r="BL410" i="3"/>
  <c r="G412" i="3"/>
  <c r="G418" i="3"/>
  <c r="BA422" i="3"/>
  <c r="G429" i="3"/>
  <c r="BL431" i="3"/>
  <c r="G433" i="3"/>
  <c r="BL434" i="3"/>
  <c r="G436"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AZ458" i="3"/>
  <c r="AZ462" i="3"/>
  <c r="BA354" i="3"/>
  <c r="BA366" i="3"/>
  <c r="AZ366"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L154" i="3"/>
  <c r="BL157" i="3"/>
  <c r="AZ157" i="3" s="1"/>
  <c r="BL167" i="3"/>
  <c r="AZ167" i="3" s="1"/>
  <c r="BL365" i="3"/>
  <c r="AZ365" i="3" s="1"/>
  <c r="G366"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BL163" i="3"/>
  <c r="AZ163" i="3" s="1"/>
  <c r="BL169" i="3"/>
  <c r="G170" i="3"/>
  <c r="G190" i="3"/>
  <c r="AZ217" i="3"/>
  <c r="AZ228" i="3"/>
  <c r="AZ294"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G262" i="3"/>
  <c r="BL263"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G172"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BL60" i="3"/>
  <c r="BA61" i="3"/>
  <c r="AZ61" i="3" s="1"/>
  <c r="BL69" i="3"/>
  <c r="G70" i="3"/>
  <c r="BL70" i="3"/>
  <c r="BL71" i="3"/>
  <c r="BL72" i="3"/>
  <c r="AZ72" i="3" s="1"/>
  <c r="G74" i="3"/>
  <c r="BA75" i="3"/>
  <c r="BL86" i="3"/>
  <c r="AZ86" i="3" s="1"/>
  <c r="BA88" i="3"/>
  <c r="BA89" i="3"/>
  <c r="G93" i="3"/>
  <c r="BA98" i="3"/>
  <c r="BL103" i="3"/>
  <c r="W21" i="21"/>
  <c r="D44" i="71"/>
  <c r="T44" i="71"/>
  <c r="D34" i="71"/>
  <c r="C35" i="71"/>
  <c r="C55" i="71"/>
  <c r="D54" i="71"/>
  <c r="D67" i="71"/>
  <c r="C66" i="71"/>
  <c r="O67" i="71"/>
  <c r="AZ70" i="3"/>
  <c r="BA74" i="3"/>
  <c r="AZ74" i="3" s="1"/>
  <c r="BL79" i="3"/>
  <c r="BL81" i="3"/>
  <c r="BA87" i="3"/>
  <c r="C64" i="71"/>
  <c r="D63" i="7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G67" i="3"/>
  <c r="BL68" i="3"/>
  <c r="BA69" i="3"/>
  <c r="BA73" i="3"/>
  <c r="G103" i="3"/>
  <c r="BA103" i="3"/>
  <c r="F40" i="69"/>
  <c r="C40" i="69"/>
  <c r="AB21" i="37"/>
  <c r="U21" i="37"/>
  <c r="D31" i="71"/>
  <c r="C32" i="71"/>
  <c r="D50" i="71"/>
  <c r="C51"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BL25" i="3"/>
  <c r="BL27" i="3"/>
  <c r="AZ27" i="3" s="1"/>
  <c r="BA28" i="3"/>
  <c r="AZ28" i="3" s="1"/>
  <c r="BA31" i="3"/>
  <c r="AZ31" i="3" s="1"/>
  <c r="BA32" i="3"/>
  <c r="G38" i="3"/>
  <c r="BA38" i="3"/>
  <c r="BA41" i="3"/>
  <c r="AZ41" i="3" s="1"/>
  <c r="BA42" i="3"/>
  <c r="G47" i="3"/>
  <c r="BL48" i="3"/>
  <c r="BL54" i="3"/>
  <c r="BL55" i="3"/>
  <c r="AZ55" i="3" s="1"/>
  <c r="G58" i="3"/>
  <c r="BA59" i="3"/>
  <c r="AZ59" i="3" s="1"/>
  <c r="BL61" i="3"/>
  <c r="G64" i="3"/>
  <c r="BA64" i="3"/>
  <c r="AZ64" i="3" s="1"/>
  <c r="BA68" i="3"/>
  <c r="BL74" i="3"/>
  <c r="BL75" i="3"/>
  <c r="BA80" i="3"/>
  <c r="BL84" i="3"/>
  <c r="BL93" i="3"/>
  <c r="AC25" i="40"/>
  <c r="U21" i="33"/>
  <c r="AB21" i="33"/>
  <c r="T28" i="71"/>
  <c r="D28" i="71"/>
  <c r="U28" i="71" s="1"/>
  <c r="C27" i="71"/>
  <c r="F66" i="71"/>
  <c r="Q67" i="71"/>
  <c r="V24" i="71"/>
  <c r="E23" i="71"/>
  <c r="E22" i="71" s="1"/>
  <c r="E21" i="71" s="1"/>
  <c r="E20" i="71"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U25" i="40"/>
  <c r="S21" i="34"/>
  <c r="B68" i="43"/>
  <c r="B88" i="43"/>
  <c r="D76" i="71"/>
  <c r="T68" i="71"/>
  <c r="X34" i="71"/>
  <c r="X31" i="71"/>
  <c r="F35" i="71"/>
  <c r="F36" i="71" s="1"/>
  <c r="V36" i="71" s="1"/>
  <c r="AA34" i="71"/>
  <c r="AB35" i="71"/>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D7" i="73"/>
  <c r="C36" i="69"/>
  <c r="D3" i="73"/>
  <c r="D4" i="73"/>
  <c r="F38" i="67"/>
  <c r="M24" i="67"/>
  <c r="C16" i="15"/>
  <c r="M22" i="67"/>
  <c r="C16" i="67"/>
  <c r="D5" i="73"/>
  <c r="C30" i="11" l="1"/>
  <c r="F48" i="9"/>
  <c r="O52" i="9" s="1"/>
  <c r="F30" i="69"/>
  <c r="F28" i="67"/>
  <c r="C28" i="67" s="1"/>
  <c r="F28" i="15"/>
  <c r="C28" i="15" s="1"/>
  <c r="D68" i="9"/>
  <c r="F31" i="12"/>
  <c r="C31" i="12" s="1"/>
  <c r="F32" i="67"/>
  <c r="F60" i="67" s="1"/>
  <c r="K16" i="1"/>
  <c r="N370" i="46"/>
  <c r="J26" i="43"/>
  <c r="F26" i="43"/>
  <c r="N94" i="46"/>
  <c r="E26" i="43"/>
  <c r="H26" i="43"/>
  <c r="D17" i="53"/>
  <c r="B36" i="72" s="1"/>
  <c r="P26" i="43"/>
  <c r="F66" i="67"/>
  <c r="J7" i="36"/>
  <c r="W7" i="36" s="1"/>
  <c r="C70" i="71"/>
  <c r="D70" i="71" s="1"/>
  <c r="D71" i="71"/>
  <c r="C26" i="71"/>
  <c r="D26" i="71" s="1"/>
  <c r="D27" i="71"/>
  <c r="AZ88" i="3"/>
  <c r="AZ58" i="3"/>
  <c r="AZ182" i="3"/>
  <c r="AZ483" i="3"/>
  <c r="AZ550" i="3"/>
  <c r="AB9" i="34"/>
  <c r="U9" i="34"/>
  <c r="AC9" i="36"/>
  <c r="W9" i="36"/>
  <c r="AB23" i="36"/>
  <c r="U23" i="36"/>
  <c r="C40" i="71"/>
  <c r="D39" i="71"/>
  <c r="D75" i="71"/>
  <c r="C74" i="71"/>
  <c r="D74" i="71" s="1"/>
  <c r="T32" i="71"/>
  <c r="D32" i="71"/>
  <c r="AZ263" i="3"/>
  <c r="AZ403" i="3"/>
  <c r="D79" i="71"/>
  <c r="C78" i="71"/>
  <c r="D78" i="71" s="1"/>
  <c r="AZ69" i="3"/>
  <c r="AZ38" i="3"/>
  <c r="C56" i="71"/>
  <c r="D55" i="71"/>
  <c r="AZ75" i="3"/>
  <c r="AZ19" i="3"/>
  <c r="AZ126" i="3"/>
  <c r="AZ271" i="3"/>
  <c r="AZ277" i="3"/>
  <c r="AZ256" i="3"/>
  <c r="AZ421" i="3"/>
  <c r="AZ414" i="3"/>
  <c r="U23" i="35"/>
  <c r="AB23" i="35"/>
  <c r="AB39" i="40"/>
  <c r="U39" i="40"/>
  <c r="W12" i="34"/>
  <c r="AC12" i="34"/>
  <c r="AC13" i="21"/>
  <c r="W13" i="21"/>
  <c r="G5" i="3"/>
  <c r="B3" i="3" s="1"/>
  <c r="E363" i="3" s="1"/>
  <c r="D83" i="71"/>
  <c r="C82" i="71"/>
  <c r="D82" i="71" s="1"/>
  <c r="AZ20" i="3"/>
  <c r="C52" i="71"/>
  <c r="D51" i="71"/>
  <c r="AZ103" i="3"/>
  <c r="AZ25" i="3"/>
  <c r="O65" i="71"/>
  <c r="D66" i="71"/>
  <c r="O66" i="71"/>
  <c r="C36" i="71"/>
  <c r="D35" i="71"/>
  <c r="AZ249" i="3"/>
  <c r="AZ218" i="3"/>
  <c r="AZ130" i="3"/>
  <c r="AZ244" i="3"/>
  <c r="AZ239" i="3"/>
  <c r="AZ397" i="3"/>
  <c r="AZ441" i="3"/>
  <c r="AZ422" i="3"/>
  <c r="AZ405" i="3"/>
  <c r="AZ457" i="3"/>
  <c r="AC23" i="35"/>
  <c r="W23" i="35"/>
  <c r="AC39" i="40"/>
  <c r="W39" i="40"/>
  <c r="U29" i="21"/>
  <c r="AB29" i="21"/>
  <c r="AC23" i="36"/>
  <c r="W23" i="36"/>
  <c r="G16" i="1"/>
  <c r="F10" i="39" s="1"/>
  <c r="AA10" i="39" s="1"/>
  <c r="J7" i="37"/>
  <c r="AC7" i="37" s="1"/>
  <c r="K1" i="73"/>
  <c r="E310" i="3"/>
  <c r="E102" i="3"/>
  <c r="E497" i="3"/>
  <c r="E41" i="3"/>
  <c r="E225" i="3"/>
  <c r="E78" i="3"/>
  <c r="E324" i="3"/>
  <c r="E370" i="3"/>
  <c r="E80" i="3"/>
  <c r="E188" i="3"/>
  <c r="E223" i="3"/>
  <c r="E564" i="3"/>
  <c r="E486" i="3"/>
  <c r="E376" i="3"/>
  <c r="J6" i="3"/>
  <c r="E40" i="3"/>
  <c r="E25" i="3"/>
  <c r="E226" i="3"/>
  <c r="E346" i="3"/>
  <c r="E60" i="3"/>
  <c r="E43" i="3"/>
  <c r="E455" i="3"/>
  <c r="E79" i="3"/>
  <c r="E194" i="3"/>
  <c r="E299" i="3"/>
  <c r="AQ6" i="3"/>
  <c r="E52" i="3"/>
  <c r="E147" i="3"/>
  <c r="E289" i="3"/>
  <c r="E20" i="3"/>
  <c r="E176" i="3"/>
  <c r="E524" i="3"/>
  <c r="E101" i="3"/>
  <c r="E398" i="3"/>
  <c r="E566" i="3"/>
  <c r="E348" i="3"/>
  <c r="E521" i="3"/>
  <c r="E250" i="3"/>
  <c r="E51" i="3"/>
  <c r="E421" i="3"/>
  <c r="E416" i="3"/>
  <c r="E110" i="3"/>
  <c r="E138" i="3"/>
  <c r="E284" i="3"/>
  <c r="E19" i="3"/>
  <c r="E582" i="3"/>
  <c r="E436" i="3"/>
  <c r="E266" i="3"/>
  <c r="E341" i="3"/>
  <c r="E39" i="3"/>
  <c r="E259" i="3"/>
  <c r="Y6" i="3"/>
  <c r="E179" i="3"/>
  <c r="E195" i="3"/>
  <c r="E154" i="3"/>
  <c r="E504" i="3"/>
  <c r="E98" i="3"/>
  <c r="E122" i="3"/>
  <c r="E461" i="3"/>
  <c r="E157" i="3"/>
  <c r="E313" i="3"/>
  <c r="E438" i="3"/>
  <c r="E288" i="3"/>
  <c r="E475" i="3"/>
  <c r="E54" i="3"/>
  <c r="E357" i="3"/>
  <c r="E93" i="3"/>
  <c r="E145" i="3"/>
  <c r="E379" i="3"/>
  <c r="E432" i="3"/>
  <c r="E367" i="3"/>
  <c r="E71" i="3"/>
  <c r="E126" i="3"/>
  <c r="AM6" i="3"/>
  <c r="E29" i="3"/>
  <c r="E153" i="3"/>
  <c r="E426" i="3"/>
  <c r="E359" i="3"/>
  <c r="E97" i="3"/>
  <c r="E506" i="3"/>
  <c r="E418" i="3"/>
  <c r="E169" i="3"/>
  <c r="E237" i="3"/>
  <c r="E17" i="3"/>
  <c r="E221" i="3"/>
  <c r="E402" i="3"/>
  <c r="AN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444" i="3"/>
  <c r="E404" i="3"/>
  <c r="E88" i="3"/>
  <c r="E166" i="3"/>
  <c r="E295" i="3"/>
  <c r="E316" i="3"/>
  <c r="E30" i="3"/>
  <c r="E480" i="3"/>
  <c r="E125" i="3"/>
  <c r="E553" i="3"/>
  <c r="E282" i="3"/>
  <c r="N6" i="3"/>
  <c r="E516" i="3"/>
  <c r="E569" i="3"/>
  <c r="E396"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D26" i="43" l="1"/>
  <c r="C25" i="43" s="1"/>
  <c r="F48" i="69"/>
  <c r="C48" i="69"/>
  <c r="C30" i="69"/>
  <c r="E469" i="3"/>
  <c r="E18" i="3"/>
  <c r="E56" i="3"/>
  <c r="AA6" i="3"/>
  <c r="E159" i="3"/>
  <c r="E213" i="3"/>
  <c r="E298" i="3"/>
  <c r="S6" i="3"/>
  <c r="E574" i="3"/>
  <c r="E501" i="3"/>
  <c r="E291" i="3"/>
  <c r="E546" i="3"/>
  <c r="E548" i="3"/>
  <c r="E196" i="3"/>
  <c r="E257" i="3"/>
  <c r="E471" i="3"/>
  <c r="E529" i="3"/>
  <c r="E306" i="3"/>
  <c r="E82" i="3"/>
  <c r="E413" i="3"/>
  <c r="E488" i="3"/>
  <c r="E66" i="3"/>
  <c r="E542" i="3"/>
  <c r="E47" i="3"/>
  <c r="E464" i="3"/>
  <c r="E354" i="3"/>
  <c r="E57" i="3"/>
  <c r="E312" i="3"/>
  <c r="E386" i="3"/>
  <c r="E155" i="3"/>
  <c r="E552" i="3"/>
  <c r="E265" i="3"/>
  <c r="E50" i="3"/>
  <c r="E123" i="3"/>
  <c r="E325" i="3"/>
  <c r="E137" i="3"/>
  <c r="E15" i="3"/>
  <c r="E372" i="3"/>
  <c r="E202" i="3"/>
  <c r="E463" i="3"/>
  <c r="E440" i="3"/>
  <c r="E493" i="3"/>
  <c r="E329" i="3"/>
  <c r="E35" i="3"/>
  <c r="E412" i="3"/>
  <c r="E104" i="3"/>
  <c r="E405" i="3"/>
  <c r="AL6" i="3"/>
  <c r="I3" i="6"/>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98" i="3"/>
  <c r="E507" i="3"/>
  <c r="E393" i="3"/>
  <c r="E326" i="3"/>
  <c r="E342" i="3"/>
  <c r="E356" i="3"/>
  <c r="E13" i="3"/>
  <c r="E22" i="3"/>
  <c r="E144" i="3"/>
  <c r="E419" i="3"/>
  <c r="E490" i="3"/>
  <c r="E427" i="3"/>
  <c r="E116" i="3"/>
  <c r="E83" i="3"/>
  <c r="E232" i="3"/>
  <c r="E190" i="3"/>
  <c r="E243" i="3"/>
  <c r="E26" i="3"/>
  <c r="E451" i="3"/>
  <c r="E534" i="3"/>
  <c r="E34" i="3"/>
  <c r="E198" i="3"/>
  <c r="E160" i="3"/>
  <c r="E510" i="3"/>
  <c r="E452" i="3"/>
  <c r="E408" i="3"/>
  <c r="E173" i="3"/>
  <c r="E235" i="3"/>
  <c r="E309" i="3"/>
  <c r="J10" i="39"/>
  <c r="W10" i="39" s="1"/>
  <c r="E212" i="3"/>
  <c r="E199" i="3"/>
  <c r="E435" i="3"/>
  <c r="E76" i="3"/>
  <c r="E300" i="3"/>
  <c r="E233" i="3"/>
  <c r="E21" i="3"/>
  <c r="E75" i="3"/>
  <c r="E522" i="3"/>
  <c r="E287" i="3"/>
  <c r="E541" i="3"/>
  <c r="E192" i="3"/>
  <c r="E64" i="3"/>
  <c r="E84" i="3"/>
  <c r="E264" i="3"/>
  <c r="E332" i="3"/>
  <c r="E129" i="3"/>
  <c r="E251" i="3"/>
  <c r="E140" i="3"/>
  <c r="E456" i="3"/>
  <c r="E360"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68" i="3"/>
  <c r="E425" i="3"/>
  <c r="R6" i="3"/>
  <c r="E525" i="3"/>
  <c r="E205" i="3"/>
  <c r="E113" i="3"/>
  <c r="E206" i="3"/>
  <c r="E383" i="3"/>
  <c r="E96" i="3"/>
  <c r="E42" i="3"/>
  <c r="E281" i="3"/>
  <c r="E513" i="3"/>
  <c r="E63" i="3"/>
  <c r="E184" i="3"/>
  <c r="E23" i="3"/>
  <c r="E267" i="3"/>
  <c r="E467" i="3"/>
  <c r="E389" i="3"/>
  <c r="E95" i="3"/>
  <c r="E554" i="3"/>
  <c r="E442" i="3"/>
  <c r="E536" i="3"/>
  <c r="E3" i="6"/>
  <c r="E470" i="3"/>
  <c r="E556" i="3"/>
  <c r="E512" i="3"/>
  <c r="T6" i="3"/>
  <c r="E197" i="3"/>
  <c r="E308" i="3"/>
  <c r="AF6" i="3"/>
  <c r="E86" i="3"/>
  <c r="E174" i="3"/>
  <c r="E482" i="3"/>
  <c r="E391" i="3"/>
  <c r="E494" i="3"/>
  <c r="E283" i="3"/>
  <c r="E381" i="3"/>
  <c r="E67" i="3"/>
  <c r="E371" i="3"/>
  <c r="E103" i="3"/>
  <c r="E409" i="3"/>
  <c r="E241" i="3"/>
  <c r="E417" i="3"/>
  <c r="E449" i="3"/>
  <c r="E575" i="3"/>
  <c r="AC7" i="36"/>
  <c r="V36" i="36" s="1"/>
  <c r="I36" i="36" s="1"/>
  <c r="S10" i="39"/>
  <c r="H10" i="39"/>
  <c r="U10" i="39" s="1"/>
  <c r="F10" i="40"/>
  <c r="S10" i="40" s="1"/>
  <c r="H10" i="40"/>
  <c r="AB10" i="40" s="1"/>
  <c r="J10" i="40"/>
  <c r="AC10" i="40" s="1"/>
  <c r="W7" i="37"/>
  <c r="T52" i="71"/>
  <c r="D52" i="71"/>
  <c r="E59" i="3"/>
  <c r="E349" i="3"/>
  <c r="E258" i="3"/>
  <c r="E37" i="3"/>
  <c r="E491" i="3"/>
  <c r="AP6" i="3"/>
  <c r="E430" i="3"/>
  <c r="E502" i="3"/>
  <c r="E286" i="3"/>
  <c r="E539" i="3"/>
  <c r="D36" i="71"/>
  <c r="T36" i="71"/>
  <c r="R36" i="36"/>
  <c r="R37" i="36" s="1"/>
  <c r="D56" i="71"/>
  <c r="T56" i="71"/>
  <c r="T40" i="71"/>
  <c r="D40" i="71"/>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67"/>
  <c r="M27" i="15"/>
  <c r="F41" i="15"/>
  <c r="F69" i="67" l="1"/>
  <c r="F25" i="12"/>
  <c r="AC10" i="39"/>
  <c r="AA10" i="40"/>
  <c r="H6" i="3"/>
  <c r="AB10" i="39"/>
  <c r="AC6" i="3"/>
  <c r="E6" i="3" s="1"/>
  <c r="E36" i="36"/>
  <c r="I46" i="37"/>
  <c r="J46" i="37" s="1"/>
  <c r="I53" i="34"/>
  <c r="J53" i="34"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C14" i="67"/>
  <c r="C34" i="69"/>
  <c r="D10" i="69"/>
  <c r="C17" i="67"/>
  <c r="C44" i="11" l="1"/>
  <c r="D41" i="11" s="1"/>
  <c r="D30" i="6"/>
  <c r="H25" i="6"/>
  <c r="C26" i="11"/>
  <c r="D22" i="11" s="1"/>
  <c r="C26" i="68"/>
  <c r="D22" i="68" s="1"/>
  <c r="F41" i="68"/>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7"/>
  <c r="D2" i="35"/>
  <c r="D2" i="34"/>
  <c r="D22" i="9" l="1"/>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9" i="1"/>
  <c r="D20" i="9"/>
  <c r="AO8" i="1"/>
  <c r="AO11" i="1"/>
  <c r="AO7"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18" i="9" l="1"/>
  <c r="G14" i="74" s="1"/>
  <c r="B6" i="74" s="1"/>
  <c r="D6" i="74" s="1"/>
  <c r="B5" i="74"/>
  <c r="D5" i="74" s="1"/>
  <c r="C104" i="9"/>
  <c r="F4" i="52"/>
  <c r="B51" i="72" s="1"/>
  <c r="F119" i="9"/>
  <c r="F5" i="52" s="1"/>
  <c r="B53" i="72" s="1"/>
  <c r="E118" i="9"/>
  <c r="G4" i="52"/>
  <c r="B52" i="72" s="1"/>
  <c r="H102" i="9"/>
  <c r="I4" i="52"/>
  <c r="C105" i="9"/>
  <c r="F14" i="74" l="1"/>
  <c r="H119" i="9"/>
  <c r="H5" i="52" s="1"/>
  <c r="H101" i="9"/>
  <c r="M48" i="9" s="1"/>
  <c r="H4" i="52"/>
  <c r="D45" i="9"/>
  <c r="D5" i="53"/>
  <c r="E4" i="52"/>
  <c r="B48" i="72" s="1"/>
  <c r="D118" i="9"/>
  <c r="D7" i="53"/>
  <c r="B21" i="72" s="1"/>
  <c r="C5" i="74"/>
  <c r="H107" i="9" l="1"/>
  <c r="D6" i="53"/>
  <c r="B22" i="72" s="1"/>
  <c r="B20" i="72"/>
  <c r="C85" i="9"/>
  <c r="C64" i="9"/>
  <c r="C63" i="9" s="1"/>
  <c r="C67" i="9" s="1"/>
  <c r="D52" i="9"/>
  <c r="C78" i="9"/>
  <c r="C73" i="9" s="1"/>
  <c r="C72" i="9"/>
  <c r="D55" i="9"/>
  <c r="M53" i="9" s="1"/>
  <c r="D53" i="9"/>
  <c r="C93" i="9"/>
  <c r="C86" i="9" s="1"/>
  <c r="M49" i="9"/>
  <c r="D122" i="9"/>
  <c r="D13" i="53"/>
  <c r="H108" i="9"/>
  <c r="D119" i="9"/>
  <c r="D5" i="52" s="1"/>
  <c r="B49" i="72" s="1"/>
  <c r="D4" i="52"/>
  <c r="B47" i="72" s="1"/>
  <c r="C79" i="9" l="1"/>
  <c r="D59" i="9"/>
  <c r="M55" i="9" s="1"/>
  <c r="C68" i="9"/>
  <c r="D54" i="9" s="1"/>
  <c r="D14" i="53"/>
  <c r="B32" i="72" s="1"/>
  <c r="B30" i="72"/>
  <c r="C80" i="9"/>
  <c r="E80" i="9" s="1"/>
  <c r="E81" i="9" s="1"/>
  <c r="C95" i="9"/>
  <c r="D123" i="9"/>
  <c r="D9" i="52" s="1"/>
  <c r="D8" i="52"/>
  <c r="L68" i="9"/>
  <c r="M68" i="9" s="1"/>
  <c r="L66" i="9"/>
  <c r="M66" i="9" s="1"/>
  <c r="L64" i="9"/>
  <c r="M64" i="9" s="1"/>
  <c r="L67" i="9"/>
  <c r="M67" i="9" s="1"/>
  <c r="L63" i="9"/>
  <c r="M63" i="9" s="1"/>
  <c r="L65" i="9"/>
  <c r="M65" i="9" s="1"/>
  <c r="C6" i="74"/>
  <c r="D15" i="53"/>
  <c r="B31" i="72" s="1"/>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<sst xmlns="http://schemas.openxmlformats.org/spreadsheetml/2006/main" count="7923" uniqueCount="3468">
  <si>
    <t>——</t>
    <phoneticPr fontId="6" type="noConversion"/>
  </si>
  <si>
    <t>——</t>
    <phoneticPr fontId="6" type="noConversion"/>
  </si>
  <si>
    <t>——</t>
    <phoneticPr fontId="6"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</si>
  <si>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</si>
  <si>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</si>
  <si>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</si>
  <si>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</si>
  <si>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</si>
  <si>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</si>
  <si>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</si>
  <si>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</si>
  <si>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</si>
  <si>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</si>
  <si>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</si>
  <si>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</si>
  <si>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</si>
  <si>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</si>
  <si>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</si>
  <si>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</si>
  <si>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</si>
  <si>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</si>
  <si>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办公</t>
  </si>
  <si>
    <t>-</t>
    <phoneticPr fontId="33" type="noConversion"/>
  </si>
  <si>
    <t>-</t>
    <phoneticPr fontId="33" type="noConversion"/>
  </si>
  <si>
    <t>五级</t>
    <phoneticPr fontId="6" type="noConversion"/>
  </si>
  <si>
    <t>六级</t>
    <phoneticPr fontId="6" type="noConversion"/>
  </si>
  <si>
    <t>——</t>
    <phoneticPr fontId="40" type="noConversion"/>
  </si>
  <si>
    <t>——</t>
    <phoneticPr fontId="27" type="noConversion"/>
  </si>
  <si>
    <t>——</t>
    <phoneticPr fontId="1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</si>
  <si>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</si>
  <si>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</si>
  <si>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</si>
  <si>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</si>
  <si>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</si>
  <si>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</si>
  <si>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</si>
  <si>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</si>
  <si>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</si>
  <si>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</si>
  <si>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</si>
  <si>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</si>
  <si>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</si>
  <si>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</si>
  <si>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</si>
  <si>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</si>
  <si>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</si>
  <si>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</si>
  <si>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</si>
  <si>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</si>
  <si>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</si>
  <si>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</si>
  <si>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</si>
  <si>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</si>
  <si>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</si>
  <si>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</si>
  <si>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</si>
  <si>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</si>
  <si>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</si>
  <si>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</si>
  <si>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</si>
  <si>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</si>
  <si>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</si>
  <si>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</si>
  <si>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</si>
  <si>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</si>
  <si>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</si>
  <si>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</si>
  <si>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</si>
  <si>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</si>
  <si>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</si>
  <si>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</si>
  <si>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</si>
  <si>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</si>
  <si>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</si>
  <si>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</si>
  <si>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</si>
  <si>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</si>
  <si>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</si>
  <si>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</si>
  <si>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</si>
  <si>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</si>
  <si>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</si>
  <si>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</si>
  <si>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</si>
  <si>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</si>
  <si>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</si>
  <si>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</si>
  <si>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</si>
  <si>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</si>
  <si>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</si>
  <si>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</si>
  <si>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</si>
  <si>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</si>
  <si>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</si>
  <si>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</si>
  <si>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</si>
  <si>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</si>
  <si>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</si>
  <si>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</si>
  <si>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</si>
  <si>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</si>
  <si>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</si>
  <si>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</si>
  <si>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</si>
  <si>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</si>
  <si>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</si>
  <si>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</si>
  <si>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</si>
  <si>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</si>
  <si>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</si>
  <si>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</si>
  <si>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</si>
  <si>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</si>
  <si>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</si>
  <si>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</si>
  <si>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</si>
  <si>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</si>
  <si>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</si>
  <si>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</si>
  <si>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</si>
  <si>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</si>
  <si>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</si>
  <si>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</si>
  <si>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</si>
  <si>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</si>
  <si>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</si>
  <si>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</si>
  <si>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</si>
  <si>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</si>
  <si>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</si>
  <si>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</si>
  <si>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</si>
  <si>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</si>
  <si>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</si>
  <si>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</si>
  <si>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</si>
  <si>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</si>
  <si>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</si>
  <si>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</si>
  <si>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</si>
  <si>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</si>
  <si>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</si>
  <si>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</si>
  <si>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</si>
  <si>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</si>
  <si>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</si>
  <si>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</si>
  <si>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</si>
  <si>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</si>
  <si>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</si>
  <si>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</si>
  <si>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</si>
  <si>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</si>
  <si>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</si>
  <si>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</si>
  <si>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</si>
  <si>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</si>
  <si>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</si>
  <si>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</si>
  <si>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</si>
  <si>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</si>
  <si>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</si>
  <si>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</si>
  <si>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</si>
  <si>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</si>
  <si>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</si>
  <si>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</si>
  <si>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</si>
  <si>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</si>
  <si>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</si>
  <si>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</si>
  <si>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</si>
  <si>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</si>
  <si>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</si>
  <si>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</si>
  <si>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</si>
  <si>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</si>
  <si>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</si>
  <si>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</si>
  <si>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</si>
  <si>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</si>
  <si>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</si>
  <si>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</si>
  <si>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</si>
  <si>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</si>
  <si>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</si>
  <si>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</si>
  <si>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</si>
  <si>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</si>
  <si>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</si>
  <si>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</si>
  <si>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</si>
  <si>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</si>
  <si>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</si>
  <si>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</si>
  <si>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</si>
  <si>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</si>
  <si>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</si>
  <si>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</si>
  <si>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</si>
  <si>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</si>
  <si>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</si>
  <si>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</si>
  <si>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</si>
  <si>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</si>
  <si>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</si>
  <si>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</si>
  <si>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</si>
  <si>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</si>
  <si>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</si>
  <si>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</si>
  <si>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</si>
  <si>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</si>
  <si>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</si>
  <si>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</si>
  <si>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</si>
  <si>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</si>
  <si>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</si>
  <si>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</si>
  <si>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</si>
  <si>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</si>
  <si>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</si>
  <si>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</si>
  <si>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</si>
  <si>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</si>
  <si>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</si>
  <si>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</si>
  <si>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</si>
  <si>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</si>
  <si>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</si>
  <si>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</si>
  <si>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</si>
  <si>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</si>
  <si>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</si>
  <si>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</si>
  <si>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</si>
  <si>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</si>
  <si>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</si>
  <si>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</si>
  <si>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</si>
  <si>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</si>
  <si>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</si>
  <si>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</si>
  <si>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</si>
  <si>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</si>
  <si>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</si>
  <si>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</si>
  <si>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</si>
  <si>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</si>
  <si>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</si>
  <si>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</si>
  <si>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</si>
  <si>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</si>
  <si>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</si>
  <si>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</si>
  <si>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</si>
  <si>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</si>
  <si>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</si>
  <si>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</si>
  <si>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</si>
  <si>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</si>
  <si>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</si>
  <si>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</si>
  <si>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</si>
  <si>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</si>
  <si>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</si>
  <si>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</si>
  <si>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</si>
  <si>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</si>
  <si>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</si>
  <si>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</si>
  <si>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</si>
  <si>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</si>
  <si>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</si>
  <si>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</si>
  <si>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</si>
  <si>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</si>
  <si>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</si>
  <si>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</si>
  <si>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</si>
  <si>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</si>
  <si>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</si>
  <si>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</si>
  <si>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</si>
  <si>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</si>
  <si>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</si>
  <si>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</si>
  <si>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</si>
  <si>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</si>
  <si>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</si>
  <si>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</si>
  <si>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</si>
  <si>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</si>
  <si>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</si>
  <si>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</si>
  <si>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</si>
  <si>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</si>
  <si>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</si>
  <si>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</si>
  <si>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</si>
  <si>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</si>
  <si>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</si>
  <si>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</si>
  <si>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</si>
  <si>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</si>
  <si>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</si>
  <si>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</si>
  <si>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</si>
  <si>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6" type="noConversion"/>
  </si>
  <si>
    <t>区域土地利用方向</t>
    <phoneticPr fontId="46" type="noConversion"/>
  </si>
  <si>
    <r>
      <rPr>
        <sz val="10"/>
        <color indexed="8"/>
        <rFont val="宋体"/>
        <family val="3"/>
        <charset val="134"/>
      </rPr>
      <t>修正系数</t>
    </r>
    <phoneticPr fontId="79"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</si>
  <si>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</si>
  <si>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</si>
  <si>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</si>
  <si>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</si>
  <si>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</si>
  <si>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</si>
  <si>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</si>
  <si>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</si>
  <si>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</si>
  <si>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</si>
  <si>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</si>
  <si>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</si>
  <si>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</si>
  <si>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</si>
  <si>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</si>
  <si>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</si>
  <si>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</si>
  <si>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</si>
  <si>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</si>
  <si>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</si>
  <si>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</si>
  <si>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</si>
  <si>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</si>
  <si>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</si>
  <si>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</si>
  <si>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</si>
  <si>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</si>
  <si>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</si>
  <si>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</si>
  <si>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</si>
  <si>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</si>
  <si>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</si>
  <si>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</si>
  <si>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</si>
  <si>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</si>
  <si>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</si>
  <si>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</si>
  <si>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</si>
  <si>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</si>
  <si>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</si>
  <si>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</si>
  <si>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</si>
  <si>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</si>
  <si>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</si>
  <si>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</si>
  <si>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</si>
  <si>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</si>
  <si>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</si>
  <si>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</si>
  <si>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</si>
  <si>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</si>
  <si>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79" type="noConversion"/>
  </si>
  <si>
    <t>2.</t>
    <phoneticPr fontId="79" type="noConversion"/>
  </si>
  <si>
    <t>3.</t>
    <phoneticPr fontId="79" type="noConversion"/>
  </si>
  <si>
    <t>4.</t>
    <phoneticPr fontId="6" type="noConversion"/>
  </si>
  <si>
    <t>5.</t>
    <phoneticPr fontId="6" type="noConversion"/>
  </si>
  <si>
    <t>6.</t>
    <phoneticPr fontId="6" type="noConversion"/>
  </si>
  <si>
    <t>7.</t>
    <phoneticPr fontId="6" type="noConversion"/>
  </si>
  <si>
    <t>十一级</t>
  </si>
  <si>
    <t>十二级</t>
  </si>
  <si>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</si>
  <si>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</si>
  <si>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</si>
  <si>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</si>
  <si>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</si>
  <si>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</si>
  <si>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</si>
  <si>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</si>
  <si>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</si>
  <si>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</si>
  <si>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</si>
  <si>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</si>
  <si>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</si>
  <si>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</si>
  <si>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</si>
  <si>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</si>
  <si>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</si>
  <si>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</si>
  <si>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9" type="noConversion"/>
  </si>
  <si>
    <t>XX</t>
  </si>
  <si>
    <t>附表：</t>
    <phoneticPr fontId="94"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</si>
  <si>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</si>
  <si>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</si>
  <si>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</si>
  <si>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</si>
  <si>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</si>
  <si>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</si>
  <si>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</si>
  <si>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</si>
  <si>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</si>
  <si>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</si>
  <si>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</si>
  <si>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</si>
  <si>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</si>
  <si>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</si>
  <si>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</si>
  <si>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</si>
  <si>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</si>
  <si>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</si>
  <si>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</si>
  <si>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</si>
  <si>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</si>
  <si>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</si>
  <si>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</si>
  <si>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</si>
  <si>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</si>
  <si>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</si>
  <si>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</si>
  <si>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</si>
  <si>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</si>
  <si>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</si>
  <si>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</si>
  <si>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</si>
  <si>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</si>
  <si>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</si>
  <si>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</si>
  <si>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</si>
  <si>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</si>
  <si>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</si>
  <si>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</si>
  <si>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</si>
  <si>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</si>
  <si>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</si>
  <si>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</si>
  <si>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</si>
  <si>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</si>
  <si>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</si>
  <si>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</si>
  <si>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</si>
  <si>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</si>
  <si>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</si>
  <si>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</si>
  <si>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</si>
  <si>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</si>
  <si>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</si>
  <si>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</si>
  <si>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</si>
  <si>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</si>
  <si>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</si>
  <si>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</si>
  <si>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</si>
  <si>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</si>
  <si>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</si>
  <si>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</si>
  <si>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</si>
  <si>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</si>
  <si>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</si>
  <si>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</si>
  <si>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</si>
  <si>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</si>
  <si>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</si>
  <si>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</si>
  <si>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</si>
  <si>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</si>
  <si>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</si>
  <si>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</si>
  <si>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</si>
  <si>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</si>
  <si>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</si>
  <si>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</si>
  <si>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</si>
  <si>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</si>
  <si>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</si>
  <si>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</si>
  <si>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</si>
  <si>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</si>
  <si>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</si>
  <si>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</si>
  <si>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</si>
  <si>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</si>
  <si>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</si>
  <si>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</si>
  <si>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</si>
  <si>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</si>
  <si>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</si>
  <si>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</si>
  <si>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</si>
  <si>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</si>
  <si>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</si>
  <si>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</si>
  <si>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</si>
  <si>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</si>
  <si>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</si>
  <si>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</si>
  <si>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</si>
  <si>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</si>
  <si>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</si>
  <si>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</si>
  <si>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</si>
  <si>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</si>
  <si>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</si>
  <si>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</si>
  <si>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</si>
  <si>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</si>
  <si>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</si>
  <si>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</si>
  <si>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</si>
  <si>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</si>
  <si>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</si>
  <si>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</si>
  <si>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</si>
  <si>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</si>
  <si>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</si>
  <si>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</si>
  <si>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</si>
  <si>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</si>
  <si>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</si>
  <si>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</si>
  <si>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</si>
  <si>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</si>
  <si>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</si>
  <si>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</si>
  <si>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</si>
  <si>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</si>
  <si>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</si>
  <si>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</si>
  <si>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</si>
  <si>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</si>
  <si>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</si>
  <si>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</si>
  <si>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</si>
  <si>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</si>
  <si>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</si>
  <si>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</si>
  <si>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</si>
  <si>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</si>
  <si>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</si>
  <si>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</si>
  <si>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</si>
  <si>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</si>
  <si>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</si>
  <si>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</si>
  <si>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</si>
  <si>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</si>
  <si>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</si>
  <si>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</si>
  <si>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</si>
  <si>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</si>
  <si>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</si>
  <si>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</si>
  <si>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</si>
  <si>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</si>
  <si>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</si>
  <si>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</si>
  <si>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</si>
  <si>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</si>
  <si>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</si>
  <si>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</si>
  <si>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</si>
  <si>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</si>
  <si>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</si>
  <si>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</si>
  <si>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</si>
  <si>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</si>
  <si>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</si>
  <si>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</si>
  <si>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</si>
  <si>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</si>
  <si>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</si>
  <si>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</si>
  <si>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</si>
  <si>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</si>
  <si>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</si>
  <si>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</si>
  <si>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</si>
  <si>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</si>
  <si>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</si>
  <si>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</si>
  <si>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</si>
  <si>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</si>
  <si>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</si>
  <si>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</si>
  <si>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</si>
  <si>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</si>
  <si>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</si>
  <si>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</si>
  <si>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</si>
  <si>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</si>
  <si>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</si>
  <si>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</si>
  <si>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</si>
  <si>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</si>
  <si>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</si>
  <si>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</si>
  <si>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</si>
  <si>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</si>
  <si>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</si>
  <si>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</si>
  <si>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</si>
  <si>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</si>
  <si>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</si>
  <si>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6" type="noConversion"/>
  </si>
  <si>
    <t>开发期</t>
    <phoneticPr fontId="137" type="noConversion"/>
  </si>
  <si>
    <t>贷款利率</t>
    <phoneticPr fontId="6" type="noConversion"/>
  </si>
  <si>
    <t>贷款利率</t>
    <phoneticPr fontId="137" type="noConversion"/>
  </si>
  <si>
    <t>存款利率</t>
    <phoneticPr fontId="13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</si>
  <si>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</si>
  <si>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</si>
  <si>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</si>
  <si>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</si>
  <si>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</si>
  <si>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</si>
  <si>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</si>
  <si>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</si>
  <si>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</si>
  <si>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</si>
  <si>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</si>
  <si>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</si>
  <si>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</si>
  <si>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</si>
  <si>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</si>
  <si>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</si>
  <si>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</si>
  <si>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</si>
  <si>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</si>
  <si>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</si>
  <si>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</si>
  <si>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</si>
  <si>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</si>
  <si>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</si>
  <si>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</si>
  <si>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</si>
  <si>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</si>
  <si>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</si>
  <si>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</si>
  <si>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</si>
  <si>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</si>
  <si>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</si>
  <si>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</si>
  <si>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</si>
  <si>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</si>
  <si>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</si>
  <si>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</si>
  <si>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</si>
  <si>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</si>
  <si>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</si>
  <si>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</si>
  <si>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</si>
  <si>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</si>
  <si>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</si>
  <si>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</si>
  <si>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</si>
  <si>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</si>
  <si>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</si>
  <si>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</si>
  <si>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</si>
  <si>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</si>
  <si>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</si>
  <si>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</si>
  <si>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</si>
  <si>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</si>
  <si>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</si>
  <si>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</si>
  <si>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</si>
  <si>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</si>
  <si>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</si>
  <si>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</si>
  <si>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</si>
  <si>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</si>
  <si>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</si>
  <si>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</si>
  <si>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用途</t>
  </si>
  <si>
    <t>商业</t>
  </si>
  <si>
    <t>居住</t>
  </si>
  <si>
    <t>土地级别</t>
  </si>
  <si>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</si>
  <si>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</si>
  <si>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</si>
  <si>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</si>
  <si>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</si>
  <si>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</si>
  <si>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</si>
  <si>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</si>
  <si>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</si>
  <si>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</si>
  <si>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</si>
  <si>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</si>
  <si>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</si>
  <si>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</si>
  <si>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</si>
  <si>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</si>
  <si>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</si>
  <si>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</si>
  <si>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</si>
  <si>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</si>
  <si>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</si>
  <si>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</si>
  <si>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</si>
  <si>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</si>
  <si>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</si>
  <si>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</si>
  <si>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</si>
  <si>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</si>
  <si>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</si>
  <si>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</si>
  <si>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</si>
  <si>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</si>
  <si>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</si>
  <si>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</si>
  <si>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</si>
  <si>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</si>
  <si>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</si>
  <si>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</si>
  <si>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</si>
  <si>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</si>
  <si>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</si>
  <si>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</si>
  <si>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</si>
  <si>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</si>
  <si>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</si>
  <si>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</si>
  <si>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</si>
  <si>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</si>
  <si>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</si>
  <si>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</si>
  <si>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</si>
  <si>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</si>
  <si>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</si>
  <si>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</si>
  <si>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</si>
  <si>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</si>
  <si>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</si>
  <si>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</si>
  <si>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</si>
  <si>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</si>
  <si>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</si>
  <si>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</si>
  <si>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</si>
  <si>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</si>
  <si>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</si>
  <si>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</si>
  <si>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</si>
  <si>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</si>
  <si>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</si>
  <si>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</si>
  <si>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</si>
  <si>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</si>
  <si>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</si>
  <si>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</si>
  <si>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</si>
  <si>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</si>
  <si>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</si>
  <si>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</si>
  <si>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</si>
  <si>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</si>
  <si>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</si>
  <si>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</si>
  <si>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</si>
  <si>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</si>
  <si>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</si>
  <si>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</si>
  <si>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</si>
  <si>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</si>
  <si>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</si>
  <si>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</si>
  <si>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</si>
  <si>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</si>
  <si>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</si>
  <si>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</si>
  <si>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</si>
  <si>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</si>
  <si>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</si>
  <si>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</si>
  <si>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</si>
  <si>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</si>
  <si>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</si>
  <si>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</si>
  <si>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</si>
  <si>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</si>
  <si>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</si>
  <si>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</si>
  <si>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</si>
  <si>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</si>
  <si>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</si>
  <si>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</si>
  <si>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</si>
  <si>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</si>
  <si>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</si>
  <si>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</si>
  <si>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</si>
  <si>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</si>
  <si>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</si>
  <si>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</si>
  <si>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</si>
  <si>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</si>
  <si>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</si>
  <si>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</si>
  <si>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</si>
  <si>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</si>
  <si>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</si>
  <si>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</si>
  <si>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</si>
  <si>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</si>
  <si>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</si>
  <si>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</si>
  <si>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</si>
  <si>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</si>
  <si>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</si>
  <si>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</si>
  <si>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</si>
  <si>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</si>
  <si>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</si>
  <si>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</si>
  <si>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</si>
  <si>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</si>
  <si>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</si>
  <si>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</si>
  <si>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</si>
  <si>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</si>
  <si>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</si>
  <si>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</si>
  <si>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</si>
  <si>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</si>
  <si>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</si>
  <si>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</si>
  <si>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</si>
  <si>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</si>
  <si>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</si>
  <si>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</si>
  <si>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</si>
  <si>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</si>
  <si>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</si>
  <si>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</si>
  <si>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</si>
  <si>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</si>
  <si>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</si>
  <si>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</si>
  <si>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</si>
  <si>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</si>
  <si>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</si>
  <si>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</si>
  <si>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</si>
  <si>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</si>
  <si>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</si>
  <si>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</si>
  <si>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</si>
  <si>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</si>
  <si>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</si>
  <si>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</si>
  <si>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</si>
  <si>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</si>
  <si>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</si>
  <si>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</si>
  <si>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</si>
  <si>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</si>
  <si>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</si>
  <si>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</si>
  <si>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</si>
  <si>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</si>
  <si>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</si>
  <si>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</si>
  <si>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</si>
  <si>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</si>
  <si>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</si>
  <si>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</si>
  <si>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</si>
  <si>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</si>
  <si>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</si>
  <si>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</si>
  <si>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</si>
  <si>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</si>
  <si>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</si>
  <si>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</si>
  <si>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</si>
  <si>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</si>
  <si>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</si>
  <si>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</si>
  <si>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</si>
  <si>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</si>
  <si>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0"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</si>
  <si>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</si>
  <si>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</si>
  <si>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</si>
  <si>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</si>
  <si>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</si>
  <si>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</si>
  <si>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</si>
  <si>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</si>
  <si>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</si>
  <si>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</si>
  <si>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</si>
  <si>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</si>
  <si>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</si>
  <si>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</si>
  <si>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</si>
  <si>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</si>
  <si>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</si>
  <si>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</si>
  <si>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</si>
  <si>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</si>
  <si>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</si>
  <si>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</si>
  <si>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</si>
  <si>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</si>
  <si>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</si>
  <si>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</si>
  <si>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</si>
  <si>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</si>
  <si>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</si>
  <si>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</si>
  <si>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</si>
  <si>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</si>
  <si>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</si>
  <si>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</si>
  <si>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</si>
  <si>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</si>
  <si>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</si>
  <si>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</si>
  <si>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</si>
  <si>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</si>
  <si>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</si>
  <si>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</si>
  <si>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</si>
  <si>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</si>
  <si>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</si>
  <si>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</si>
  <si>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</si>
  <si>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</si>
  <si>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</si>
  <si>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</si>
  <si>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</si>
  <si>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</si>
  <si>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</si>
  <si>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</si>
  <si>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</si>
  <si>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</si>
  <si>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</si>
  <si>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</si>
  <si>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</si>
  <si>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</si>
  <si>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</si>
  <si>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</si>
  <si>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</si>
  <si>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</si>
  <si>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</si>
  <si>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</si>
  <si>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</si>
  <si>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</si>
  <si>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</si>
  <si>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</si>
  <si>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</si>
  <si>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</si>
  <si>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</si>
  <si>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</si>
  <si>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</si>
  <si>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</si>
  <si>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</si>
  <si>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</si>
  <si>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</si>
  <si>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</si>
  <si>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</si>
  <si>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</si>
  <si>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</si>
  <si>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</si>
  <si>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</si>
  <si>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</si>
  <si>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</si>
  <si>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</si>
  <si>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</si>
  <si>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</si>
  <si>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</si>
  <si>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</si>
  <si>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</si>
  <si>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</si>
  <si>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</si>
  <si>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</si>
  <si>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</si>
  <si>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</si>
  <si>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</si>
  <si>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</si>
  <si>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</si>
  <si>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</si>
  <si>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</si>
  <si>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</si>
  <si>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</si>
  <si>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</si>
  <si>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</si>
  <si>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</si>
  <si>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</si>
  <si>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6"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</si>
  <si>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</si>
  <si>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</si>
  <si>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</si>
  <si>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</si>
  <si>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</si>
  <si>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</si>
  <si>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</si>
  <si>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</si>
  <si>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</si>
  <si>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</si>
  <si>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</si>
  <si>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</si>
  <si>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</si>
  <si>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</si>
  <si>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</si>
  <si>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</si>
  <si>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</si>
  <si>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</si>
  <si>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</si>
  <si>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</si>
  <si>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</si>
  <si>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</si>
  <si>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</si>
  <si>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</si>
  <si>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</si>
  <si>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</si>
  <si>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</si>
  <si>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</si>
  <si>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</si>
  <si>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</si>
  <si>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</si>
  <si>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</si>
  <si>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</si>
  <si>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</si>
  <si>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</si>
  <si>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</si>
  <si>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</si>
  <si>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</si>
  <si>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</si>
  <si>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</si>
  <si>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</si>
  <si>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</si>
  <si>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</si>
  <si>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</si>
  <si>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</si>
  <si>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</si>
  <si>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</si>
  <si>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</si>
  <si>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</si>
  <si>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</si>
  <si>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</si>
  <si>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</si>
  <si>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</si>
  <si>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</si>
  <si>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</si>
  <si>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</si>
  <si>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</si>
  <si>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</si>
  <si>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</si>
  <si>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</si>
  <si>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</si>
  <si>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</si>
  <si>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</si>
  <si>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</si>
  <si>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</si>
  <si>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</si>
  <si>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</si>
  <si>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</si>
  <si>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</si>
  <si>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</si>
  <si>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</si>
  <si>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</si>
  <si>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</si>
  <si>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</si>
  <si>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</si>
  <si>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</si>
  <si>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</si>
  <si>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</si>
  <si>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</si>
  <si>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</si>
  <si>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</si>
  <si>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</si>
  <si>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</si>
  <si>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</si>
  <si>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</si>
  <si>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</si>
  <si>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</si>
  <si>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</si>
  <si>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</si>
  <si>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</si>
  <si>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</si>
  <si>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</si>
  <si>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</si>
  <si>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</si>
  <si>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</si>
  <si>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</si>
  <si>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</si>
  <si>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</si>
  <si>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</si>
  <si>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</si>
  <si>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</si>
  <si>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</si>
  <si>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</si>
  <si>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</si>
  <si>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</si>
  <si>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</si>
  <si>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</si>
  <si>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</si>
  <si>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</si>
  <si>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</si>
  <si>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</si>
  <si>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</si>
  <si>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</si>
  <si>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</si>
  <si>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</si>
  <si>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</si>
  <si>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</si>
  <si>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</si>
  <si>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</si>
  <si>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</si>
  <si>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</si>
  <si>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</si>
  <si>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</si>
  <si>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</si>
  <si>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</si>
  <si>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</si>
  <si>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</si>
  <si>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</si>
  <si>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</si>
  <si>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</si>
  <si>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</si>
  <si>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</si>
  <si>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</si>
  <si>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</si>
  <si>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</si>
  <si>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</si>
  <si>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</si>
  <si>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</si>
  <si>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</si>
  <si>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</si>
  <si>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</si>
  <si>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</si>
  <si>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</si>
  <si>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</si>
  <si>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</si>
  <si>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</si>
  <si>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</si>
  <si>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</si>
  <si>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</si>
  <si>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</si>
  <si>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</si>
  <si>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</si>
  <si>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</si>
  <si>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</si>
  <si>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</si>
  <si>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</si>
  <si>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</si>
  <si>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</si>
  <si>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</si>
  <si>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</si>
  <si>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</si>
  <si>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</si>
  <si>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</si>
  <si>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</si>
  <si>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</si>
  <si>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</si>
  <si>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</si>
  <si>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</si>
  <si>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</si>
  <si>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</si>
  <si>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</si>
  <si>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</si>
  <si>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</si>
  <si>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</si>
  <si>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</si>
  <si>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</si>
  <si>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</si>
  <si>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</si>
  <si>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</si>
  <si>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</si>
  <si>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</si>
  <si>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</si>
  <si>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</si>
  <si>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</si>
  <si>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</si>
  <si>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</si>
  <si>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</si>
  <si>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</si>
  <si>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</si>
  <si>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</si>
  <si>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</si>
  <si>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</si>
  <si>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</si>
  <si>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</si>
  <si>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</si>
  <si>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</si>
  <si>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</si>
  <si>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</si>
  <si>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</si>
  <si>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</si>
  <si>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</si>
  <si>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</si>
  <si>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</si>
  <si>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</si>
  <si>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</si>
  <si>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</si>
  <si>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</si>
  <si>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</si>
  <si>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</si>
  <si>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</si>
  <si>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</si>
  <si>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</si>
  <si>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</si>
  <si>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</si>
  <si>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</si>
  <si>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</si>
  <si>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</si>
  <si>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</si>
  <si>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</si>
  <si>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</si>
  <si>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</si>
  <si>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</si>
  <si>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</si>
  <si>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</si>
  <si>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</si>
  <si>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</si>
  <si>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</si>
  <si>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</si>
  <si>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</si>
  <si>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</si>
  <si>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</si>
  <si>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</si>
  <si>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</si>
  <si>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</si>
  <si>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</si>
  <si>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</si>
  <si>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</si>
  <si>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</si>
  <si>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</si>
  <si>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</si>
  <si>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</si>
  <si>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</si>
  <si>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</si>
  <si>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</si>
  <si>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</si>
  <si>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</si>
  <si>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</si>
  <si>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</si>
  <si>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</si>
  <si>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</si>
  <si>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</si>
  <si>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</si>
  <si>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</si>
  <si>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</si>
  <si>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</si>
  <si>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</si>
  <si>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</si>
  <si>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</si>
  <si>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</si>
  <si>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</si>
  <si>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</si>
  <si>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</si>
  <si>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</si>
  <si>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</si>
  <si>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</si>
  <si>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</si>
  <si>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</si>
  <si>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</si>
  <si>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</si>
  <si>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</si>
  <si>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</si>
  <si>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</si>
  <si>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</si>
  <si>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</si>
  <si>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</si>
  <si>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</si>
  <si>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</si>
  <si>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</si>
  <si>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</si>
  <si>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</si>
  <si>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</si>
  <si>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</si>
  <si>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</si>
  <si>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</si>
  <si>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</si>
  <si>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</si>
  <si>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</si>
  <si>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</si>
  <si>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</si>
  <si>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</si>
  <si>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</si>
  <si>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</si>
  <si>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</si>
  <si>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</si>
  <si>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</si>
  <si>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</si>
  <si>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</si>
  <si>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</si>
  <si>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</si>
  <si>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</si>
  <si>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</si>
  <si>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</si>
  <si>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</si>
  <si>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</si>
  <si>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</si>
  <si>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</si>
  <si>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</si>
  <si>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</si>
  <si>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</si>
  <si>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</si>
  <si>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</si>
  <si>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</si>
  <si>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</si>
  <si>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</si>
  <si>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</si>
  <si>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</si>
  <si>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</si>
  <si>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11" type="noConversion"/>
  </si>
  <si>
    <r>
      <rPr>
        <sz val="10"/>
        <color indexed="8"/>
        <rFont val="宋体"/>
        <family val="3"/>
        <charset val="134"/>
      </rPr>
      <t>土地价值</t>
    </r>
    <phoneticPr fontId="91" type="noConversion"/>
  </si>
  <si>
    <r>
      <rPr>
        <sz val="11"/>
        <color indexed="8"/>
        <rFont val="宋体"/>
        <family val="3"/>
        <charset val="134"/>
      </rPr>
      <t>建筑物价值</t>
    </r>
    <phoneticPr fontId="11"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</si>
  <si>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</si>
  <si>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</si>
  <si>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</si>
  <si>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</si>
  <si>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</si>
  <si>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</si>
  <si>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</si>
  <si>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</si>
  <si>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</si>
  <si>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</si>
  <si>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</si>
  <si>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</si>
  <si>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</si>
  <si>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</si>
  <si>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</si>
  <si>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</si>
  <si>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</si>
  <si>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</si>
  <si>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</si>
  <si>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</si>
  <si>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</si>
  <si>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</si>
  <si>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</si>
  <si>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</si>
  <si>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</si>
  <si>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</si>
  <si>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</si>
  <si>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</si>
  <si>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</si>
  <si>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</si>
  <si>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</si>
  <si>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</si>
  <si>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</si>
  <si>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</si>
  <si>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</si>
  <si>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</si>
  <si>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</si>
  <si>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</si>
  <si>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</si>
  <si>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</si>
  <si>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</si>
  <si>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</si>
  <si>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</si>
  <si>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</si>
  <si>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</si>
  <si>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</si>
  <si>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</si>
  <si>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</si>
  <si>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</si>
  <si>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</si>
  <si>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</si>
  <si>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</si>
  <si>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</si>
  <si>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</si>
  <si>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</si>
  <si>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</si>
  <si>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</si>
  <si>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</si>
  <si>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</si>
  <si>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</si>
  <si>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</si>
  <si>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</si>
  <si>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</si>
  <si>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1"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</si>
  <si>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</si>
  <si>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</si>
  <si>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</si>
  <si>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</si>
  <si>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</si>
  <si>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</si>
  <si>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</si>
  <si>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</si>
  <si>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</si>
  <si>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</si>
  <si>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</si>
  <si>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</si>
  <si>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</si>
  <si>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</si>
  <si>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</si>
  <si>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</si>
  <si>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</si>
  <si>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</si>
  <si>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</si>
  <si>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</si>
  <si>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</si>
  <si>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</si>
  <si>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</si>
  <si>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</si>
  <si>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</si>
  <si>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</si>
  <si>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</si>
  <si>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</si>
  <si>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</si>
  <si>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</si>
  <si>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</si>
  <si>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</si>
  <si>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</si>
  <si>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</si>
  <si>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</si>
  <si>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</si>
  <si>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</si>
  <si>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</si>
  <si>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</si>
  <si>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</si>
  <si>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</si>
  <si>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</si>
  <si>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</si>
  <si>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</si>
  <si>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</si>
  <si>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</si>
  <si>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</si>
  <si>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</si>
  <si>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</si>
  <si>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</si>
  <si>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</si>
  <si>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</si>
  <si>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</si>
  <si>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</si>
  <si>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</si>
  <si>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</si>
  <si>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</si>
  <si>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</si>
  <si>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</si>
  <si>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</si>
  <si>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</si>
  <si>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</si>
  <si>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</si>
  <si>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</si>
  <si>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</si>
  <si>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</si>
  <si>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</si>
  <si>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</si>
  <si>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</si>
  <si>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</si>
  <si>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</si>
  <si>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</si>
  <si>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</si>
  <si>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</si>
  <si>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</si>
  <si>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</si>
  <si>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</si>
  <si>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</si>
  <si>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</si>
  <si>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</si>
  <si>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</si>
  <si>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</si>
  <si>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</si>
  <si>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</si>
  <si>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</si>
  <si>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</si>
  <si>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</si>
  <si>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</si>
  <si>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</si>
  <si>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</si>
  <si>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</si>
  <si>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</si>
  <si>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</si>
  <si>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</si>
  <si>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</si>
  <si>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</si>
  <si>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</si>
  <si>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</si>
  <si>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</si>
  <si>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</si>
  <si>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</si>
  <si>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</si>
  <si>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</si>
  <si>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</si>
  <si>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37"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</si>
  <si>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</si>
  <si>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</si>
  <si>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</si>
  <si>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</si>
  <si>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</si>
  <si>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</si>
  <si>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</si>
  <si>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</si>
  <si>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</si>
  <si>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</si>
  <si>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</si>
  <si>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</si>
  <si>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</si>
  <si>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</si>
  <si>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</si>
  <si>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</si>
  <si>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</si>
  <si>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</si>
  <si>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</si>
  <si>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</si>
  <si>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</si>
  <si>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</si>
  <si>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</si>
  <si>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</si>
  <si>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</si>
  <si>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</si>
  <si>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</si>
  <si>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</si>
  <si>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</si>
  <si>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</si>
  <si>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</si>
  <si>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</si>
  <si>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</si>
  <si>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</si>
  <si>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</si>
  <si>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</si>
  <si>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</si>
  <si>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</si>
  <si>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</si>
  <si>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</si>
  <si>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</si>
  <si>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</si>
  <si>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</si>
  <si>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</si>
  <si>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</si>
  <si>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</si>
  <si>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</si>
  <si>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</si>
  <si>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</si>
  <si>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</si>
  <si>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</si>
  <si>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</si>
  <si>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</si>
  <si>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</si>
  <si>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</si>
  <si>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</si>
  <si>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</si>
  <si>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</si>
  <si>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</si>
  <si>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</si>
  <si>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</si>
  <si>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</si>
  <si>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</si>
  <si>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</si>
  <si>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</si>
  <si>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</si>
  <si>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</si>
  <si>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</si>
  <si>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</si>
  <si>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</si>
  <si>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</si>
  <si>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</si>
  <si>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</si>
  <si>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</si>
  <si>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</si>
  <si>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</si>
  <si>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</si>
  <si>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</si>
  <si>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</si>
  <si>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</si>
  <si>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</si>
  <si>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</si>
  <si>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</si>
  <si>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37"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</si>
  <si>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</si>
  <si>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</si>
  <si>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</si>
  <si>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</si>
  <si>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</si>
  <si>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</si>
  <si>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</si>
  <si>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</si>
  <si>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</si>
  <si>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</si>
  <si>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</si>
  <si>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</si>
  <si>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</si>
  <si>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</si>
  <si>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</si>
  <si>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</si>
  <si>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</si>
  <si>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</si>
  <si>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</si>
  <si>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</si>
  <si>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</si>
  <si>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</si>
  <si>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</si>
  <si>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</si>
  <si>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</si>
  <si>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</si>
  <si>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</si>
  <si>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</si>
  <si>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</si>
  <si>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</si>
  <si>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</si>
  <si>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</si>
  <si>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</si>
  <si>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</si>
  <si>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</si>
  <si>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</si>
  <si>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</si>
  <si>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</si>
  <si>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</si>
  <si>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</si>
  <si>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</si>
  <si>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</si>
  <si>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</si>
  <si>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</si>
  <si>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</si>
  <si>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</si>
  <si>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</si>
  <si>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</si>
  <si>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</si>
  <si>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</si>
  <si>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</si>
  <si>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</si>
  <si>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</si>
  <si>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</si>
  <si>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</si>
  <si>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</si>
  <si>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</si>
  <si>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</si>
  <si>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</si>
  <si>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</si>
  <si>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</si>
  <si>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</si>
  <si>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</si>
  <si>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</si>
  <si>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</si>
  <si>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</si>
  <si>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</si>
  <si>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</si>
  <si>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</si>
  <si>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</si>
  <si>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</si>
  <si>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</si>
  <si>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</si>
  <si>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</si>
  <si>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</si>
  <si>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</si>
  <si>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</si>
  <si>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</si>
  <si>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</si>
  <si>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</si>
  <si>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</si>
  <si>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</si>
  <si>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</si>
  <si>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</si>
  <si>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</si>
  <si>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</si>
  <si>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</si>
  <si>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</si>
  <si>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</si>
  <si>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</si>
  <si>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</si>
  <si>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</si>
  <si>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</si>
  <si>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</si>
  <si>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</si>
  <si>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</si>
  <si>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</si>
  <si>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</si>
  <si>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</si>
  <si>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</si>
  <si>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1"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</si>
  <si>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</si>
  <si>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</si>
  <si>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</si>
  <si>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</si>
  <si>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</si>
  <si>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</si>
  <si>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</si>
  <si>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</si>
  <si>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</si>
  <si>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</si>
  <si>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</si>
  <si>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</si>
  <si>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</si>
  <si>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</si>
  <si>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</si>
  <si>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</si>
  <si>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</si>
  <si>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</si>
  <si>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</si>
  <si>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</si>
  <si>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</si>
  <si>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</si>
  <si>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</si>
  <si>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</si>
  <si>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</si>
  <si>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</si>
  <si>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</si>
  <si>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</si>
  <si>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</si>
  <si>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</si>
  <si>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</si>
  <si>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</si>
  <si>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</si>
  <si>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</si>
  <si>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</si>
  <si>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</si>
  <si>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</si>
  <si>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</si>
  <si>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</si>
  <si>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</si>
  <si>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</si>
  <si>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</si>
  <si>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</si>
  <si>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</si>
  <si>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</si>
  <si>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</si>
  <si>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</si>
  <si>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</si>
  <si>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</si>
  <si>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</si>
  <si>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</si>
  <si>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</si>
  <si>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6" type="noConversion"/>
  </si>
  <si>
    <r>
      <rPr>
        <sz val="11"/>
        <color indexed="8"/>
        <rFont val="宋体"/>
        <family val="3"/>
        <charset val="134"/>
      </rPr>
      <t>正常</t>
    </r>
    <phoneticPr fontId="27" type="noConversion"/>
  </si>
  <si>
    <r>
      <rPr>
        <b/>
        <sz val="11"/>
        <rFont val="宋体"/>
        <family val="3"/>
        <charset val="134"/>
      </rPr>
      <t>权益状况</t>
    </r>
    <phoneticPr fontId="6"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</si>
  <si>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</si>
  <si>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</si>
  <si>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</si>
  <si>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</si>
  <si>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</si>
  <si>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</si>
  <si>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</si>
  <si>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</si>
  <si>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</si>
  <si>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</si>
  <si>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</si>
  <si>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</si>
  <si>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</si>
  <si>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</si>
  <si>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</si>
  <si>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</si>
  <si>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</si>
  <si>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</si>
  <si>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</si>
  <si>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</si>
  <si>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</si>
  <si>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</si>
  <si>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</si>
  <si>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</si>
  <si>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</si>
  <si>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</si>
  <si>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</si>
  <si>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</si>
  <si>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</si>
  <si>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</si>
  <si>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</si>
  <si>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</si>
  <si>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</si>
  <si>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</si>
  <si>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</si>
  <si>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</si>
  <si>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</si>
  <si>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</si>
  <si>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</si>
  <si>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</si>
  <si>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</si>
  <si>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</si>
  <si>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</si>
  <si>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</si>
  <si>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</si>
  <si>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</si>
  <si>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</si>
  <si>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</si>
  <si>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</si>
  <si>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</si>
  <si>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</si>
  <si>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</si>
  <si>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</si>
  <si>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</si>
  <si>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</si>
  <si>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</si>
  <si>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</si>
  <si>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</si>
  <si>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</si>
  <si>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</si>
  <si>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</si>
  <si>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</si>
  <si>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</si>
  <si>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</si>
  <si>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</si>
  <si>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</si>
  <si>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</si>
  <si>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</si>
  <si>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</si>
  <si>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</si>
  <si>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</si>
  <si>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6"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</si>
  <si>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</si>
  <si>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</si>
  <si>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</si>
  <si>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</si>
  <si>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</si>
  <si>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</si>
  <si>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</si>
  <si>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</si>
  <si>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</si>
  <si>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</si>
  <si>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</si>
  <si>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</si>
  <si>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</si>
  <si>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</si>
  <si>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</si>
  <si>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</si>
  <si>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</si>
  <si>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</si>
  <si>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</si>
  <si>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</si>
  <si>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</si>
  <si>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</si>
  <si>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</si>
  <si>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</si>
  <si>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</si>
  <si>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</si>
  <si>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</si>
  <si>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</si>
  <si>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</si>
  <si>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</si>
  <si>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</si>
  <si>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</si>
  <si>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</si>
  <si>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</si>
  <si>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</si>
  <si>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</si>
  <si>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</si>
  <si>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</si>
  <si>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</si>
  <si>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</si>
  <si>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</si>
  <si>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</si>
  <si>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</si>
  <si>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</si>
  <si>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</si>
  <si>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</si>
  <si>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</si>
  <si>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</si>
  <si>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</si>
  <si>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</si>
  <si>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</si>
  <si>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</si>
  <si>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</si>
  <si>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</si>
  <si>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</si>
  <si>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</si>
  <si>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</si>
  <si>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</si>
  <si>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</si>
  <si>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</si>
  <si>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</si>
  <si>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</si>
  <si>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</si>
  <si>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</si>
  <si>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4"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</si>
  <si>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</si>
  <si>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</si>
  <si>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</si>
  <si>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</si>
  <si>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</si>
  <si>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</si>
  <si>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</si>
  <si>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</si>
  <si>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4"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</si>
  <si>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</si>
  <si>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</si>
  <si>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3" type="noConversion"/>
  </si>
  <si>
    <r>
      <rPr>
        <b/>
        <sz val="12"/>
        <rFont val="宋体"/>
        <family val="3"/>
        <charset val="134"/>
      </rPr>
      <t>建筑面积</t>
    </r>
    <phoneticPr fontId="21"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</si>
  <si>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</si>
  <si>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</si>
  <si>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</si>
  <si>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</si>
  <si>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</si>
  <si>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</si>
  <si>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</si>
  <si>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</si>
  <si>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</si>
  <si>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</si>
  <si>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</si>
  <si>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</si>
  <si>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</si>
  <si>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</si>
  <si>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</si>
  <si>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</si>
  <si>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</si>
  <si>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</si>
  <si>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</si>
  <si>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</si>
  <si>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</si>
  <si>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</si>
  <si>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</si>
  <si>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</si>
  <si>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</si>
  <si>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</si>
  <si>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3"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</si>
  <si>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</si>
  <si>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</si>
  <si>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</si>
  <si>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</si>
  <si>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</si>
  <si>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</si>
  <si>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</si>
  <si>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</si>
  <si>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</si>
  <si>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</si>
  <si>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</si>
  <si>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</si>
  <si>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</si>
  <si>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</si>
  <si>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</si>
  <si>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</si>
  <si>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</si>
  <si>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</si>
  <si>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</si>
  <si>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</si>
  <si>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</si>
  <si>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3" type="noConversion"/>
  </si>
  <si>
    <r>
      <rPr>
        <sz val="11"/>
        <rFont val="宋体"/>
        <family val="3"/>
        <charset val="134"/>
      </rPr>
      <t>项目位置</t>
    </r>
    <phoneticPr fontId="6"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</si>
  <si>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</si>
  <si>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</si>
  <si>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</si>
  <si>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</si>
  <si>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</si>
  <si>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</si>
  <si>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6"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</si>
  <si>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</si>
  <si>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</si>
  <si>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</si>
  <si>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</si>
  <si>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</si>
  <si>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</si>
  <si>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</si>
  <si>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</si>
  <si>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</si>
  <si>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</si>
  <si>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</si>
  <si>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</si>
  <si>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</si>
  <si>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</si>
  <si>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</si>
  <si>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</si>
  <si>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</si>
  <si>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</si>
  <si>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</si>
  <si>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</si>
  <si>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</si>
  <si>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</si>
  <si>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</si>
  <si>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</si>
  <si>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</si>
  <si>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</si>
  <si>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</si>
  <si>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</si>
  <si>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</si>
  <si>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</si>
  <si>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</si>
  <si>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</si>
  <si>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</si>
  <si>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</si>
  <si>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</si>
  <si>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</si>
  <si>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</si>
  <si>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</si>
  <si>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</si>
  <si>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</si>
  <si>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</si>
  <si>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</si>
  <si>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</si>
  <si>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</si>
  <si>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</si>
  <si>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</si>
  <si>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</si>
  <si>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</si>
  <si>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</si>
  <si>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</si>
  <si>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</si>
  <si>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</si>
  <si>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</si>
  <si>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</si>
  <si>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</si>
  <si>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</si>
  <si>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</si>
  <si>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</si>
  <si>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</si>
  <si>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</si>
  <si>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</si>
  <si>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轨道交通站点周边</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</si>
  <si>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</si>
  <si>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</si>
  <si>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</si>
  <si>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</si>
  <si>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</si>
  <si>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</si>
  <si>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</si>
  <si>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</si>
  <si>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</si>
  <si>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</si>
  <si>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</si>
  <si>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</si>
  <si>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</si>
  <si>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</si>
  <si>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</si>
  <si>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</si>
  <si>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</si>
  <si>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</si>
  <si>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</si>
  <si>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</si>
  <si>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79"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</si>
  <si>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</si>
  <si>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</si>
  <si>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</si>
  <si>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</si>
  <si>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</si>
  <si>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</si>
  <si>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</si>
  <si>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</si>
  <si>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</si>
  <si>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</si>
  <si>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</si>
  <si>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</si>
  <si>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</si>
  <si>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</si>
  <si>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</si>
  <si>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</si>
  <si>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</si>
  <si>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</si>
  <si>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</si>
  <si>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</si>
  <si>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</si>
  <si>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</si>
  <si>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</si>
  <si>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</si>
  <si>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</si>
  <si>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</si>
  <si>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</si>
  <si>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</si>
  <si>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</si>
  <si>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9" type="noConversion"/>
  </si>
  <si>
    <r>
      <rPr>
        <sz val="10"/>
        <color theme="1"/>
        <rFont val="宋体"/>
        <family val="3"/>
        <charset val="134"/>
      </rPr>
      <t>地下仓储</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</si>
  <si>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</si>
  <si>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</si>
  <si>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</si>
  <si>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</si>
  <si>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</si>
  <si>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</si>
  <si>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</si>
  <si>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</si>
  <si>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</si>
  <si>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</si>
  <si>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</si>
  <si>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</si>
  <si>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</si>
  <si>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</si>
  <si>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</si>
  <si>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</si>
  <si>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</si>
  <si>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</si>
  <si>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</si>
  <si>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</si>
  <si>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</si>
  <si>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</si>
  <si>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</si>
  <si>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</si>
  <si>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</si>
  <si>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</si>
  <si>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</si>
  <si>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</si>
  <si>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</si>
  <si>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</si>
  <si>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</si>
  <si>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</si>
  <si>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</si>
  <si>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</si>
  <si>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</si>
  <si>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</si>
  <si>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</si>
  <si>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</si>
  <si>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</si>
  <si>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</si>
  <si>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</si>
  <si>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</si>
  <si>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</si>
  <si>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</si>
  <si>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</si>
  <si>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</si>
  <si>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</si>
  <si>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</si>
  <si>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</si>
  <si>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</si>
  <si>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</si>
  <si>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</si>
  <si>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</si>
  <si>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</si>
  <si>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</si>
  <si>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</si>
  <si>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</si>
  <si>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</si>
  <si>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</si>
  <si>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</si>
  <si>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</si>
  <si>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</si>
  <si>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</si>
  <si>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</si>
  <si>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</si>
  <si>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</si>
  <si>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</si>
  <si>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</si>
  <si>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</si>
  <si>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</si>
  <si>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</si>
  <si>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</si>
  <si>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</si>
  <si>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</si>
  <si>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</si>
  <si>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</si>
  <si>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</si>
  <si>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</si>
  <si>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</si>
  <si>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</si>
  <si>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</si>
  <si>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</si>
  <si>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</si>
  <si>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</si>
  <si>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</si>
  <si>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</si>
  <si>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</si>
  <si>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</si>
  <si>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</si>
  <si>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</si>
  <si>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</si>
  <si>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</si>
  <si>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</si>
  <si>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</si>
  <si>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</si>
  <si>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</si>
  <si>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</si>
  <si>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</si>
  <si>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</si>
  <si>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</si>
  <si>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</si>
  <si>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</si>
  <si>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</si>
  <si>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</si>
  <si>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</si>
  <si>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</si>
  <si>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</si>
  <si>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</si>
  <si>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</si>
  <si>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</si>
  <si>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</si>
  <si>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</si>
  <si>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</si>
  <si>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</si>
  <si>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</si>
  <si>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</si>
  <si>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</si>
  <si>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</si>
  <si>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</si>
  <si>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</si>
  <si>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</si>
  <si>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</si>
  <si>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</si>
  <si>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</si>
  <si>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</si>
  <si>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</si>
  <si>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</si>
  <si>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</si>
  <si>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</si>
  <si>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</si>
  <si>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</si>
  <si>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</si>
  <si>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</si>
  <si>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</si>
  <si>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9"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</si>
  <si>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</si>
  <si>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</si>
  <si>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</si>
  <si>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9" type="noConversion"/>
  </si>
  <si>
    <r>
      <rPr>
        <sz val="10"/>
        <color indexed="8"/>
        <rFont val="宋体"/>
        <family val="3"/>
        <charset val="134"/>
      </rPr>
      <t>坐落</t>
    </r>
    <phoneticPr fontId="84" type="noConversion"/>
  </si>
  <si>
    <r>
      <rPr>
        <sz val="10"/>
        <color indexed="8"/>
        <rFont val="宋体"/>
        <family val="3"/>
        <charset val="134"/>
      </rPr>
      <t>不动产权利人</t>
    </r>
    <phoneticPr fontId="9" type="noConversion"/>
  </si>
  <si>
    <r>
      <rPr>
        <sz val="10"/>
        <color indexed="8"/>
        <rFont val="宋体"/>
        <family val="3"/>
        <charset val="134"/>
      </rPr>
      <t>土地性质</t>
    </r>
    <phoneticPr fontId="84"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</si>
  <si>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</si>
  <si>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</si>
  <si>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</si>
  <si>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</si>
  <si>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</si>
  <si>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</si>
  <si>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</si>
  <si>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</si>
  <si>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</si>
  <si>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</si>
  <si>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</si>
  <si>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9"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</si>
  <si>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</si>
  <si>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</si>
  <si>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</si>
  <si>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</si>
  <si>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</si>
  <si>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</si>
  <si>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</si>
  <si>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</si>
  <si>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</si>
  <si>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</si>
  <si>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</si>
  <si>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</si>
  <si>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</si>
  <si>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</si>
  <si>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</si>
  <si>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</si>
  <si>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</si>
  <si>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</si>
  <si>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</si>
  <si>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</si>
  <si>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</si>
  <si>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</si>
  <si>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</si>
  <si>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</si>
  <si>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</si>
  <si>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</si>
  <si>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</si>
  <si>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</si>
  <si>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</si>
  <si>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</si>
  <si>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</si>
  <si>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</si>
  <si>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</si>
  <si>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</si>
  <si>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</si>
  <si>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</si>
  <si>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</si>
  <si>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</si>
  <si>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</si>
  <si>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</si>
  <si>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</si>
  <si>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</si>
  <si>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</si>
  <si>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</si>
  <si>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</si>
  <si>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</si>
  <si>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</si>
  <si>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</si>
  <si>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</si>
  <si>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</si>
  <si>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</si>
  <si>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</si>
  <si>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</si>
  <si>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</si>
  <si>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</si>
  <si>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</si>
  <si>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</si>
  <si>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</si>
  <si>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</si>
  <si>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</si>
  <si>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</si>
  <si>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</si>
  <si>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</si>
  <si>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</si>
  <si>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</si>
  <si>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</si>
  <si>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</si>
  <si>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</si>
  <si>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</si>
  <si>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</si>
  <si>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</si>
  <si>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</si>
  <si>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</si>
  <si>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</si>
  <si>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</si>
  <si>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</si>
  <si>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</si>
  <si>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</si>
  <si>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</si>
  <si>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</si>
  <si>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</si>
  <si>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</si>
  <si>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</si>
  <si>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</si>
  <si>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</si>
  <si>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</si>
  <si>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</si>
  <si>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</si>
  <si>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</si>
  <si>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</si>
  <si>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</si>
  <si>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</si>
  <si>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</si>
  <si>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</si>
  <si>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</si>
  <si>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</si>
  <si>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</si>
  <si>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</si>
  <si>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</si>
  <si>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</si>
  <si>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</si>
  <si>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</si>
  <si>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</si>
  <si>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</si>
  <si>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</si>
  <si>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</si>
  <si>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</si>
  <si>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</si>
  <si>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</si>
  <si>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</si>
  <si>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t>★请录依据文件名称★：</t>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</si>
  <si>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</si>
  <si>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</si>
  <si>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</si>
  <si>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</si>
  <si>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利息：取LPR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</si>
  <si>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</si>
  <si>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</si>
  <si>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</si>
  <si>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</si>
  <si>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</si>
  <si>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</si>
  <si>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</si>
  <si>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</si>
  <si>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</si>
  <si>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</si>
  <si>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</si>
  <si>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</si>
  <si>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</si>
  <si>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</si>
  <si>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</si>
  <si>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</si>
  <si>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</si>
  <si>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</si>
  <si>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</si>
  <si>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</si>
  <si>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</si>
  <si>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</si>
  <si>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</si>
  <si>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</si>
  <si>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</si>
  <si>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</si>
  <si>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</si>
  <si>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</si>
  <si>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</si>
  <si>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</si>
  <si>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</si>
  <si>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</si>
  <si>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</si>
  <si>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</si>
  <si>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</si>
  <si>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</si>
  <si>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</si>
  <si>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</si>
  <si>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</si>
  <si>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</si>
  <si>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</si>
  <si>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</si>
  <si>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</si>
  <si>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</si>
  <si>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</si>
  <si>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</si>
  <si>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</si>
  <si>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</si>
  <si>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</si>
  <si>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</si>
  <si>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</si>
  <si>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</si>
  <si>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</si>
  <si>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</si>
  <si>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</si>
  <si>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</si>
  <si>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</si>
  <si>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</si>
  <si>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</si>
  <si>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</si>
  <si>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</si>
  <si>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</si>
  <si>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</si>
  <si>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</si>
  <si>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</si>
  <si>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</si>
  <si>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</si>
  <si>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</si>
  <si>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</si>
  <si>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</si>
  <si>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</si>
  <si>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</si>
  <si>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</si>
  <si>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</si>
  <si>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</si>
  <si>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</si>
  <si>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</si>
  <si>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</si>
  <si>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</si>
  <si>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</si>
  <si>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</si>
  <si>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</si>
  <si>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</si>
  <si>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</si>
  <si>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</si>
  <si>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</si>
  <si>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</si>
  <si>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</si>
  <si>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</si>
  <si>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</si>
  <si>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</si>
  <si>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</si>
  <si>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</si>
  <si>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</si>
  <si>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</si>
  <si>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</si>
  <si>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</si>
  <si>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</si>
  <si>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</si>
  <si>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</si>
  <si>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</si>
  <si>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</si>
  <si>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</si>
  <si>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</si>
  <si>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</si>
  <si>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</si>
  <si>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</si>
  <si>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</si>
  <si>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</si>
  <si>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</si>
  <si>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</si>
  <si>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</si>
  <si>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</si>
  <si>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</si>
  <si>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</si>
  <si>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</si>
  <si>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</si>
  <si>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</si>
  <si>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</si>
  <si>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</si>
  <si>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</si>
  <si>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</si>
  <si>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</si>
  <si>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</si>
  <si>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</si>
  <si>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</si>
  <si>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宁小鳗</t>
    <phoneticPr fontId="85" type="noConversion"/>
  </si>
  <si>
    <t>2022A-022</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</si>
  <si>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</si>
  <si>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</si>
  <si>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</si>
  <si>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</si>
  <si>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</si>
  <si>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</si>
  <si>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</si>
  <si>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</si>
  <si>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</si>
  <si>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</si>
  <si>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</si>
  <si>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</si>
  <si>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</si>
  <si>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</si>
  <si>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</si>
  <si>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</si>
  <si>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</si>
  <si>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</si>
  <si>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</si>
  <si>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</si>
  <si>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</si>
  <si>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</si>
  <si>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</si>
  <si>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</si>
  <si>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</si>
  <si>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</si>
  <si>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</si>
  <si>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</si>
  <si>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</si>
  <si>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</si>
  <si>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</si>
  <si>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</si>
  <si>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</si>
  <si>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</si>
  <si>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</si>
  <si>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</si>
  <si>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</si>
  <si>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</si>
  <si>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</si>
  <si>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</si>
  <si>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</si>
  <si>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</si>
  <si>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</si>
  <si>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</si>
  <si>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</si>
  <si>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</si>
  <si>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</si>
  <si>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</si>
  <si>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</si>
  <si>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</si>
  <si>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</si>
  <si>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</si>
  <si>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</si>
  <si>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</si>
  <si>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</si>
  <si>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</si>
  <si>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</si>
  <si>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</si>
  <si>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</si>
  <si>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</si>
  <si>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</si>
  <si>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</si>
  <si>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</si>
  <si>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</si>
  <si>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</si>
  <si>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</si>
  <si>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</si>
  <si>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</si>
  <si>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</si>
  <si>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</si>
  <si>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</si>
  <si>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</si>
  <si>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</si>
  <si>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</si>
  <si>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</si>
  <si>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</si>
  <si>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</si>
  <si>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</si>
  <si>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</si>
  <si>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</si>
  <si>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7" type="noConversion"/>
  </si>
  <si>
    <t>出让年限</t>
    <phoneticPr fontId="250" type="noConversion"/>
  </si>
  <si>
    <t>剩余土地使用年限</t>
    <phoneticPr fontId="250" type="noConversion"/>
  </si>
  <si>
    <t>报酬率</t>
    <phoneticPr fontId="250" type="noConversion"/>
  </si>
  <si>
    <t>年期修正系数</t>
    <phoneticPr fontId="250" type="noConversion"/>
  </si>
  <si>
    <t>地价贡献率（参考下表）</t>
    <phoneticPr fontId="250" type="noConversion"/>
  </si>
  <si>
    <t>房价修正系数</t>
    <phoneticPr fontId="250" type="noConversion"/>
  </si>
  <si>
    <t>估价对象</t>
    <phoneticPr fontId="250" type="noConversion"/>
  </si>
  <si>
    <t>案例A</t>
    <phoneticPr fontId="250" type="noConversion"/>
  </si>
  <si>
    <t>案例B</t>
    <phoneticPr fontId="250" type="noConversion"/>
  </si>
  <si>
    <t>案例C</t>
    <phoneticPr fontId="250" type="noConversion"/>
  </si>
  <si>
    <t>推导公式</t>
    <phoneticPr fontId="250" type="noConversion"/>
  </si>
  <si>
    <t>1.建+50年地价×20年年期修正系数＝20年房价</t>
    <phoneticPr fontId="250" type="noConversion"/>
  </si>
  <si>
    <t>2.建+50年地价＝50年房价</t>
    <phoneticPr fontId="250" type="noConversion"/>
  </si>
  <si>
    <t>1、2步得出</t>
    <phoneticPr fontId="250" type="noConversion"/>
  </si>
  <si>
    <t>3.50年房价－50年地价+50年地价×20年年期修正系数＝20年房价</t>
    <phoneticPr fontId="250" type="noConversion"/>
  </si>
  <si>
    <t>4.20年房价＝50年房价×20年房价修正系数</t>
    <phoneticPr fontId="250" type="noConversion"/>
  </si>
  <si>
    <t>4步代入3步</t>
    <phoneticPr fontId="250" type="noConversion"/>
  </si>
  <si>
    <t>5.50年房价－50年地价+50年地价×20年年期修正系数＝50年房价×20年房价修正系数</t>
    <phoneticPr fontId="250" type="noConversion"/>
  </si>
  <si>
    <t>6.20年房价修正系数＝1-50年地价×（1-20年年期修正系数）÷50年房价</t>
    <phoneticPr fontId="250" type="noConversion"/>
  </si>
  <si>
    <t>7.50年地价＝50年房价×地价贡献率</t>
    <phoneticPr fontId="250" type="noConversion"/>
  </si>
  <si>
    <t>7步代入6步</t>
    <phoneticPr fontId="250" type="noConversion"/>
  </si>
  <si>
    <t>8.20年房价修正系数＝1-50年房价×地价贡献率×（1-20年年期修正系数）÷50年房价＝1-地价贡献率×（1-20年年期修正系数）</t>
    <phoneticPr fontId="250" type="noConversion"/>
  </si>
  <si>
    <t>以北京为例验算</t>
    <phoneticPr fontId="137" type="noConversion"/>
  </si>
  <si>
    <t>用途</t>
    <phoneticPr fontId="137" type="noConversion"/>
  </si>
  <si>
    <t>综合地价贡献率</t>
    <phoneticPr fontId="137" type="noConversion"/>
  </si>
  <si>
    <t>收益法地价房价比</t>
    <phoneticPr fontId="137" type="noConversion"/>
  </si>
  <si>
    <t>地价售价比</t>
    <phoneticPr fontId="137" type="noConversion"/>
  </si>
  <si>
    <t>工业</t>
    <phoneticPr fontId="137" type="noConversion"/>
  </si>
  <si>
    <t>20%-30%</t>
    <phoneticPr fontId="137" type="noConversion"/>
  </si>
  <si>
    <t>20%-30%</t>
    <phoneticPr fontId="137" type="noConversion"/>
  </si>
  <si>
    <t>15%-40%</t>
    <phoneticPr fontId="137" type="noConversion"/>
  </si>
  <si>
    <t>8000地价，20000售价；地价950，售价6500</t>
    <phoneticPr fontId="137" type="noConversion"/>
  </si>
  <si>
    <t>住宅</t>
    <phoneticPr fontId="137" type="noConversion"/>
  </si>
  <si>
    <t>60%-70%</t>
    <phoneticPr fontId="137" type="noConversion"/>
  </si>
  <si>
    <t>65%-75%</t>
    <phoneticPr fontId="137" type="noConversion"/>
  </si>
  <si>
    <t>50%-65%</t>
    <phoneticPr fontId="137" type="noConversion"/>
  </si>
  <si>
    <t>当前北京市基本控制在50%-65%</t>
    <phoneticPr fontId="137" type="noConversion"/>
  </si>
  <si>
    <t>商业/办公</t>
    <phoneticPr fontId="137" type="noConversion"/>
  </si>
  <si>
    <t>50%-60%</t>
    <phoneticPr fontId="137" type="noConversion"/>
  </si>
  <si>
    <t>70%-80%</t>
    <phoneticPr fontId="137" type="noConversion"/>
  </si>
  <si>
    <t>15000地价，30000售价</t>
    <phoneticPr fontId="137" type="noConversion"/>
  </si>
  <si>
    <t>车库/仓储</t>
    <phoneticPr fontId="137" type="noConversion"/>
  </si>
  <si>
    <t>35%-45%</t>
    <phoneticPr fontId="137" type="noConversion"/>
  </si>
  <si>
    <t>四级或五级地，地价2500-3000熟地价，售价5500-8000</t>
    <phoneticPr fontId="137" type="noConversion"/>
  </si>
  <si>
    <t>试算</t>
    <phoneticPr fontId="137" type="noConversion"/>
  </si>
  <si>
    <t>可见随着土地使用年期的减少，影响幅度逐渐增大</t>
    <phoneticPr fontId="137" type="noConversion"/>
  </si>
  <si>
    <t>0~5（含）,5~10（含）</t>
    <phoneticPr fontId="137" type="noConversion"/>
  </si>
  <si>
    <t>区间</t>
    <phoneticPr fontId="137" type="noConversion"/>
  </si>
  <si>
    <t>修正幅度</t>
    <phoneticPr fontId="137" type="noConversion"/>
  </si>
  <si>
    <t>满年期50年，报酬率5%，贡献率60%</t>
    <phoneticPr fontId="137" type="noConversion"/>
  </si>
  <si>
    <t>10~15（含），15~20（含）</t>
    <phoneticPr fontId="137" type="noConversion"/>
  </si>
  <si>
    <t>20~25（含），25~30（含）</t>
    <phoneticPr fontId="137" type="noConversion"/>
  </si>
  <si>
    <t>30~35（含），35~40（含）</t>
    <phoneticPr fontId="137" type="noConversion"/>
  </si>
  <si>
    <t>40~45（含），45~50（含）</t>
    <phoneticPr fontId="137" type="noConversion"/>
  </si>
  <si>
    <t>满年期40年，报酬率5%，贡献率60%</t>
    <phoneticPr fontId="137" type="noConversion"/>
  </si>
  <si>
    <t>满年期70年，报酬率4%，贡献率70%</t>
    <phoneticPr fontId="137" type="noConversion"/>
  </si>
  <si>
    <t>公共服务</t>
    <phoneticPr fontId="9" type="noConversion"/>
  </si>
  <si>
    <t>公共服务</t>
    <phoneticPr fontId="19" type="noConversion"/>
  </si>
  <si>
    <t>公共服务</t>
    <phoneticPr fontId="19" type="noConversion"/>
  </si>
  <si>
    <t>公共服务</t>
    <phoneticPr fontId="9" type="noConversion"/>
  </si>
  <si>
    <t>基础设施建设费（土地开发费）    土地面积单价</t>
    <phoneticPr fontId="137" type="noConversion"/>
  </si>
  <si>
    <t>一至二级</t>
    <phoneticPr fontId="137" type="noConversion"/>
  </si>
  <si>
    <t>三至七级</t>
    <phoneticPr fontId="137" type="noConversion"/>
  </si>
  <si>
    <t>八至九级</t>
    <phoneticPr fontId="137" type="noConversion"/>
  </si>
  <si>
    <t>通路</t>
    <phoneticPr fontId="137" type="noConversion"/>
  </si>
  <si>
    <t>通电</t>
    <phoneticPr fontId="137" type="noConversion"/>
  </si>
  <si>
    <t>通讯</t>
    <phoneticPr fontId="137" type="noConversion"/>
  </si>
  <si>
    <t>通上水</t>
    <phoneticPr fontId="137" type="noConversion"/>
  </si>
  <si>
    <t>通下水</t>
    <phoneticPr fontId="137" type="noConversion"/>
  </si>
  <si>
    <t>通热</t>
    <phoneticPr fontId="137" type="noConversion"/>
  </si>
  <si>
    <t>通燃气</t>
    <phoneticPr fontId="137" type="noConversion"/>
  </si>
  <si>
    <t>平整</t>
    <phoneticPr fontId="137" type="noConversion"/>
  </si>
  <si>
    <t>合计</t>
    <phoneticPr fontId="137" type="noConversion"/>
  </si>
  <si>
    <t>红线外基础设施建设费（北京）</t>
    <phoneticPr fontId="137" type="noConversion"/>
  </si>
  <si>
    <t>土地级别</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</si>
  <si>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</si>
  <si>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</si>
  <si>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</si>
  <si>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</si>
  <si>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</si>
  <si>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</si>
  <si>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</si>
  <si>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</si>
  <si>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</si>
  <si>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</si>
  <si>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</si>
  <si>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</si>
  <si>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</si>
  <si>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</si>
  <si>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</si>
  <si>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</si>
  <si>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</si>
  <si>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</si>
  <si>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</si>
  <si>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</si>
  <si>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</si>
  <si>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</si>
  <si>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</si>
  <si>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</si>
  <si>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</si>
  <si>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</si>
  <si>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</si>
  <si>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级别开发程度</t>
    <phoneticPr fontId="6" type="noConversion"/>
  </si>
  <si>
    <t>北京市基准地价用途修正系数表</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</si>
  <si>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</si>
  <si>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</si>
  <si>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</si>
  <si>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</si>
  <si>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</si>
  <si>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办公</t>
    <phoneticPr fontId="6" type="noConversion"/>
  </si>
  <si>
    <t>商务金融用地</t>
    <phoneticPr fontId="6" type="noConversion"/>
  </si>
  <si>
    <t>公共服务</t>
    <phoneticPr fontId="6" type="noConversion"/>
  </si>
  <si>
    <t>特殊</t>
    <phoneticPr fontId="6" type="noConversion"/>
  </si>
  <si>
    <t>城镇住宅用地</t>
    <phoneticPr fontId="6" type="noConversion"/>
  </si>
  <si>
    <t>工矿仓储</t>
    <phoneticPr fontId="6" type="noConversion"/>
  </si>
  <si>
    <t>公共服务</t>
    <phoneticPr fontId="6" type="noConversion"/>
  </si>
  <si>
    <t>M4科研用地</t>
    <phoneticPr fontId="6" type="noConversion"/>
  </si>
  <si>
    <t>交通运输</t>
    <phoneticPr fontId="6" type="noConversion"/>
  </si>
  <si>
    <t>地下</t>
    <phoneticPr fontId="6" type="noConversion"/>
  </si>
  <si>
    <t>地下仓储</t>
    <phoneticPr fontId="6" type="noConversion"/>
  </si>
  <si>
    <t>地下</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</si>
  <si>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</si>
  <si>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</si>
  <si>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</si>
  <si>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</si>
  <si>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</si>
  <si>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</si>
  <si>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</si>
  <si>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</si>
  <si>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</si>
  <si>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</si>
  <si>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</si>
  <si>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</si>
  <si>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</si>
  <si>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</si>
  <si>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</si>
  <si>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</si>
  <si>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</si>
  <si>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</si>
  <si>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</si>
  <si>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</si>
  <si>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</si>
  <si>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</si>
  <si>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</si>
  <si>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</si>
  <si>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</si>
  <si>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</si>
  <si>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</si>
  <si>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</si>
  <si>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</si>
  <si>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</si>
  <si>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</si>
  <si>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</si>
  <si>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</si>
  <si>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</si>
  <si>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</si>
  <si>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</si>
  <si>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</si>
  <si>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</si>
  <si>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</si>
  <si>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</si>
  <si>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</si>
  <si>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</si>
  <si>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</si>
  <si>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</si>
  <si>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</si>
  <si>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</si>
  <si>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</si>
  <si>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</si>
  <si>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</si>
  <si>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</si>
  <si>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</si>
  <si>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</si>
  <si>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</si>
  <si>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</si>
  <si>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</si>
  <si>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</si>
  <si>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</si>
  <si>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</si>
  <si>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</si>
  <si>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</si>
  <si>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</si>
  <si>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</si>
  <si>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</si>
  <si>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</si>
  <si>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</si>
  <si>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</si>
  <si>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</si>
  <si>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</si>
  <si>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</si>
  <si>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</si>
  <si>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</si>
  <si>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</si>
  <si>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</si>
  <si>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</si>
  <si>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</si>
  <si>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</si>
  <si>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</si>
  <si>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</si>
  <si>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</si>
  <si>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</si>
  <si>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</si>
  <si>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</si>
  <si>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</si>
  <si>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</si>
  <si>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</si>
  <si>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</si>
  <si>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</si>
  <si>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</si>
  <si>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</si>
  <si>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</si>
  <si>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</si>
  <si>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</si>
  <si>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</si>
  <si>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</si>
  <si>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</si>
  <si>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</si>
  <si>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</si>
  <si>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</si>
  <si>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</si>
  <si>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</si>
  <si>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</si>
  <si>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</si>
  <si>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</si>
  <si>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</si>
  <si>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</si>
  <si>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</si>
  <si>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</si>
  <si>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</si>
  <si>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</si>
  <si>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</si>
  <si>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</si>
  <si>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</si>
  <si>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</si>
  <si>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</si>
  <si>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</si>
  <si>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</si>
  <si>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</si>
  <si>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</si>
  <si>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</si>
  <si>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</si>
  <si>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</si>
  <si>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</si>
  <si>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</si>
  <si>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</si>
  <si>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</si>
  <si>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</si>
  <si>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</si>
  <si>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</si>
  <si>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</si>
  <si>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</si>
  <si>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</si>
  <si>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</si>
  <si>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</si>
  <si>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</si>
  <si>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</si>
  <si>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</si>
  <si>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</si>
  <si>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</si>
  <si>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</si>
  <si>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</si>
  <si>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</si>
  <si>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</si>
  <si>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</si>
  <si>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</si>
  <si>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</si>
  <si>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</si>
  <si>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</si>
  <si>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</si>
  <si>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</si>
  <si>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</si>
  <si>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</si>
  <si>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</si>
  <si>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</si>
  <si>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</si>
  <si>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</si>
  <si>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</si>
  <si>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t>
    <phoneticPr fontId="6" type="noConversion"/>
  </si>
  <si>
    <t>北京市基准地价容积率修正系数表（商业）</t>
    <phoneticPr fontId="6" type="noConversion"/>
  </si>
  <si>
    <t>容积率</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</si>
  <si>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</si>
  <si>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</si>
  <si>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</si>
  <si>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</si>
  <si>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R</t>
    <phoneticPr fontId="6" type="noConversion"/>
  </si>
  <si>
    <t>1~2级</t>
    <phoneticPr fontId="6" type="noConversion"/>
  </si>
  <si>
    <t>3~7级</t>
    <phoneticPr fontId="6" type="noConversion"/>
  </si>
  <si>
    <t>8~12级</t>
    <phoneticPr fontId="6" type="noConversion"/>
  </si>
  <si>
    <t>3~5级</t>
    <phoneticPr fontId="6" type="noConversion"/>
  </si>
  <si>
    <t>6~7级</t>
    <phoneticPr fontId="6" type="noConversion"/>
  </si>
  <si>
    <t>平均</t>
    <phoneticPr fontId="6" type="noConversion"/>
  </si>
  <si>
    <t>商业</t>
    <phoneticPr fontId="6" type="noConversion"/>
  </si>
  <si>
    <t>办公</t>
    <phoneticPr fontId="137" type="noConversion"/>
  </si>
  <si>
    <t>住宅</t>
    <phoneticPr fontId="6" type="noConversion"/>
  </si>
  <si>
    <t>工业</t>
    <phoneticPr fontId="137" type="noConversion"/>
  </si>
  <si>
    <t>工业</t>
    <phoneticPr fontId="137" type="noConversion"/>
  </si>
  <si>
    <t>住宅</t>
    <phoneticPr fontId="6" type="noConversion"/>
  </si>
  <si>
    <t>工业</t>
    <phoneticPr fontId="137" type="noConversion"/>
  </si>
  <si>
    <t>住宅</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</si>
  <si>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</si>
  <si>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</si>
  <si>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</si>
  <si>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</si>
  <si>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</si>
  <si>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2021-1</t>
    <phoneticPr fontId="6" type="noConversion"/>
  </si>
  <si>
    <t xml:space="preserve"> </t>
    <phoneticPr fontId="137" type="noConversion"/>
  </si>
  <si>
    <r>
      <rPr>
        <b/>
        <sz val="10"/>
        <color theme="1"/>
        <rFont val="楷体_GB2312"/>
        <family val="2"/>
        <charset val="134"/>
      </rPr>
      <t>核算至百分数</t>
    </r>
    <phoneticPr fontId="145" type="noConversion"/>
  </si>
  <si>
    <t>季度连乘</t>
    <phoneticPr fontId="137" type="noConversion"/>
  </si>
  <si>
    <t>平均增幅</t>
    <phoneticPr fontId="137" type="noConversion"/>
  </si>
  <si>
    <t>平均</t>
    <phoneticPr fontId="6" type="noConversion"/>
  </si>
  <si>
    <t>商业</t>
    <phoneticPr fontId="6" type="noConversion"/>
  </si>
  <si>
    <t>办公</t>
    <phoneticPr fontId="137" type="noConversion"/>
  </si>
  <si>
    <t>住宅</t>
    <phoneticPr fontId="6" type="noConversion"/>
  </si>
  <si>
    <t>公共服务</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</si>
  <si>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</si>
  <si>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</si>
  <si>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</si>
  <si>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</si>
  <si>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</si>
  <si>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北京市区片基准地价表（楼面地价）</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</si>
  <si>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</si>
  <si>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</si>
  <si>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</si>
  <si>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</si>
  <si>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</si>
  <si>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</si>
  <si>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</si>
  <si>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</si>
  <si>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</si>
  <si>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</si>
  <si>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</si>
  <si>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</si>
  <si>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 xml:space="preserve">基准日期：2021年1月1日                                                             </t>
    <phoneticPr fontId="6" type="noConversion"/>
  </si>
  <si>
    <t>单位：元/平方米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</si>
  <si>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</si>
  <si>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</si>
  <si>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</si>
  <si>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</si>
  <si>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</si>
  <si>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</si>
  <si>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</si>
  <si>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</si>
  <si>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</si>
  <si>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</si>
  <si>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</si>
  <si>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</si>
  <si>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</si>
  <si>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办公</t>
    <phoneticPr fontId="6" type="noConversion"/>
  </si>
  <si>
    <t>工业</t>
    <phoneticPr fontId="6" type="noConversion"/>
  </si>
  <si>
    <t>Ⅰ—02</t>
    <phoneticPr fontId="6" type="noConversion"/>
  </si>
  <si>
    <t>Ⅺ-门斋</t>
    <phoneticPr fontId="6" type="noConversion"/>
  </si>
  <si>
    <t>Ⅻ-房1</t>
    <phoneticPr fontId="6" type="noConversion"/>
  </si>
  <si>
    <t>区片编号</t>
    <phoneticPr fontId="6" type="noConversion"/>
  </si>
  <si>
    <t>区片价格</t>
    <phoneticPr fontId="6" type="noConversion"/>
  </si>
  <si>
    <t>Ⅸ-门1</t>
    <phoneticPr fontId="6" type="noConversion"/>
  </si>
  <si>
    <t>Ⅹ-门1</t>
    <phoneticPr fontId="6" type="noConversion"/>
  </si>
  <si>
    <t>Ⅺ-房1</t>
    <phoneticPr fontId="6" type="noConversion"/>
  </si>
  <si>
    <t>Ⅻ-昌1</t>
    <phoneticPr fontId="6" type="noConversion"/>
  </si>
  <si>
    <t>Ⅸ-门2</t>
    <phoneticPr fontId="6" type="noConversion"/>
  </si>
  <si>
    <t>Ⅹ-房1</t>
    <phoneticPr fontId="6" type="noConversion"/>
  </si>
  <si>
    <t>Ⅻ-怀1</t>
    <phoneticPr fontId="6" type="noConversion"/>
  </si>
  <si>
    <t>Ⅷ-05</t>
  </si>
  <si>
    <t>Ⅸ-门潭</t>
    <phoneticPr fontId="6" type="noConversion"/>
  </si>
  <si>
    <t>Ⅺ-顺1</t>
    <phoneticPr fontId="6" type="noConversion"/>
  </si>
  <si>
    <t>Ⅻ-平1</t>
    <phoneticPr fontId="6" type="noConversion"/>
  </si>
  <si>
    <t>Ⅷ-门1</t>
    <phoneticPr fontId="6" type="noConversion"/>
  </si>
  <si>
    <t>Ⅸ-房1</t>
    <phoneticPr fontId="6" type="noConversion"/>
  </si>
  <si>
    <t>Ⅹ-房3</t>
  </si>
  <si>
    <t>Ⅺ-顺2</t>
  </si>
  <si>
    <t>Ⅻ-密1</t>
    <phoneticPr fontId="6" type="noConversion"/>
  </si>
  <si>
    <t>Ⅷ-门军</t>
    <phoneticPr fontId="6" type="noConversion"/>
  </si>
  <si>
    <t>Ⅹ-顺1</t>
    <phoneticPr fontId="6" type="noConversion"/>
  </si>
  <si>
    <t>Ⅺ-昌1</t>
    <phoneticPr fontId="6" type="noConversion"/>
  </si>
  <si>
    <t>Ⅻ-延1</t>
    <phoneticPr fontId="6" type="noConversion"/>
  </si>
  <si>
    <t>Ⅷ-房1</t>
    <phoneticPr fontId="6" type="noConversion"/>
  </si>
  <si>
    <t>Ⅺ-昌3</t>
  </si>
  <si>
    <t>Ⅶ-门1</t>
    <phoneticPr fontId="6" type="noConversion"/>
  </si>
  <si>
    <t>Ⅹ-顺4</t>
  </si>
  <si>
    <t>Ⅺ-怀1</t>
    <phoneticPr fontId="6" type="noConversion"/>
  </si>
  <si>
    <t>Ⅶ-门2</t>
  </si>
  <si>
    <t>Ⅷ-通1</t>
    <phoneticPr fontId="6" type="noConversion"/>
  </si>
  <si>
    <t>Ⅸ-通1</t>
    <phoneticPr fontId="6" type="noConversion"/>
  </si>
  <si>
    <t>Ⅹ-昌1</t>
    <phoneticPr fontId="6" type="noConversion"/>
  </si>
  <si>
    <t>Ⅺ-平1</t>
    <phoneticPr fontId="6" type="noConversion"/>
  </si>
  <si>
    <t>Ⅶ-房1</t>
    <phoneticPr fontId="6" type="noConversion"/>
  </si>
  <si>
    <t>Ⅱ—13</t>
    <phoneticPr fontId="6" type="noConversion"/>
  </si>
  <si>
    <t>Ⅸ-顺1</t>
    <phoneticPr fontId="6" type="noConversion"/>
  </si>
  <si>
    <t>Ⅶ-通1</t>
    <phoneticPr fontId="6" type="noConversion"/>
  </si>
  <si>
    <t>Ⅷ-顺1</t>
    <phoneticPr fontId="6" type="noConversion"/>
  </si>
  <si>
    <t>Ⅹ-兴1</t>
    <phoneticPr fontId="6" type="noConversion"/>
  </si>
  <si>
    <t>Ⅶ-通2</t>
  </si>
  <si>
    <t>Ⅺ-密1</t>
    <phoneticPr fontId="6" type="noConversion"/>
  </si>
  <si>
    <t>Ⅶ-通3</t>
  </si>
  <si>
    <t>Ⅷ-顺3</t>
    <phoneticPr fontId="6" type="noConversion"/>
  </si>
  <si>
    <t>Ⅹ-怀1</t>
    <phoneticPr fontId="6" type="noConversion"/>
  </si>
  <si>
    <t>Ⅶ-通4</t>
  </si>
  <si>
    <t>Ⅸ-顺5</t>
  </si>
  <si>
    <t>Ⅶ-通5</t>
  </si>
  <si>
    <t>Ⅸ-昌1</t>
    <phoneticPr fontId="6" type="noConversion"/>
  </si>
  <si>
    <t>Ⅺ-延1</t>
    <phoneticPr fontId="6" type="noConversion"/>
  </si>
  <si>
    <t>Ⅶ-顺1</t>
    <phoneticPr fontId="6" type="noConversion"/>
  </si>
  <si>
    <t>Ⅷ-昌1</t>
    <phoneticPr fontId="6" type="noConversion"/>
  </si>
  <si>
    <t>Ⅹ-怀4</t>
  </si>
  <si>
    <t>Ⅱ—20</t>
  </si>
  <si>
    <t>Ⅹ-平1</t>
    <phoneticPr fontId="6" type="noConversion"/>
  </si>
  <si>
    <t>Ⅺ-延3</t>
  </si>
  <si>
    <t>Ⅲ—21</t>
  </si>
  <si>
    <t>Ⅶ-顺3</t>
  </si>
  <si>
    <t>Ⅲ—22</t>
  </si>
  <si>
    <t>Ⅵ-门1</t>
    <phoneticPr fontId="6" type="noConversion"/>
  </si>
  <si>
    <t>Ⅶ-昌1</t>
    <phoneticPr fontId="6" type="noConversion"/>
  </si>
  <si>
    <t>Ⅹ-平3</t>
  </si>
  <si>
    <t>Ⅲ—23</t>
  </si>
  <si>
    <t>Ⅵ-通1</t>
    <phoneticPr fontId="6" type="noConversion"/>
  </si>
  <si>
    <t>Ⅷ-兴1</t>
    <phoneticPr fontId="6" type="noConversion"/>
  </si>
  <si>
    <t>Ⅸ-兴1</t>
  </si>
  <si>
    <t>Ⅹ-平4</t>
  </si>
  <si>
    <t>Ⅲ—24</t>
  </si>
  <si>
    <t>Ⅳ-24</t>
  </si>
  <si>
    <t>Ⅹ-密1</t>
    <phoneticPr fontId="6" type="noConversion"/>
  </si>
  <si>
    <t>Ⅲ—25</t>
  </si>
  <si>
    <t>Ⅳ-25</t>
  </si>
  <si>
    <t>Ⅶ-兴1</t>
    <phoneticPr fontId="6" type="noConversion"/>
  </si>
  <si>
    <t>Ⅷ-兴3</t>
  </si>
  <si>
    <t>Ⅹ-密2</t>
  </si>
  <si>
    <t>Ⅳ-26</t>
  </si>
  <si>
    <t>Ⅶ-兴2</t>
    <phoneticPr fontId="6" type="noConversion"/>
  </si>
  <si>
    <t>Ⅷ-怀1</t>
    <phoneticPr fontId="6" type="noConversion"/>
  </si>
  <si>
    <t>Ⅸ-怀1</t>
    <phoneticPr fontId="6" type="noConversion"/>
  </si>
  <si>
    <t>Ⅹ-密3</t>
  </si>
  <si>
    <t>Ⅳ-27</t>
  </si>
  <si>
    <t>Ⅴ-27</t>
  </si>
  <si>
    <t>Ⅵ-通5</t>
  </si>
  <si>
    <t>Ⅶ-亦1</t>
    <phoneticPr fontId="6" type="noConversion"/>
  </si>
  <si>
    <t>Ⅷ-平1</t>
    <phoneticPr fontId="6" type="noConversion"/>
  </si>
  <si>
    <t>Ⅸ-怀2</t>
  </si>
  <si>
    <t>Ⅹ-延1</t>
    <phoneticPr fontId="6" type="noConversion"/>
  </si>
  <si>
    <t>Ⅳ-28</t>
  </si>
  <si>
    <t>Ⅴ-28</t>
  </si>
  <si>
    <t>Ⅵ-顺1</t>
    <phoneticPr fontId="6" type="noConversion"/>
  </si>
  <si>
    <t>Ⅶ-亦2</t>
  </si>
  <si>
    <t>Ⅷ-密1</t>
    <phoneticPr fontId="6" type="noConversion"/>
  </si>
  <si>
    <t>Ⅸ-怀3</t>
  </si>
  <si>
    <t>Ⅳ-电子城东</t>
    <phoneticPr fontId="6" type="noConversion"/>
  </si>
  <si>
    <t>Ⅴ-29</t>
  </si>
  <si>
    <t>Ⅵ-顺2</t>
  </si>
  <si>
    <t>Ⅶ-创新园</t>
    <phoneticPr fontId="6" type="noConversion"/>
  </si>
  <si>
    <t>Ⅷ-延1</t>
    <phoneticPr fontId="6" type="noConversion"/>
  </si>
  <si>
    <t>Ⅸ-怀4</t>
  </si>
  <si>
    <t>Ⅹ-延3</t>
  </si>
  <si>
    <t>Ⅳ-电子城西</t>
    <phoneticPr fontId="6" type="noConversion"/>
  </si>
  <si>
    <t>Ⅴ-30</t>
  </si>
  <si>
    <t>Ⅵ-昌1</t>
    <phoneticPr fontId="6" type="noConversion"/>
  </si>
  <si>
    <t>Ⅶ-海淀环保园</t>
    <phoneticPr fontId="6" type="noConversion"/>
  </si>
  <si>
    <t>Ⅷ-亦1</t>
    <phoneticPr fontId="6" type="noConversion"/>
  </si>
  <si>
    <t>Ⅸ-平1</t>
    <phoneticPr fontId="6" type="noConversion"/>
  </si>
  <si>
    <t>Ⅹ-延4</t>
  </si>
  <si>
    <t>Ⅳ-丰台园东</t>
    <phoneticPr fontId="6" type="noConversion"/>
  </si>
  <si>
    <t>Ⅴ-31</t>
  </si>
  <si>
    <t>Ⅶ-温泉科技园Ⅰ</t>
    <phoneticPr fontId="6" type="noConversion"/>
  </si>
  <si>
    <t>Ⅸ-平2</t>
  </si>
  <si>
    <t>Ⅹ-亦1</t>
    <phoneticPr fontId="6" type="noConversion"/>
  </si>
  <si>
    <t>Ⅳ-通1</t>
    <phoneticPr fontId="6" type="noConversion"/>
  </si>
  <si>
    <t>Ⅴ-32</t>
  </si>
  <si>
    <t>Ⅶ-温泉科技园Ⅱ</t>
    <phoneticPr fontId="6" type="noConversion"/>
  </si>
  <si>
    <t>Ⅷ-文化教育基地</t>
    <phoneticPr fontId="6" type="noConversion"/>
  </si>
  <si>
    <t>Ⅸ-密1</t>
    <phoneticPr fontId="6" type="noConversion"/>
  </si>
  <si>
    <t>Ⅴ-33</t>
  </si>
  <si>
    <t>Ⅶ-温泉科技园Ⅲ</t>
    <phoneticPr fontId="6" type="noConversion"/>
  </si>
  <si>
    <t>Ⅷ-苏家坨科技Ⅰ</t>
    <phoneticPr fontId="6" type="noConversion"/>
  </si>
  <si>
    <t>Ⅸ-延1</t>
    <phoneticPr fontId="6" type="noConversion"/>
  </si>
  <si>
    <t>Ⅴ-上地核心</t>
    <phoneticPr fontId="6" type="noConversion"/>
  </si>
  <si>
    <t>Ⅵ-兴1</t>
    <phoneticPr fontId="6" type="noConversion"/>
  </si>
  <si>
    <t>Ⅶ-国际教育园</t>
    <phoneticPr fontId="6" type="noConversion"/>
  </si>
  <si>
    <t>Ⅷ-苏家坨科技Ⅱ</t>
    <phoneticPr fontId="6" type="noConversion"/>
  </si>
  <si>
    <t>Ⅸ-延2</t>
  </si>
  <si>
    <t>Ⅴ-电子城北</t>
    <phoneticPr fontId="6" type="noConversion"/>
  </si>
  <si>
    <t>Ⅵ-兴2</t>
  </si>
  <si>
    <t>Ⅶ-农林园</t>
    <phoneticPr fontId="6" type="noConversion"/>
  </si>
  <si>
    <t>Ⅷ-通州环保园</t>
    <phoneticPr fontId="6" type="noConversion"/>
  </si>
  <si>
    <t>Ⅸ-亦1</t>
    <phoneticPr fontId="6" type="noConversion"/>
  </si>
  <si>
    <t>Ⅴ-通1</t>
    <phoneticPr fontId="6" type="noConversion"/>
  </si>
  <si>
    <t>Ⅵ-兴3</t>
  </si>
  <si>
    <t>Ⅶ-上庄科技</t>
    <phoneticPr fontId="6" type="noConversion"/>
  </si>
  <si>
    <t>Ⅷ-通州开发区东</t>
    <phoneticPr fontId="6" type="noConversion"/>
  </si>
  <si>
    <t>Ⅸ-亦2</t>
  </si>
  <si>
    <t>Ⅴ-通2</t>
  </si>
  <si>
    <t>Ⅵ-兴4</t>
  </si>
  <si>
    <t>Ⅶ-石龙开发区</t>
    <phoneticPr fontId="6" type="noConversion"/>
  </si>
  <si>
    <t>Ⅷ-空港北区B</t>
    <phoneticPr fontId="6" type="noConversion"/>
  </si>
  <si>
    <t>Ⅸ-亦3</t>
  </si>
  <si>
    <t>Ⅴ-通3</t>
  </si>
  <si>
    <t>Ⅵ-兴5</t>
  </si>
  <si>
    <r>
      <t>Ⅶ-良乡开发区</t>
    </r>
    <r>
      <rPr>
        <sz val="9"/>
        <color indexed="8"/>
        <rFont val="仿宋_GB2312"/>
        <family val="3"/>
        <charset val="134"/>
      </rPr>
      <t>A</t>
    </r>
    <phoneticPr fontId="6" type="noConversion"/>
  </si>
  <si>
    <t>Ⅷ-昌平园北Ⅱ</t>
    <phoneticPr fontId="6" type="noConversion"/>
  </si>
  <si>
    <t>Ⅸ-房山工业园西</t>
    <phoneticPr fontId="6" type="noConversion"/>
  </si>
  <si>
    <t>Ⅴ-通4</t>
  </si>
  <si>
    <t>Ⅵ-亦1</t>
    <phoneticPr fontId="6" type="noConversion"/>
  </si>
  <si>
    <r>
      <t>Ⅶ-良乡开发区</t>
    </r>
    <r>
      <rPr>
        <sz val="9"/>
        <color indexed="8"/>
        <rFont val="仿宋_GB2312"/>
        <family val="3"/>
        <charset val="134"/>
      </rPr>
      <t>B</t>
    </r>
    <phoneticPr fontId="6" type="noConversion"/>
  </si>
  <si>
    <t>Ⅷ-昌平园北Ⅲ</t>
    <phoneticPr fontId="6" type="noConversion"/>
  </si>
  <si>
    <t>Ⅸ-房山工业园东</t>
    <phoneticPr fontId="6" type="noConversion"/>
  </si>
  <si>
    <t>Ⅴ-亦1</t>
    <phoneticPr fontId="6" type="noConversion"/>
  </si>
  <si>
    <t>Ⅵ-亦2</t>
  </si>
  <si>
    <r>
      <t>Ⅶ-良乡开发区</t>
    </r>
    <r>
      <rPr>
        <sz val="9"/>
        <color indexed="8"/>
        <rFont val="仿宋_GB2312"/>
        <family val="3"/>
        <charset val="134"/>
      </rPr>
      <t>C</t>
    </r>
    <phoneticPr fontId="6" type="noConversion"/>
  </si>
  <si>
    <t>Ⅷ-昌平园南Ⅰ</t>
    <phoneticPr fontId="6" type="noConversion"/>
  </si>
  <si>
    <t>Ⅸ-永乐开发区</t>
    <phoneticPr fontId="6" type="noConversion"/>
  </si>
  <si>
    <t>Ⅵ-亦3</t>
  </si>
  <si>
    <t>Ⅶ-林河开发区</t>
    <phoneticPr fontId="6" type="noConversion"/>
  </si>
  <si>
    <t>Ⅷ-昌平园南Ⅱ</t>
    <phoneticPr fontId="6" type="noConversion"/>
  </si>
  <si>
    <t>Ⅸ-采育开发区</t>
    <phoneticPr fontId="6" type="noConversion"/>
  </si>
  <si>
    <t>三级</t>
    <phoneticPr fontId="6" type="noConversion"/>
  </si>
  <si>
    <t>Ⅵ-亦4</t>
  </si>
  <si>
    <t>Ⅶ-空港北区A</t>
    <phoneticPr fontId="6" type="noConversion"/>
  </si>
  <si>
    <t>Ⅷ-小汤山工业园</t>
    <phoneticPr fontId="6" type="noConversion"/>
  </si>
  <si>
    <t>Ⅸ-雁栖开发区A</t>
    <phoneticPr fontId="6" type="noConversion"/>
  </si>
  <si>
    <t>Ⅵ-永丰产业基地</t>
    <phoneticPr fontId="6" type="noConversion"/>
  </si>
  <si>
    <r>
      <t>Ⅶ-昌平园北</t>
    </r>
    <r>
      <rPr>
        <sz val="9"/>
        <color indexed="8"/>
        <rFont val="宋体"/>
        <family val="3"/>
        <charset val="134"/>
      </rPr>
      <t>Ⅰ</t>
    </r>
    <phoneticPr fontId="6" type="noConversion"/>
  </si>
  <si>
    <t>Ⅷ-生物医药基地</t>
    <phoneticPr fontId="6" type="noConversion"/>
  </si>
  <si>
    <t>Ⅸ-雁栖开发区B</t>
    <phoneticPr fontId="6" type="noConversion"/>
  </si>
  <si>
    <t>Ⅵ-航天城</t>
    <phoneticPr fontId="6" type="noConversion"/>
  </si>
  <si>
    <t>Ⅶ-BDA南</t>
    <phoneticPr fontId="6" type="noConversion"/>
  </si>
  <si>
    <t>Ⅸ-雁栖开发区C</t>
    <phoneticPr fontId="6" type="noConversion"/>
  </si>
  <si>
    <t>Ⅵ-西北旺Ⅰ</t>
    <phoneticPr fontId="6" type="noConversion"/>
  </si>
  <si>
    <t>Ⅸ-兴谷开发区A</t>
    <phoneticPr fontId="6" type="noConversion"/>
  </si>
  <si>
    <t>Ⅵ-西北旺Ⅱ</t>
    <phoneticPr fontId="6" type="noConversion"/>
  </si>
  <si>
    <t>Ⅸ-兴谷开发区B</t>
    <phoneticPr fontId="6" type="noConversion"/>
  </si>
  <si>
    <t>Ⅵ-丰台西园Ⅰ</t>
    <phoneticPr fontId="6" type="noConversion"/>
  </si>
  <si>
    <t>Ⅸ-马坊工业园</t>
    <phoneticPr fontId="6" type="noConversion"/>
  </si>
  <si>
    <t>Ⅵ-丰台西园Ⅱ</t>
    <phoneticPr fontId="6" type="noConversion"/>
  </si>
  <si>
    <t>Ⅸ-密云开发区</t>
    <phoneticPr fontId="6" type="noConversion"/>
  </si>
  <si>
    <t>Ⅵ-石景山园北Ⅰ</t>
    <phoneticPr fontId="6" type="noConversion"/>
  </si>
  <si>
    <t>Ⅸ-延庆开发区</t>
    <phoneticPr fontId="6" type="noConversion"/>
  </si>
  <si>
    <t>Ⅵ-石景山园北Ⅱ</t>
    <phoneticPr fontId="6" type="noConversion"/>
  </si>
  <si>
    <t>Ⅸ-八达岭开发区</t>
    <phoneticPr fontId="6" type="noConversion"/>
  </si>
  <si>
    <t>Ⅵ-石景山园南</t>
    <phoneticPr fontId="6" type="noConversion"/>
  </si>
  <si>
    <t>Ⅵ-通州开发区西</t>
    <phoneticPr fontId="6" type="noConversion"/>
  </si>
  <si>
    <t>Ⅵ-光机电</t>
    <phoneticPr fontId="6" type="noConversion"/>
  </si>
  <si>
    <t>Ⅳ-01</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</si>
  <si>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</si>
  <si>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</si>
  <si>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</si>
  <si>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</si>
  <si>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</si>
  <si>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</si>
  <si>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</si>
  <si>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</si>
  <si>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</si>
  <si>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</si>
  <si>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</si>
  <si>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</si>
  <si>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</si>
  <si>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</si>
  <si>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</si>
  <si>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</si>
  <si>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</si>
  <si>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</si>
  <si>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</si>
  <si>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</si>
  <si>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</si>
  <si>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</si>
  <si>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</si>
  <si>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</si>
  <si>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</si>
  <si>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</si>
  <si>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Ⅵ-石景山园南</t>
    <phoneticPr fontId="6" type="noConversion"/>
  </si>
  <si>
    <t>Ⅵ-通州开发区西</t>
    <phoneticPr fontId="6" type="noConversion"/>
  </si>
  <si>
    <t>Ⅵ-光机电</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</si>
  <si>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</si>
  <si>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</si>
  <si>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</si>
  <si>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</si>
  <si>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</si>
  <si>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</si>
  <si>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</si>
  <si>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</si>
  <si>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</si>
  <si>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</si>
  <si>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</si>
  <si>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</si>
  <si>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</si>
  <si>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</si>
  <si>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</si>
  <si>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</si>
  <si>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</si>
  <si>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</si>
  <si>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r>
      <t>Ⅶ-良乡开发区</t>
    </r>
    <r>
      <rPr>
        <sz val="9"/>
        <color indexed="8"/>
        <rFont val="仿宋_GB2312"/>
        <family val="3"/>
        <charset val="134"/>
      </rPr>
      <t>A</t>
    </r>
    <phoneticPr fontId="6" type="noConversion"/>
  </si>
  <si>
    <r>
      <t>Ⅶ-良乡开发区</t>
    </r>
    <r>
      <rPr>
        <sz val="9"/>
        <color indexed="8"/>
        <rFont val="仿宋_GB2312"/>
        <family val="3"/>
        <charset val="134"/>
      </rPr>
      <t>B</t>
    </r>
    <phoneticPr fontId="6" type="noConversion"/>
  </si>
  <si>
    <t>Ⅶ-林河开发区</t>
    <phoneticPr fontId="6" type="noConversion"/>
  </si>
  <si>
    <t>Ⅶ-空港北区A</t>
    <phoneticPr fontId="6" type="noConversion"/>
  </si>
  <si>
    <r>
      <t>Ⅶ-昌平园北</t>
    </r>
    <r>
      <rPr>
        <sz val="9"/>
        <color indexed="8"/>
        <rFont val="宋体"/>
        <family val="3"/>
        <charset val="134"/>
      </rPr>
      <t>Ⅰ</t>
    </r>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</si>
  <si>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</si>
  <si>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</si>
  <si>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</si>
  <si>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</si>
  <si>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</si>
  <si>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</si>
  <si>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</si>
  <si>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</si>
  <si>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</si>
  <si>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</si>
  <si>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</si>
  <si>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</si>
  <si>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</si>
  <si>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</si>
  <si>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</si>
  <si>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</si>
  <si>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</si>
  <si>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</si>
  <si>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</si>
  <si>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</si>
  <si>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</si>
  <si>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</si>
  <si>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</si>
  <si>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</si>
  <si>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</si>
  <si>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</si>
  <si>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</si>
  <si>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</si>
  <si>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</si>
  <si>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</si>
  <si>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</si>
  <si>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</si>
  <si>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</si>
  <si>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</si>
  <si>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</si>
  <si>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</si>
  <si>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</si>
  <si>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</si>
  <si>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</si>
  <si>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</si>
  <si>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Ⅸ-采育开发区</t>
    <phoneticPr fontId="6" type="noConversion"/>
  </si>
  <si>
    <t>Ⅸ-雁栖开发区A</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</si>
  <si>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</si>
  <si>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</si>
  <si>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</si>
  <si>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</si>
  <si>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</si>
  <si>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</si>
  <si>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</si>
  <si>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</si>
  <si>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</si>
  <si>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</si>
  <si>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</si>
  <si>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</si>
  <si>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</si>
  <si>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</si>
  <si>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</si>
  <si>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</si>
  <si>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</si>
  <si>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</si>
  <si>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</si>
  <si>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</si>
  <si>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</si>
  <si>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</si>
  <si>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</si>
  <si>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</si>
  <si>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</si>
  <si>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</si>
  <si>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</si>
  <si>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</si>
  <si>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</si>
  <si>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北京市区片基准地价因素总修正幅度表</t>
    <phoneticPr fontId="6" type="noConversion"/>
  </si>
  <si>
    <t>Ⅴ-亦1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</si>
  <si>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</si>
  <si>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</si>
  <si>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</si>
  <si>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</si>
  <si>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</si>
  <si>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</si>
  <si>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</si>
  <si>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</si>
  <si>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</si>
  <si>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</si>
  <si>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</si>
  <si>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</si>
  <si>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</si>
  <si>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</si>
  <si>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</si>
  <si>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</si>
  <si>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</si>
  <si>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</si>
  <si>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</si>
  <si>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</si>
  <si>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</si>
  <si>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</si>
  <si>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Ⅶ-石龙开发区</t>
    <phoneticPr fontId="6" type="noConversion"/>
  </si>
  <si>
    <r>
      <t>Ⅶ-良乡开发区</t>
    </r>
    <r>
      <rPr>
        <sz val="8"/>
        <color indexed="8"/>
        <rFont val="仿宋_GB2312"/>
        <family val="3"/>
        <charset val="134"/>
      </rPr>
      <t>A</t>
    </r>
    <phoneticPr fontId="6" type="noConversion"/>
  </si>
  <si>
    <r>
      <t>Ⅶ-良乡开发区</t>
    </r>
    <r>
      <rPr>
        <sz val="8"/>
        <color indexed="8"/>
        <rFont val="仿宋_GB2312"/>
        <family val="3"/>
        <charset val="134"/>
      </rPr>
      <t>B</t>
    </r>
    <phoneticPr fontId="6" type="noConversion"/>
  </si>
  <si>
    <r>
      <t>Ⅶ-良乡开发区</t>
    </r>
    <r>
      <rPr>
        <sz val="8"/>
        <color indexed="8"/>
        <rFont val="仿宋_GB2312"/>
        <family val="3"/>
        <charset val="134"/>
      </rPr>
      <t>C</t>
    </r>
    <phoneticPr fontId="6" type="noConversion"/>
  </si>
  <si>
    <t>Ⅶ-林河开发区</t>
    <phoneticPr fontId="6" type="noConversion"/>
  </si>
  <si>
    <t>Ⅶ-空港北区A</t>
    <phoneticPr fontId="6" type="noConversion"/>
  </si>
  <si>
    <r>
      <t>Ⅶ-昌平园北</t>
    </r>
    <r>
      <rPr>
        <sz val="8"/>
        <color indexed="8"/>
        <rFont val="宋体"/>
        <family val="3"/>
        <charset val="134"/>
      </rPr>
      <t>Ⅰ</t>
    </r>
    <phoneticPr fontId="6" type="noConversion"/>
  </si>
  <si>
    <t>Ⅶ-BDA南</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</si>
  <si>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</si>
  <si>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</si>
  <si>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</si>
  <si>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</si>
  <si>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</si>
  <si>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</si>
  <si>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</si>
  <si>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</si>
  <si>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</si>
  <si>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</si>
  <si>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</si>
  <si>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</si>
  <si>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</si>
  <si>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</si>
  <si>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</si>
  <si>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</si>
  <si>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</si>
  <si>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</si>
  <si>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</si>
  <si>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北京市级别基准地价表（楼面地价）</t>
    <phoneticPr fontId="137" type="noConversion"/>
  </si>
  <si>
    <t>（一）北京市级别基准地价表</t>
    <phoneticPr fontId="137" type="noConversion"/>
  </si>
  <si>
    <t xml:space="preserve">基准期日：2021年１月１日                        </t>
    <phoneticPr fontId="137" type="noConversion"/>
  </si>
  <si>
    <t>单位：元／平方米</t>
    <phoneticPr fontId="137" type="noConversion"/>
  </si>
  <si>
    <t>公共服务</t>
    <phoneticPr fontId="137" type="noConversion"/>
  </si>
  <si>
    <t>（2）</t>
    <phoneticPr fontId="79" type="noConversion"/>
  </si>
  <si>
    <t>（3）</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</si>
  <si>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</si>
  <si>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</si>
  <si>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</si>
  <si>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79" type="noConversion"/>
  </si>
  <si>
    <r>
      <rPr>
        <sz val="10"/>
        <rFont val="宋体"/>
        <family val="3"/>
        <charset val="134"/>
      </rPr>
      <t>无</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</si>
  <si>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</si>
  <si>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79"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</si>
  <si>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</si>
  <si>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</si>
  <si>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</si>
  <si>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</si>
  <si>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</si>
  <si>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</si>
  <si>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</si>
  <si>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</si>
  <si>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t>（6）</t>
    <phoneticPr fontId="79" type="noConversion"/>
  </si>
  <si>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</si>
  <si>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</si>
  <si>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</si>
  <si>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t>楼面熟地价=适用的基准地价×用途修正系数×期日修正系数×年期修正系数×（容积率修正系数或楼层修正系数）×因素修正系数</t>
    <phoneticPr fontId="6" type="noConversion"/>
  </si>
  <si>
    <t>楼面熟地价=适用的基准地价×用途修正系数×期日修正系数×年期修正系数×因素修正系数×相应用途地下空间修正系数</t>
    <phoneticPr fontId="79" type="noConversion"/>
  </si>
  <si>
    <t>公共服务</t>
    <phoneticPr fontId="79"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</si>
  <si>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</si>
  <si>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</si>
  <si>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</si>
  <si>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</si>
  <si>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</si>
  <si>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r>
      <t>6</t>
    </r>
    <r>
      <rPr>
        <sz val="10"/>
        <color theme="1"/>
        <rFont val="宋体"/>
        <family val="3"/>
        <charset val="134"/>
      </rPr>
      <t>层及以上</t>
    </r>
    <phoneticPr fontId="6" type="noConversion"/>
  </si>
  <si>
    <t>城市规划及区域土地利用方向</t>
    <phoneticPr fontId="6" type="noConversion"/>
  </si>
  <si>
    <t>城市规划及区域土地利用方向</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</si>
  <si>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</si>
  <si>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</si>
  <si>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</si>
  <si>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</si>
  <si>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</si>
  <si>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</si>
  <si>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</si>
  <si>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</si>
  <si>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</si>
  <si>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</si>
  <si>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</si>
  <si>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</si>
  <si>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幅度控制</t>
    </r>
    <r>
      <rPr>
        <sz val="10"/>
        <color rgb="FFFF0000"/>
        <rFont val="Arial"/>
        <family val="2"/>
      </rPr>
      <t>(±)</t>
    </r>
    <phoneticPr fontId="6" type="noConversion"/>
  </si>
  <si>
    <r>
      <rPr>
        <sz val="10"/>
        <color indexed="8"/>
        <rFont val="宋体"/>
        <family val="3"/>
        <charset val="134"/>
      </rPr>
      <t>修正系数</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</si>
  <si>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</si>
  <si>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9" tint="-0.249977111117893"/>
        <rFont val="宋体"/>
        <family val="3"/>
        <charset val="134"/>
      </rPr>
      <t>宗地形状？，但对宗地利用影响？</t>
    </r>
    <phoneticPr fontId="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</si>
  <si>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</si>
  <si>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</si>
  <si>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</si>
  <si>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</si>
  <si>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</si>
  <si>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</si>
  <si>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</si>
  <si>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</si>
  <si>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</si>
  <si>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</si>
  <si>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</si>
  <si>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</si>
  <si>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</si>
  <si>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</si>
  <si>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</si>
  <si>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</si>
  <si>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</si>
  <si>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</si>
  <si>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</si>
  <si>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</si>
  <si>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</si>
  <si>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</si>
  <si>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</si>
  <si>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</si>
  <si>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</si>
  <si>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</si>
  <si>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</si>
  <si>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</si>
  <si>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</si>
  <si>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</si>
  <si>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</si>
  <si>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</si>
  <si>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</si>
  <si>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</si>
  <si>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</si>
  <si>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</si>
  <si>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</si>
  <si>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</si>
  <si>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</si>
  <si>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</si>
  <si>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</si>
  <si>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</si>
  <si>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</si>
  <si>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</si>
  <si>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</si>
  <si>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</si>
  <si>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</si>
  <si>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</si>
  <si>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</si>
  <si>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</si>
  <si>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</si>
  <si>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</si>
  <si>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</si>
  <si>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</si>
  <si>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</si>
  <si>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</si>
  <si>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</si>
  <si>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</si>
  <si>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</si>
  <si>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</si>
  <si>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</si>
  <si>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</si>
  <si>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</si>
  <si>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</si>
  <si>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9" type="noConversion"/>
  </si>
  <si>
    <t>承租人权益价值（单套）</t>
    <phoneticPr fontId="6" type="noConversion"/>
  </si>
  <si>
    <t>万元</t>
    <phoneticPr fontId="140" type="noConversion"/>
  </si>
  <si>
    <t>元/平方米</t>
  </si>
  <si>
    <t>2022-2</t>
    <phoneticPr fontId="6" type="noConversion"/>
  </si>
  <si>
    <t>需转化为价格</t>
    <phoneticPr fontId="137" type="noConversion"/>
  </si>
  <si>
    <t>租金</t>
    <phoneticPr fontId="137" type="noConversion"/>
  </si>
  <si>
    <t>直接资本化率</t>
    <phoneticPr fontId="137" type="noConversion"/>
  </si>
  <si>
    <t>需考虑建筑物残值</t>
  </si>
  <si>
    <t>2022-3</t>
    <phoneticPr fontId="137" type="noConversion"/>
  </si>
  <si>
    <t>2022-2</t>
    <phoneticPr fontId="6" type="noConversion"/>
  </si>
  <si>
    <t>2022-1</t>
    <phoneticPr fontId="6" type="noConversion"/>
  </si>
  <si>
    <t>2022-4</t>
    <phoneticPr fontId="6" type="noConversion"/>
  </si>
  <si>
    <t>2022-3</t>
    <phoneticPr fontId="6" type="noConversion"/>
  </si>
  <si>
    <t>2022-3</t>
    <phoneticPr fontId="6" type="noConversion"/>
  </si>
  <si>
    <t>2022-4</t>
    <phoneticPr fontId="6" type="noConversion"/>
  </si>
  <si>
    <t>2023-1</t>
    <phoneticPr fontId="6" type="noConversion"/>
  </si>
  <si>
    <t>2023-2</t>
    <phoneticPr fontId="6" type="noConversion"/>
  </si>
  <si>
    <t>2023-2</t>
    <phoneticPr fontId="6" type="noConversion"/>
  </si>
  <si>
    <t>2023-3</t>
    <phoneticPr fontId="6" type="noConversion"/>
  </si>
  <si>
    <t>2023-4</t>
    <phoneticPr fontId="6" type="noConversion"/>
  </si>
  <si>
    <t>2023-4</t>
    <phoneticPr fontId="6" type="noConversion"/>
  </si>
  <si>
    <t>2024-3</t>
    <phoneticPr fontId="6" type="noConversion"/>
  </si>
  <si>
    <t>2024-1</t>
    <phoneticPr fontId="6" type="noConversion"/>
  </si>
  <si>
    <t>2024-1</t>
    <phoneticPr fontId="6" type="noConversion"/>
  </si>
  <si>
    <t>2024-2</t>
    <phoneticPr fontId="6" type="noConversion"/>
  </si>
  <si>
    <t>2024-2</t>
    <phoneticPr fontId="6" type="noConversion"/>
  </si>
  <si>
    <t>公示增长率-城六区</t>
    <phoneticPr fontId="145" type="noConversion"/>
  </si>
  <si>
    <t>公示增长率-规划新城</t>
    <phoneticPr fontId="145" type="noConversion"/>
  </si>
  <si>
    <r>
      <t>非中心城区：除城六区外其余十一区，即</t>
    </r>
    <r>
      <rPr>
        <sz val="10"/>
        <rFont val="楷体_GB2312"/>
        <family val="3"/>
        <charset val="134"/>
      </rPr>
      <t>规划新城</t>
    </r>
    <phoneticPr fontId="145"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</si>
  <si>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5" type="noConversion"/>
  </si>
  <si>
    <t>2024-3</t>
    <phoneticPr fontId="6" type="noConversion"/>
  </si>
  <si>
    <r>
      <rPr>
        <sz val="10"/>
        <color rgb="FFFF0000"/>
        <rFont val="楷体_GB2312"/>
        <family val="3"/>
        <charset val="134"/>
      </rPr>
      <t>范围：5</t>
    </r>
    <r>
      <rPr>
        <sz val="10"/>
        <color rgb="FFFF0000"/>
        <rFont val="Arial"/>
        <family val="2"/>
      </rPr>
      <t>%-10%</t>
    </r>
    <phoneticPr fontId="6"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</si>
  <si>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6"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</si>
  <si>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6"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</si>
  <si>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6" type="noConversion"/>
  </si>
  <si>
    <t>建安计算</t>
    <phoneticPr fontId="137" type="noConversion"/>
  </si>
  <si>
    <t>项目</t>
    <phoneticPr fontId="137" type="noConversion"/>
  </si>
  <si>
    <t>面积</t>
    <phoneticPr fontId="137" type="noConversion"/>
  </si>
  <si>
    <t>单价</t>
    <phoneticPr fontId="137" type="noConversion"/>
  </si>
  <si>
    <t>总额</t>
    <phoneticPr fontId="137" type="noConversion"/>
  </si>
  <si>
    <t>主体</t>
    <phoneticPr fontId="137" type="noConversion"/>
  </si>
  <si>
    <t>地上</t>
    <phoneticPr fontId="137" type="noConversion"/>
  </si>
  <si>
    <t>地下</t>
    <phoneticPr fontId="137" type="noConversion"/>
  </si>
  <si>
    <t>设备</t>
    <phoneticPr fontId="137" type="noConversion"/>
  </si>
  <si>
    <t>装修</t>
    <phoneticPr fontId="137" type="noConversion"/>
  </si>
  <si>
    <t>综合</t>
    <phoneticPr fontId="137" type="noConversion"/>
  </si>
  <si>
    <t>室外工程</t>
    <phoneticPr fontId="137" type="noConversion"/>
  </si>
  <si>
    <t>人防工程</t>
    <phoneticPr fontId="137" type="noConversion"/>
  </si>
  <si>
    <t>合计</t>
    <phoneticPr fontId="137" type="noConversion"/>
  </si>
  <si>
    <r>
      <rPr>
        <sz val="10"/>
        <color rgb="FFFF0000"/>
        <rFont val="楷体_GB2312"/>
        <family val="3"/>
        <charset val="134"/>
      </rPr>
      <t>变化：</t>
    </r>
    <r>
      <rPr>
        <sz val="10"/>
        <color rgb="FFFF0000"/>
        <rFont val="Arial"/>
        <family val="2"/>
      </rPr>
      <t>2%-3%</t>
    </r>
    <phoneticPr fontId="6" type="noConversion"/>
  </si>
  <si>
    <t>2025-4</t>
    <phoneticPr fontId="6" type="noConversion"/>
  </si>
  <si>
    <t>平均</t>
  </si>
  <si>
    <t>住宅</t>
  </si>
  <si>
    <t>公共服务</t>
  </si>
  <si>
    <t>2025-1</t>
    <phoneticPr fontId="6" type="noConversion"/>
  </si>
  <si>
    <t>2024-4</t>
    <phoneticPr fontId="6" type="noConversion"/>
  </si>
  <si>
    <t>2025-1</t>
    <phoneticPr fontId="6" type="noConversion"/>
  </si>
  <si>
    <t>农产品批发市场</t>
    <phoneticPr fontId="6" type="noConversion"/>
  </si>
  <si>
    <t>经市政府批准的一级农产品批发市场用地</t>
    <phoneticPr fontId="6" type="noConversion"/>
  </si>
  <si>
    <t>商务金融用地</t>
  </si>
  <si>
    <t>城镇住宅用地</t>
  </si>
  <si>
    <t>M4科研用地</t>
  </si>
  <si>
    <t>农产品批发市场</t>
  </si>
  <si>
    <t>经市政府批准的一级农产品批发市场用地</t>
  </si>
  <si>
    <t>2025-3</t>
    <phoneticPr fontId="6" type="noConversion"/>
  </si>
  <si>
    <t>2025-2</t>
    <phoneticPr fontId="6" type="noConversion"/>
  </si>
  <si>
    <t>2025-3</t>
    <phoneticPr fontId="6" type="noConversion"/>
  </si>
  <si>
    <t>抵押</t>
  </si>
  <si>
    <t>房地产抵押价值</t>
  </si>
  <si>
    <t>北京市</t>
  </si>
  <si>
    <t>自然人</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</si>
  <si>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1406</t>
    </r>
    <phoneticPr fontId="9" type="noConversion"/>
  </si>
  <si>
    <t>是</t>
  </si>
  <si>
    <t>现房</t>
  </si>
  <si>
    <t>办公项目</t>
  </si>
  <si>
    <t>Ⅷ-平1</t>
  </si>
  <si>
    <t>地上</t>
  </si>
  <si>
    <t>办公</t>
    <phoneticPr fontId="10" type="noConversion"/>
  </si>
  <si>
    <t>建成年代</t>
    <phoneticPr fontId="6" type="noConversion"/>
  </si>
  <si>
    <t>直线</t>
    <phoneticPr fontId="6" type="noConversion"/>
  </si>
  <si>
    <t>根据之前的报告得知</t>
    <phoneticPr fontId="6" type="noConversion"/>
  </si>
  <si>
    <t>成新度</t>
  </si>
  <si>
    <t>收益法 (元)</t>
  </si>
  <si>
    <t>滨河街道</t>
    <phoneticPr fontId="6" type="noConversion"/>
  </si>
  <si>
    <t>安居客</t>
    <phoneticPr fontId="137" type="noConversion"/>
  </si>
  <si>
    <r>
      <t>报价1</t>
    </r>
    <r>
      <rPr>
        <sz val="11"/>
        <color theme="1"/>
        <rFont val="宋体"/>
        <family val="3"/>
        <charset val="134"/>
        <scheme val="minor"/>
      </rPr>
      <t>.3-1.4万元/平方米，租金：毛坯1000元/月</t>
    </r>
    <phoneticPr fontId="137" type="noConversion"/>
  </si>
  <si>
    <t>链家</t>
    <phoneticPr fontId="137" type="noConversion"/>
  </si>
  <si>
    <t>公园壹号</t>
    <phoneticPr fontId="137" type="noConversion"/>
  </si>
  <si>
    <t>低楼层</t>
    <phoneticPr fontId="137" type="noConversion"/>
  </si>
  <si>
    <t>精装修</t>
    <phoneticPr fontId="137" type="noConversion"/>
  </si>
  <si>
    <t>简装</t>
    <phoneticPr fontId="137" type="noConversion"/>
  </si>
  <si>
    <r>
      <t>租金2</t>
    </r>
    <r>
      <rPr>
        <sz val="11"/>
        <color theme="1"/>
        <rFont val="宋体"/>
        <family val="3"/>
        <charset val="134"/>
        <scheme val="minor"/>
      </rPr>
      <t>000元/月</t>
    </r>
    <phoneticPr fontId="137" type="noConversion"/>
  </si>
  <si>
    <t>平谷二手房中介</t>
    <phoneticPr fontId="137" type="noConversion"/>
  </si>
  <si>
    <t>装修好的租金报价4000元/月</t>
    <phoneticPr fontId="137" type="noConversion"/>
  </si>
  <si>
    <r>
      <t>目前8层的</t>
    </r>
    <r>
      <rPr>
        <sz val="11"/>
        <color theme="1"/>
        <rFont val="宋体"/>
        <family val="3"/>
        <charset val="134"/>
        <scheme val="minor"/>
      </rPr>
      <t>87平复式报价140万，单价16000元</t>
    </r>
    <phoneticPr fontId="137" type="noConversion"/>
  </si>
  <si>
    <r>
      <t>物业得知，租金4</t>
    </r>
    <r>
      <rPr>
        <sz val="11"/>
        <color theme="1"/>
        <rFont val="宋体"/>
        <family val="3"/>
        <charset val="134"/>
        <scheme val="minor"/>
      </rPr>
      <t>000元左右/月，售价2.5-2.6万元</t>
    </r>
    <phoneticPr fontId="137" type="noConversion"/>
  </si>
  <si>
    <t>押一</t>
  </si>
  <si>
    <t>钢混</t>
  </si>
  <si>
    <t>非生产用房</t>
  </si>
  <si>
    <t>否</t>
  </si>
  <si>
    <t>自定义容积率</t>
  </si>
  <si>
    <t>与级别开发程度一致</t>
  </si>
  <si>
    <t>按公示增长率计算</t>
  </si>
  <si>
    <t>中心城区以外</t>
  </si>
  <si>
    <t>较好</t>
  </si>
  <si>
    <t>好</t>
  </si>
  <si>
    <t>未包含在土地购买价格中</t>
  </si>
  <si>
    <t>已包含在土地取得成本中</t>
  </si>
  <si>
    <t>成本法 (元)</t>
  </si>
  <si>
    <t>楼面单价</t>
  </si>
  <si>
    <t>自定义</t>
  </si>
  <si>
    <t>平谷区府前西街18号院1号楼14层2单元1406</t>
  </si>
  <si>
    <t>原地址</t>
  </si>
  <si>
    <t>公允价值</t>
  </si>
  <si>
    <t>押品生效日期</t>
  </si>
  <si>
    <t>2025年2月调查</t>
    <phoneticPr fontId="137" type="noConversion"/>
  </si>
  <si>
    <t>2025-2-14出同小区单价13862元，价值高，签魏总的字</t>
    <phoneticPr fontId="137" type="noConversion"/>
  </si>
  <si>
    <r>
      <t>2</t>
    </r>
    <r>
      <rPr>
        <sz val="11"/>
        <color theme="1"/>
        <rFont val="宋体"/>
        <family val="2"/>
        <scheme val="minor"/>
      </rPr>
      <t>025-1-0108</t>
    </r>
    <phoneticPr fontId="1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</si>
</sst>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9"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5" fillId="0" borderId="0">
      <alignment vertical="center"/>
    </xf>
    <xf numFmtId="0" fontId="98" fillId="0" borderId="0">
      <alignment vertical="center"/>
    </xf>
    <xf numFmtId="0" fontId="4" fillId="0" borderId="0">
      <alignment vertical="center"/>
    </xf>
    <xf numFmtId="0" fontId="162" fillId="0" borderId="0"/>
    <xf numFmtId="0" fontId="4" fillId="0" borderId="0">
      <alignment vertical="center"/>
    </xf>
    <xf numFmtId="9" fontId="39" fillId="0" borderId="0" applyFont="0" applyFill="0" applyBorder="0" applyAlignment="0" applyProtection="0">
      <alignment vertical="center"/>
    </xf>
    <xf numFmtId="0" fontId="98" fillId="0" borderId="0">
      <alignment vertical="center"/>
    </xf>
    <xf numFmtId="0" fontId="4" fillId="0" borderId="0">
      <alignment vertical="center"/>
    </xf>
    <xf numFmtId="9" fontId="248" fillId="0" borderId="0" applyFont="0" applyFill="0" applyBorder="0" applyAlignment="0" applyProtection="0">
      <alignment vertical="center"/>
    </xf>
    <xf numFmtId="192" fontId="98" fillId="0" borderId="0">
      <alignment vertical="center"/>
    </xf>
  </cellStyleXfs>
  <cellXfs count="3516">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lignment vertical="center"/>
    </xf>
    <xf numFmtId="0" fontId="101" fillId="6" borderId="0" xfId="0" applyFont="1" applyFill="1" applyAlignment="1">
      <alignment horizontal="center" vertical="center"/>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2"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4"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6"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2"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5"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3"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3"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5" fontId="53" fillId="6" borderId="38" xfId="0" applyNumberFormat="1" applyFont="1" applyFill="1" applyBorder="1" applyAlignment="1">
      <alignment vertical="center" wrapText="1"/>
    </xf>
    <xf numFmtId="185"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5" fontId="53" fillId="6" borderId="47" xfId="0" applyNumberFormat="1" applyFont="1" applyFill="1" applyBorder="1" applyAlignment="1">
      <alignment vertical="center" wrapText="1"/>
    </xf>
    <xf numFmtId="188"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5" fontId="60" fillId="6" borderId="13" xfId="0" applyNumberFormat="1" applyFont="1" applyFill="1" applyBorder="1" applyAlignment="1">
      <alignment horizontal="right" vertical="center"/>
    </xf>
    <xf numFmtId="188"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5"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8"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8"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7"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7"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8" fontId="54" fillId="6" borderId="3" xfId="0" applyNumberFormat="1" applyFont="1" applyFill="1" applyBorder="1" applyAlignment="1">
      <alignment horizontal="center" vertical="center"/>
    </xf>
    <xf numFmtId="188"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2" fillId="6" borderId="20" xfId="0" applyFont="1" applyFill="1" applyBorder="1">
      <alignment vertical="center"/>
    </xf>
    <xf numFmtId="0" fontId="112" fillId="6" borderId="21" xfId="0" applyFont="1" applyFill="1" applyBorder="1" applyAlignment="1">
      <alignment horizontal="center" vertical="center"/>
    </xf>
    <xf numFmtId="0" fontId="56" fillId="6" borderId="24" xfId="0"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81" fillId="0" borderId="60" xfId="3" applyFont="1" applyBorder="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6"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0" fontId="102" fillId="6" borderId="67" xfId="0" applyFont="1" applyFill="1" applyBorder="1" applyAlignment="1">
      <alignment horizontal="center" vertical="center" wrapText="1"/>
    </xf>
    <xf numFmtId="186"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5" fontId="50" fillId="0" borderId="1" xfId="0" applyNumberFormat="1" applyFont="1" applyBorder="1" applyAlignment="1" applyProtection="1">
      <alignment horizontal="center" vertical="center"/>
      <protection locked="0"/>
    </xf>
    <xf numFmtId="185" fontId="50" fillId="0" borderId="24" xfId="0" applyNumberFormat="1" applyFont="1" applyBorder="1" applyAlignment="1" applyProtection="1">
      <alignment horizontal="center" vertical="center"/>
      <protection locked="0"/>
    </xf>
    <xf numFmtId="185"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lignment horizontal="center" vertical="center"/>
    </xf>
    <xf numFmtId="185" fontId="102" fillId="0" borderId="13" xfId="0" applyNumberFormat="1" applyFont="1" applyBorder="1" applyAlignment="1" applyProtection="1">
      <alignment horizontal="center" vertical="center"/>
      <protection locked="0"/>
    </xf>
    <xf numFmtId="185" fontId="50" fillId="0" borderId="13" xfId="0" applyNumberFormat="1" applyFont="1" applyBorder="1" applyAlignment="1" applyProtection="1">
      <alignment horizontal="center" vertical="center"/>
      <protection locked="0"/>
    </xf>
    <xf numFmtId="185"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5"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18" fillId="0" borderId="0" xfId="5" applyFont="1">
      <alignment vertical="center"/>
    </xf>
    <xf numFmtId="0" fontId="98"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3" fontId="50" fillId="0" borderId="1" xfId="0" applyNumberFormat="1" applyFont="1" applyBorder="1" applyAlignment="1" applyProtection="1">
      <alignment horizontal="center" vertical="center" shrinkToFit="1"/>
      <protection locked="0"/>
    </xf>
    <xf numFmtId="183"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01" fillId="6" borderId="28" xfId="0" applyFont="1" applyFill="1" applyBorder="1">
      <alignment vertical="center"/>
    </xf>
    <xf numFmtId="0" fontId="101" fillId="6" borderId="5" xfId="0" applyFont="1" applyFill="1" applyBorder="1">
      <alignment vertical="center"/>
    </xf>
    <xf numFmtId="0" fontId="101"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6"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8"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8"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8"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2"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xf>
    <xf numFmtId="0" fontId="15"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6"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89" fontId="47" fillId="6" borderId="30" xfId="0" applyNumberFormat="1" applyFont="1" applyFill="1" applyBorder="1" applyAlignment="1">
      <alignment horizontal="center" vertical="center" wrapText="1"/>
    </xf>
    <xf numFmtId="189" fontId="47" fillId="6" borderId="9" xfId="0" applyNumberFormat="1" applyFont="1" applyFill="1" applyBorder="1" applyAlignment="1">
      <alignment horizontal="center" vertical="center" wrapText="1"/>
    </xf>
    <xf numFmtId="189"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0" fillId="0" borderId="0" xfId="11" applyFont="1" applyAlignment="1">
      <alignment vertical="center" wrapText="1"/>
    </xf>
    <xf numFmtId="0" fontId="127" fillId="0" borderId="78" xfId="0" applyFont="1" applyBorder="1" applyAlignment="1">
      <alignment horizontal="left" vertical="center"/>
    </xf>
    <xf numFmtId="0" fontId="150" fillId="0" borderId="78" xfId="11" applyFont="1" applyBorder="1" applyAlignment="1">
      <alignment horizontal="left" vertical="center" wrapText="1"/>
    </xf>
    <xf numFmtId="0" fontId="150" fillId="0" borderId="87" xfId="0" applyFont="1" applyBorder="1">
      <alignment vertical="center"/>
    </xf>
    <xf numFmtId="0" fontId="150" fillId="0" borderId="44" xfId="11" applyFont="1" applyBorder="1" applyAlignment="1">
      <alignment vertical="center" wrapText="1"/>
    </xf>
    <xf numFmtId="0" fontId="150" fillId="0" borderId="44" xfId="0" applyFont="1" applyBorder="1" applyAlignment="1">
      <alignment horizontal="left" vertical="center"/>
    </xf>
    <xf numFmtId="0" fontId="150" fillId="0" borderId="83" xfId="0" applyFont="1" applyBorder="1">
      <alignment vertical="center"/>
    </xf>
    <xf numFmtId="0" fontId="150" fillId="0" borderId="1" xfId="11" applyFont="1" applyBorder="1" applyAlignment="1">
      <alignment vertical="center" wrapText="1"/>
    </xf>
    <xf numFmtId="0" fontId="150" fillId="0" borderId="1" xfId="0" applyFont="1" applyBorder="1" applyAlignment="1">
      <alignment horizontal="left" vertical="center"/>
    </xf>
    <xf numFmtId="0" fontId="150" fillId="0" borderId="0" xfId="0" applyFont="1">
      <alignment vertical="center"/>
    </xf>
    <xf numFmtId="0" fontId="150" fillId="0" borderId="78" xfId="11" applyFont="1" applyBorder="1" applyAlignment="1">
      <alignment vertical="center" wrapText="1"/>
    </xf>
    <xf numFmtId="0" fontId="150" fillId="0" borderId="78" xfId="0" applyFont="1" applyBorder="1" applyAlignment="1">
      <alignment horizontal="left" vertical="center"/>
    </xf>
    <xf numFmtId="192" fontId="150" fillId="0" borderId="78" xfId="0" applyNumberFormat="1" applyFont="1" applyBorder="1" applyAlignment="1">
      <alignment horizontal="left" vertical="center"/>
    </xf>
    <xf numFmtId="0" fontId="150" fillId="0" borderId="2" xfId="11" applyFont="1" applyBorder="1" applyAlignment="1">
      <alignment vertical="center" wrapText="1"/>
    </xf>
    <xf numFmtId="14" fontId="150" fillId="0" borderId="2" xfId="0" applyNumberFormat="1" applyFont="1" applyBorder="1" applyAlignment="1">
      <alignment horizontal="left" vertical="center"/>
    </xf>
    <xf numFmtId="14" fontId="150" fillId="0" borderId="1" xfId="0" applyNumberFormat="1" applyFont="1" applyBorder="1" applyAlignment="1">
      <alignment horizontal="left" vertical="center"/>
    </xf>
    <xf numFmtId="0" fontId="150"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2" fillId="6" borderId="1" xfId="8" applyFont="1" applyFill="1" applyBorder="1" applyAlignment="1">
      <alignment horizontal="center" vertical="center"/>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8"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22" fillId="6" borderId="0" xfId="2" applyFont="1" applyFill="1"/>
    <xf numFmtId="0" fontId="22" fillId="6" borderId="6" xfId="2" applyFont="1" applyFill="1" applyBorder="1"/>
    <xf numFmtId="0" fontId="125" fillId="6" borderId="9" xfId="2" applyFont="1" applyFill="1" applyBorder="1" applyAlignment="1">
      <alignment horizontal="center" vertical="center" wrapText="1"/>
    </xf>
    <xf numFmtId="0" fontId="22"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2" fillId="6" borderId="9" xfId="2" applyFont="1" applyFill="1" applyBorder="1" applyAlignment="1">
      <alignment horizontal="center"/>
    </xf>
    <xf numFmtId="0" fontId="22" fillId="0" borderId="0" xfId="2" applyFont="1"/>
    <xf numFmtId="0" fontId="22" fillId="6" borderId="23" xfId="2" applyFont="1" applyFill="1" applyBorder="1"/>
    <xf numFmtId="0" fontId="125" fillId="6" borderId="1" xfId="2" applyFont="1" applyFill="1" applyBorder="1" applyAlignment="1">
      <alignment horizontal="center" vertical="center" wrapText="1"/>
    </xf>
    <xf numFmtId="0" fontId="22"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2" fillId="6" borderId="1" xfId="2" applyFont="1" applyFill="1" applyBorder="1" applyAlignment="1">
      <alignment horizontal="center"/>
    </xf>
    <xf numFmtId="0" fontId="22" fillId="6" borderId="25" xfId="2" applyFont="1" applyFill="1" applyBorder="1"/>
    <xf numFmtId="0" fontId="125"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2" fillId="6" borderId="32" xfId="2" applyFont="1" applyFill="1" applyBorder="1" applyAlignment="1">
      <alignment horizontal="center"/>
    </xf>
    <xf numFmtId="0" fontId="22" fillId="6" borderId="0" xfId="2"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55" fillId="6" borderId="0" xfId="2"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2" fillId="6" borderId="1" xfId="2" applyFont="1" applyFill="1" applyBorder="1"/>
    <xf numFmtId="0" fontId="139" fillId="6" borderId="1" xfId="2" applyFont="1" applyFill="1" applyBorder="1" applyAlignment="1">
      <alignment horizontal="center" vertical="center" wrapText="1"/>
    </xf>
    <xf numFmtId="0" fontId="160" fillId="6" borderId="0" xfId="2" applyFont="1" applyFill="1" applyAlignment="1">
      <alignment vertical="center"/>
    </xf>
    <xf numFmtId="0" fontId="160" fillId="6" borderId="1" xfId="2" applyFont="1" applyFill="1" applyBorder="1" applyAlignment="1">
      <alignment horizontal="left"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2" fillId="6" borderId="0" xfId="2" applyFont="1" applyFill="1" applyAlignment="1">
      <alignment horizontal="center" wrapText="1"/>
    </xf>
    <xf numFmtId="14" fontId="22"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3" fillId="0" borderId="1" xfId="12" applyFont="1" applyBorder="1" applyAlignment="1" applyProtection="1">
      <alignment horizontal="left" vertical="center" wrapText="1"/>
      <protection locked="0"/>
    </xf>
    <xf numFmtId="0" fontId="167"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1" fillId="0" borderId="108" xfId="0" applyFont="1" applyBorder="1" applyAlignment="1" applyProtection="1">
      <alignment horizontal="center" vertical="center" wrapText="1"/>
      <protection locked="0"/>
    </xf>
    <xf numFmtId="0" fontId="171" fillId="0" borderId="18" xfId="0" applyFont="1" applyBorder="1" applyAlignment="1" applyProtection="1">
      <alignment horizontal="center" vertical="center" wrapText="1"/>
      <protection locked="0"/>
    </xf>
    <xf numFmtId="0" fontId="116" fillId="6" borderId="24" xfId="0" applyFont="1" applyFill="1" applyBorder="1" applyAlignment="1">
      <alignment horizontal="left" vertical="center"/>
    </xf>
    <xf numFmtId="0" fontId="172"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4"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3"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3" fontId="102" fillId="6" borderId="43" xfId="0" applyNumberFormat="1" applyFont="1" applyFill="1" applyBorder="1" applyAlignment="1">
      <alignment vertical="center" wrapText="1"/>
    </xf>
    <xf numFmtId="0" fontId="167"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174" fillId="6" borderId="3" xfId="0" applyFont="1" applyFill="1" applyBorder="1" applyAlignment="1">
      <alignment horizontal="right" vertical="center" wrapText="1"/>
    </xf>
    <xf numFmtId="0" fontId="189" fillId="0" borderId="0" xfId="5" applyFont="1">
      <alignment vertical="center"/>
    </xf>
    <xf numFmtId="0" fontId="98" fillId="0" borderId="0" xfId="0" applyFont="1" applyProtection="1">
      <alignment vertical="center"/>
      <protection locked="0"/>
    </xf>
    <xf numFmtId="0" fontId="198" fillId="0" borderId="0" xfId="0" applyFont="1" applyAlignment="1">
      <alignment horizontal="center" vertical="center"/>
    </xf>
    <xf numFmtId="0" fontId="199" fillId="0" borderId="0" xfId="0" applyFont="1">
      <alignment vertical="center"/>
    </xf>
    <xf numFmtId="0" fontId="133" fillId="0" borderId="0" xfId="0" applyFont="1" applyAlignment="1">
      <alignment vertical="center" wrapText="1"/>
    </xf>
    <xf numFmtId="0" fontId="200" fillId="0" borderId="0" xfId="0" applyFont="1">
      <alignment vertical="center"/>
    </xf>
    <xf numFmtId="0" fontId="201" fillId="0" borderId="0" xfId="0" applyFont="1">
      <alignment vertical="center"/>
    </xf>
    <xf numFmtId="0" fontId="202" fillId="0" borderId="0" xfId="0" applyFont="1" applyAlignment="1" applyProtection="1">
      <alignment vertical="center" wrapText="1"/>
      <protection locked="0"/>
    </xf>
    <xf numFmtId="183" fontId="133" fillId="0" borderId="0" xfId="0" applyNumberFormat="1" applyFont="1" applyAlignment="1">
      <alignment horizontal="left" vertical="center"/>
    </xf>
    <xf numFmtId="0" fontId="133" fillId="0" borderId="0" xfId="0" applyFont="1">
      <alignment vertical="center"/>
    </xf>
    <xf numFmtId="0" fontId="203" fillId="5" borderId="0" xfId="0" applyFont="1" applyFill="1" applyProtection="1">
      <alignment vertical="center"/>
      <protection locked="0"/>
    </xf>
    <xf numFmtId="0" fontId="199" fillId="0" borderId="0" xfId="7" applyFont="1">
      <alignment vertical="center"/>
    </xf>
    <xf numFmtId="0" fontId="101" fillId="0" borderId="0" xfId="7" applyFont="1">
      <alignment vertical="center"/>
    </xf>
    <xf numFmtId="0" fontId="199"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6"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7"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8" fillId="0" borderId="0" xfId="0" applyFont="1">
      <alignment vertical="center"/>
    </xf>
    <xf numFmtId="0" fontId="196" fillId="0" borderId="0" xfId="0" applyFont="1" applyAlignment="1">
      <alignment horizontal="left" vertical="center"/>
    </xf>
    <xf numFmtId="0" fontId="214"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4" fillId="0" borderId="60" xfId="0" applyFont="1" applyBorder="1" applyAlignment="1">
      <alignment horizontal="justify" vertical="center" wrapText="1"/>
    </xf>
    <xf numFmtId="0" fontId="214" fillId="0" borderId="0" xfId="0" applyFont="1" applyAlignment="1">
      <alignment horizontal="right" vertical="center" wrapText="1"/>
    </xf>
    <xf numFmtId="0" fontId="214" fillId="0" borderId="54" xfId="0" applyFont="1" applyBorder="1" applyAlignment="1">
      <alignment horizontal="justify" vertical="center" wrapText="1"/>
    </xf>
    <xf numFmtId="0" fontId="215" fillId="0" borderId="0" xfId="0" applyFont="1" applyAlignment="1" applyProtection="1">
      <alignment horizontal="center" vertical="center" wrapText="1"/>
      <protection locked="0"/>
    </xf>
    <xf numFmtId="0" fontId="199"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7" fillId="0" borderId="0" xfId="0" applyFont="1" applyProtection="1">
      <alignment vertical="center"/>
      <protection locked="0"/>
    </xf>
    <xf numFmtId="0" fontId="218" fillId="0" borderId="0" xfId="0" applyFont="1">
      <alignment vertical="center"/>
    </xf>
    <xf numFmtId="0" fontId="197" fillId="0" borderId="0" xfId="0" applyFont="1">
      <alignment vertical="center"/>
    </xf>
    <xf numFmtId="0" fontId="205" fillId="0" borderId="1" xfId="0" applyFont="1" applyBorder="1" applyAlignment="1">
      <alignment horizontal="center" vertical="center" wrapText="1"/>
    </xf>
    <xf numFmtId="0" fontId="98" fillId="0" borderId="0" xfId="0" applyFont="1" applyAlignment="1">
      <alignment horizontal="left" vertical="center"/>
    </xf>
    <xf numFmtId="0" fontId="205" fillId="0" borderId="0" xfId="0" applyFont="1">
      <alignment vertical="center"/>
    </xf>
    <xf numFmtId="0" fontId="205" fillId="2" borderId="1" xfId="0" applyFont="1" applyFill="1" applyBorder="1" applyAlignment="1">
      <alignment horizontal="center" vertical="center" wrapText="1"/>
    </xf>
    <xf numFmtId="0" fontId="205" fillId="6" borderId="1" xfId="0" applyFont="1" applyFill="1" applyBorder="1" applyAlignment="1">
      <alignment horizontal="center" vertical="center" wrapText="1"/>
    </xf>
    <xf numFmtId="0" fontId="221" fillId="4" borderId="1" xfId="0" applyFont="1" applyFill="1" applyBorder="1" applyAlignment="1">
      <alignment horizontal="center" vertical="center"/>
    </xf>
    <xf numFmtId="0" fontId="222" fillId="0" borderId="1" xfId="0" applyFont="1" applyBorder="1" applyAlignment="1">
      <alignment horizontal="center" vertical="center"/>
    </xf>
    <xf numFmtId="0" fontId="220" fillId="0" borderId="0" xfId="0" applyFont="1">
      <alignment vertical="center"/>
    </xf>
    <xf numFmtId="0" fontId="119"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23" fillId="0" borderId="0" xfId="0" applyFont="1">
      <alignment vertical="center"/>
    </xf>
    <xf numFmtId="0" fontId="220" fillId="0" borderId="0" xfId="0" applyFont="1" applyAlignment="1">
      <alignment horizontal="left" vertical="center"/>
    </xf>
    <xf numFmtId="176" fontId="220" fillId="0" borderId="0" xfId="0" applyNumberFormat="1" applyFont="1" applyAlignment="1">
      <alignment horizontal="left" vertical="center"/>
    </xf>
    <xf numFmtId="0" fontId="220"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0"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0" fillId="0" borderId="1" xfId="0" applyFont="1" applyBorder="1" applyAlignment="1" applyProtection="1">
      <alignment horizontal="left" vertical="center"/>
      <protection locked="0"/>
    </xf>
    <xf numFmtId="0" fontId="98" fillId="6" borderId="0" xfId="0" applyFont="1" applyFill="1">
      <alignment vertical="center"/>
    </xf>
    <xf numFmtId="0" fontId="220"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1"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6"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7"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8" fillId="6" borderId="0" xfId="0" applyFont="1" applyFill="1" applyAlignment="1">
      <alignment horizontal="left" vertical="center"/>
    </xf>
    <xf numFmtId="0" fontId="228" fillId="6" borderId="0" xfId="0" applyFont="1" applyFill="1">
      <alignment vertical="center"/>
    </xf>
    <xf numFmtId="0" fontId="228"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3" xfId="0" applyFont="1" applyFill="1" applyBorder="1">
      <alignment vertical="center"/>
    </xf>
    <xf numFmtId="0" fontId="207" fillId="6" borderId="1" xfId="0" applyFont="1" applyFill="1" applyBorder="1">
      <alignment vertical="center"/>
    </xf>
    <xf numFmtId="0" fontId="207"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8"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3" fillId="6" borderId="0" xfId="0" applyFont="1" applyFill="1" applyProtection="1">
      <alignment vertical="center"/>
      <protection locked="0"/>
    </xf>
    <xf numFmtId="188" fontId="47" fillId="6" borderId="21" xfId="0" applyNumberFormat="1" applyFont="1" applyFill="1" applyBorder="1" applyAlignment="1">
      <alignment horizontal="center" vertical="center" wrapText="1"/>
    </xf>
    <xf numFmtId="188"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lignment horizontal="center" vertical="center"/>
    </xf>
    <xf numFmtId="188"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3"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1"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101" fillId="6" borderId="23" xfId="0" applyFont="1" applyFill="1" applyBorder="1" applyAlignment="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2" fillId="6" borderId="13" xfId="0" applyFont="1" applyFill="1" applyBorder="1" applyAlignment="1">
      <alignment horizontal="left" vertical="center" wrapText="1"/>
    </xf>
    <xf numFmtId="0" fontId="102" fillId="6" borderId="3" xfId="0" applyFont="1" applyFill="1" applyBorder="1" applyAlignment="1">
      <alignment horizontal="center" vertical="center" wrapText="1"/>
    </xf>
    <xf numFmtId="0" fontId="102" fillId="6" borderId="2" xfId="0" applyFont="1" applyFill="1" applyBorder="1" applyAlignment="1">
      <alignment horizontal="left" vertical="center" wrapText="1"/>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6" fillId="6" borderId="17" xfId="0" applyFont="1" applyFill="1" applyBorder="1" applyAlignment="1">
      <alignment horizontal="center"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6" fontId="56" fillId="6" borderId="15" xfId="0" applyNumberFormat="1" applyFont="1" applyFill="1" applyBorder="1" applyAlignment="1">
      <alignment horizontal="center" vertical="center" wrapText="1"/>
    </xf>
    <xf numFmtId="186"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2" fillId="6" borderId="54" xfId="0" applyFont="1" applyFill="1" applyBorder="1">
      <alignment vertical="center"/>
    </xf>
    <xf numFmtId="0" fontId="102"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2"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2"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2" fillId="6" borderId="0" xfId="0" applyFont="1" applyFill="1">
      <alignment vertical="center"/>
    </xf>
    <xf numFmtId="186" fontId="101" fillId="6" borderId="0" xfId="0" applyNumberFormat="1" applyFont="1" applyFill="1" applyAlignment="1">
      <alignment horizontal="center" vertical="center" wrapText="1"/>
    </xf>
    <xf numFmtId="0" fontId="112" fillId="6" borderId="51" xfId="0" applyFont="1" applyFill="1" applyBorder="1">
      <alignment vertical="center"/>
    </xf>
    <xf numFmtId="186" fontId="207" fillId="6" borderId="19" xfId="0" applyNumberFormat="1" applyFont="1" applyFill="1" applyBorder="1" applyAlignment="1">
      <alignment horizontal="center" vertical="center" wrapText="1"/>
    </xf>
    <xf numFmtId="0" fontId="112" fillId="6" borderId="0" xfId="0" applyFont="1" applyFill="1" applyAlignment="1">
      <alignment horizontal="center" vertical="center"/>
    </xf>
    <xf numFmtId="0" fontId="102" fillId="6" borderId="23" xfId="0" applyFont="1" applyFill="1" applyBorder="1" applyAlignment="1">
      <alignment horizontal="center"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71" fillId="0" borderId="1" xfId="0" applyFont="1" applyBorder="1" applyAlignment="1" applyProtection="1">
      <alignment horizontal="center" vertical="center" wrapText="1"/>
      <protection locked="0"/>
    </xf>
    <xf numFmtId="0" fontId="171" fillId="0" borderId="13" xfId="0" applyFont="1" applyBorder="1" applyAlignment="1" applyProtection="1">
      <alignment horizontal="center" vertical="center" wrapText="1"/>
      <protection locked="0"/>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1" fillId="0" borderId="32" xfId="0" applyFont="1" applyBorder="1" applyAlignment="1" applyProtection="1">
      <alignment horizontal="center" vertical="center" wrapText="1"/>
      <protection locked="0"/>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2" fillId="6" borderId="1" xfId="0" applyNumberFormat="1" applyFont="1" applyFill="1" applyBorder="1" applyAlignment="1">
      <alignment horizontal="center" vertical="center" wrapText="1"/>
    </xf>
    <xf numFmtId="0" fontId="22" fillId="6" borderId="1" xfId="0" applyFont="1" applyFill="1" applyBorder="1" applyAlignment="1">
      <alignment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100" fillId="6" borderId="119" xfId="10" applyFont="1" applyFill="1" applyBorder="1" applyAlignment="1">
      <alignment horizontal="left" vertical="center"/>
    </xf>
    <xf numFmtId="0" fontId="25" fillId="6" borderId="119" xfId="10" applyFont="1" applyFill="1" applyBorder="1" applyAlignment="1">
      <alignment horizontal="left" vertical="center"/>
    </xf>
    <xf numFmtId="0" fontId="105" fillId="0" borderId="120" xfId="9" applyFont="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5"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39"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5"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lignment horizontal="left" vertical="center" wrapText="1"/>
    </xf>
    <xf numFmtId="185" fontId="147" fillId="13" borderId="0" xfId="9" applyNumberFormat="1" applyFont="1" applyFill="1" applyAlignment="1">
      <alignment horizontal="left" vertical="center"/>
    </xf>
    <xf numFmtId="0" fontId="146" fillId="11" borderId="125" xfId="9" applyFont="1" applyFill="1" applyBorder="1" applyAlignment="1">
      <alignment horizontal="left" vertical="center" wrapText="1"/>
    </xf>
    <xf numFmtId="0" fontId="146" fillId="13" borderId="126" xfId="9" applyFont="1" applyFill="1" applyBorder="1" applyAlignment="1">
      <alignment horizontal="left" vertical="center" wrapText="1"/>
    </xf>
    <xf numFmtId="0" fontId="147" fillId="13" borderId="0" xfId="9" applyFont="1" applyFill="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16" fillId="5" borderId="0" xfId="9" applyFont="1" applyFill="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5"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177" fontId="102" fillId="0" borderId="0" xfId="9" applyNumberFormat="1" applyFont="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3" xfId="9" applyFont="1" applyFill="1" applyBorder="1" applyAlignment="1">
      <alignment horizontal="left" vertical="center" wrapText="1"/>
    </xf>
    <xf numFmtId="0" fontId="146" fillId="11" borderId="124" xfId="9" applyFont="1" applyFill="1" applyBorder="1" applyAlignment="1">
      <alignment horizontal="left" vertical="center" wrapText="1"/>
    </xf>
    <xf numFmtId="185" fontId="105" fillId="11" borderId="123" xfId="9" applyNumberFormat="1" applyFont="1" applyFill="1" applyBorder="1" applyAlignment="1">
      <alignment horizontal="left" vertical="center" wrapText="1"/>
    </xf>
    <xf numFmtId="185" fontId="105" fillId="11" borderId="129" xfId="9" applyNumberFormat="1"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5" fontId="105" fillId="11" borderId="126" xfId="9" applyNumberFormat="1" applyFont="1" applyFill="1" applyBorder="1" applyAlignment="1">
      <alignment horizontal="left" vertical="center" wrapText="1"/>
    </xf>
    <xf numFmtId="185" fontId="105" fillId="11" borderId="135" xfId="9" applyNumberFormat="1" applyFont="1" applyFill="1" applyBorder="1" applyAlignment="1">
      <alignment horizontal="left" vertical="center" wrapText="1"/>
    </xf>
    <xf numFmtId="0" fontId="102" fillId="12" borderId="123" xfId="9" applyFont="1" applyFill="1" applyBorder="1" applyAlignment="1">
      <alignment horizontal="left" vertical="center" wrapText="1"/>
    </xf>
    <xf numFmtId="0" fontId="102" fillId="12"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5" fontId="102" fillId="5" borderId="0" xfId="9" applyNumberFormat="1" applyFont="1" applyFill="1" applyAlignment="1">
      <alignment horizontal="left" vertical="center"/>
    </xf>
    <xf numFmtId="0" fontId="102" fillId="5" borderId="126" xfId="9" applyFont="1" applyFill="1" applyBorder="1" applyAlignment="1">
      <alignment horizontal="left" vertical="center" wrapText="1"/>
    </xf>
    <xf numFmtId="0" fontId="102" fillId="5" borderId="130" xfId="9" applyFont="1" applyFill="1" applyBorder="1" applyAlignment="1">
      <alignment horizontal="left" vertical="center" wrapText="1"/>
    </xf>
    <xf numFmtId="0" fontId="102" fillId="5" borderId="0" xfId="9" applyFont="1" applyFill="1" applyAlignment="1">
      <alignment horizontal="left" vertical="center"/>
    </xf>
    <xf numFmtId="10" fontId="102" fillId="5" borderId="121" xfId="9" applyNumberFormat="1" applyFont="1" applyFill="1" applyBorder="1" applyAlignment="1">
      <alignment horizontal="left" vertical="center"/>
    </xf>
    <xf numFmtId="10" fontId="102" fillId="5" borderId="0" xfId="9" applyNumberFormat="1" applyFont="1" applyFill="1" applyAlignment="1">
      <alignment horizontal="left" vertical="center"/>
    </xf>
    <xf numFmtId="177" fontId="102" fillId="5" borderId="0" xfId="9" applyNumberFormat="1" applyFont="1" applyFill="1" applyAlignment="1">
      <alignment horizontal="left" vertical="center"/>
    </xf>
    <xf numFmtId="10" fontId="102" fillId="5" borderId="128" xfId="9" applyNumberFormat="1" applyFont="1" applyFill="1" applyBorder="1" applyAlignment="1">
      <alignment horizontal="left" vertical="center"/>
    </xf>
    <xf numFmtId="10" fontId="102"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5" fontId="105" fillId="11" borderId="132" xfId="9" applyNumberFormat="1" applyFont="1" applyFill="1" applyBorder="1" applyAlignment="1">
      <alignment horizontal="left" vertical="center" wrapText="1"/>
    </xf>
    <xf numFmtId="185" fontId="105" fillId="11" borderId="136" xfId="9" applyNumberFormat="1" applyFont="1" applyFill="1" applyBorder="1" applyAlignment="1">
      <alignment horizontal="left" vertical="center" wrapText="1"/>
    </xf>
    <xf numFmtId="185" fontId="102" fillId="13" borderId="0" xfId="9" applyNumberFormat="1" applyFont="1" applyFill="1" applyAlignment="1">
      <alignment horizontal="left" vertical="center"/>
    </xf>
    <xf numFmtId="185"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177"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46" fillId="12" borderId="147" xfId="9" applyFont="1" applyFill="1" applyBorder="1" applyAlignment="1">
      <alignment horizontal="left" vertical="center" wrapText="1"/>
    </xf>
    <xf numFmtId="0" fontId="146" fillId="11" borderId="148"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1" borderId="149" xfId="9" applyFont="1" applyFill="1" applyBorder="1" applyAlignment="1">
      <alignment horizontal="left" vertical="center" wrapText="1"/>
    </xf>
    <xf numFmtId="0" fontId="132" fillId="6" borderId="0" xfId="0" applyFont="1" applyFill="1" applyAlignment="1">
      <alignment horizontal="left" vertical="center"/>
    </xf>
    <xf numFmtId="0" fontId="180" fillId="6" borderId="154" xfId="0" applyFont="1" applyFill="1" applyBorder="1" applyAlignment="1">
      <alignment horizontal="left"/>
    </xf>
    <xf numFmtId="0" fontId="104" fillId="6" borderId="154" xfId="0" applyFont="1" applyFill="1" applyBorder="1" applyAlignment="1">
      <alignment horizontal="left"/>
    </xf>
    <xf numFmtId="0" fontId="180" fillId="6" borderId="154" xfId="0" applyFont="1" applyFill="1" applyBorder="1" applyAlignment="1">
      <alignment horizontal="right"/>
    </xf>
    <xf numFmtId="0" fontId="104" fillId="7" borderId="154" xfId="0" applyFont="1" applyFill="1" applyBorder="1" applyAlignment="1" applyProtection="1">
      <protection locked="0"/>
    </xf>
    <xf numFmtId="0" fontId="104" fillId="7" borderId="154" xfId="0" applyFont="1" applyFill="1" applyBorder="1" applyAlignment="1"/>
    <xf numFmtId="0" fontId="104" fillId="0" borderId="154"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8" borderId="1" xfId="0" applyFont="1" applyFill="1" applyBorder="1" applyAlignment="1">
      <alignment horizontal="center" vertical="center" wrapText="1"/>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0"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1" fontId="121" fillId="0" borderId="1" xfId="5" applyNumberFormat="1" applyFont="1" applyBorder="1" applyAlignment="1">
      <alignment horizontal="left" vertical="center"/>
    </xf>
    <xf numFmtId="191" fontId="241" fillId="0" borderId="5" xfId="5" applyNumberFormat="1" applyFont="1" applyBorder="1" applyAlignment="1">
      <alignment horizontal="left" vertical="center"/>
    </xf>
    <xf numFmtId="0" fontId="121" fillId="0" borderId="156" xfId="5" applyFont="1" applyBorder="1" applyAlignment="1">
      <alignment horizontal="left" vertical="center"/>
    </xf>
    <xf numFmtId="183" fontId="121" fillId="0" borderId="1" xfId="5" applyNumberFormat="1" applyFont="1" applyBorder="1" applyAlignment="1">
      <alignment horizontal="left" vertical="center"/>
    </xf>
    <xf numFmtId="0" fontId="241" fillId="0" borderId="1" xfId="5" applyFont="1" applyBorder="1" applyAlignment="1">
      <alignment horizontal="left" vertical="center"/>
    </xf>
    <xf numFmtId="191" fontId="121" fillId="0" borderId="5" xfId="5" applyNumberFormat="1" applyFont="1" applyBorder="1" applyAlignment="1">
      <alignment horizontal="left" vertical="center"/>
    </xf>
    <xf numFmtId="0" fontId="241"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3" fontId="121" fillId="0" borderId="5" xfId="5" applyNumberFormat="1" applyFont="1" applyBorder="1" applyAlignment="1">
      <alignment horizontal="left" vertical="center"/>
    </xf>
    <xf numFmtId="0" fontId="123" fillId="0" borderId="156" xfId="5"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3" fontId="130" fillId="0" borderId="1" xfId="0" applyNumberFormat="1" applyFont="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218"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8" fillId="7" borderId="101" xfId="0" applyFont="1" applyFill="1" applyBorder="1" applyAlignment="1" applyProtection="1">
      <alignment vertical="center" wrapText="1"/>
      <protection locked="0"/>
    </xf>
    <xf numFmtId="0" fontId="208" fillId="7" borderId="102" xfId="0" applyFont="1" applyFill="1" applyBorder="1" applyAlignment="1" applyProtection="1">
      <alignment vertical="center" wrapText="1"/>
      <protection locked="0"/>
    </xf>
    <xf numFmtId="0" fontId="228" fillId="7" borderId="0" xfId="0" applyFont="1" applyFill="1" applyProtection="1">
      <alignment vertical="center"/>
      <protection locked="0"/>
    </xf>
    <xf numFmtId="0" fontId="228"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1"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1" fillId="0" borderId="8" xfId="0" applyFont="1" applyBorder="1" applyAlignment="1" applyProtection="1">
      <alignment vertical="center" wrapText="1"/>
      <protection locked="0"/>
    </xf>
    <xf numFmtId="49" fontId="171"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1"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1"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1"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8" fillId="7" borderId="0" xfId="0" applyFont="1" applyFill="1" applyAlignment="1" applyProtection="1">
      <alignment vertical="center" wrapText="1"/>
      <protection locked="0"/>
    </xf>
    <xf numFmtId="0" fontId="208" fillId="7" borderId="35" xfId="0" applyFont="1" applyFill="1" applyBorder="1" applyAlignment="1" applyProtection="1">
      <alignment vertical="center" wrapText="1"/>
      <protection locked="0"/>
    </xf>
    <xf numFmtId="0" fontId="228"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3" fillId="6" borderId="1" xfId="12" applyFont="1" applyFill="1" applyBorder="1" applyAlignment="1">
      <alignment horizontal="left" vertical="center" wrapText="1"/>
    </xf>
    <xf numFmtId="0" fontId="162" fillId="0" borderId="0" xfId="12" applyAlignment="1" applyProtection="1">
      <alignment horizontal="left"/>
      <protection locked="0"/>
    </xf>
    <xf numFmtId="14" fontId="163" fillId="6" borderId="1" xfId="12" applyNumberFormat="1" applyFont="1" applyFill="1" applyBorder="1" applyAlignment="1">
      <alignment horizontal="left" vertical="center" wrapText="1"/>
    </xf>
    <xf numFmtId="0" fontId="162" fillId="6" borderId="1" xfId="12" applyFill="1" applyBorder="1" applyAlignment="1">
      <alignment horizontal="left" vertical="center"/>
    </xf>
    <xf numFmtId="0" fontId="163"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3" fillId="0" borderId="13" xfId="12" applyFont="1" applyBorder="1" applyAlignment="1" applyProtection="1">
      <alignment horizontal="left" vertical="center" wrapText="1"/>
      <protection locked="0"/>
    </xf>
    <xf numFmtId="0" fontId="162"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0"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0"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7"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3" fontId="171"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3" fontId="171" fillId="0" borderId="21" xfId="0" applyNumberFormat="1" applyFont="1" applyBorder="1" applyAlignment="1" applyProtection="1">
      <alignment vertical="center" shrinkToFit="1"/>
      <protection locked="0"/>
    </xf>
    <xf numFmtId="0" fontId="171"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1" fillId="0" borderId="79" xfId="0" applyFont="1" applyBorder="1" applyAlignment="1" applyProtection="1">
      <alignment vertical="center" wrapText="1"/>
      <protection locked="0"/>
    </xf>
    <xf numFmtId="0" fontId="171"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3" fillId="12" borderId="0" xfId="12" applyFont="1" applyFill="1" applyAlignment="1" applyProtection="1">
      <alignment horizontal="left" vertical="center" wrapText="1"/>
      <protection locked="0"/>
    </xf>
    <xf numFmtId="0" fontId="162" fillId="12" borderId="0" xfId="12" applyFill="1" applyAlignment="1" applyProtection="1">
      <alignment horizontal="left"/>
      <protection locked="0"/>
    </xf>
    <xf numFmtId="0" fontId="180"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7"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8"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8"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3"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2"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4" fontId="160"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4" fillId="6" borderId="1" xfId="2" applyNumberFormat="1" applyFont="1" applyFill="1" applyBorder="1" applyAlignment="1">
      <alignment horizontal="center"/>
    </xf>
    <xf numFmtId="0" fontId="98"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6" fillId="0" borderId="0" xfId="4" applyFont="1" applyAlignment="1" applyProtection="1">
      <alignment horizontal="left"/>
      <protection locked="0"/>
    </xf>
    <xf numFmtId="0" fontId="245"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6" fillId="0" borderId="0" xfId="4" applyFont="1" applyAlignment="1">
      <alignment horizontal="left"/>
    </xf>
    <xf numFmtId="185"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2"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2"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2"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3" fillId="6" borderId="0" xfId="1" applyFont="1" applyFill="1">
      <alignment vertical="center"/>
    </xf>
    <xf numFmtId="0" fontId="50" fillId="0" borderId="32" xfId="4" applyFont="1" applyBorder="1" applyAlignment="1" applyProtection="1">
      <alignment horizontal="left" vertical="center"/>
      <protection locked="0"/>
    </xf>
    <xf numFmtId="0" fontId="22"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5"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5" fontId="57" fillId="6" borderId="71" xfId="4" applyNumberFormat="1" applyFont="1" applyFill="1" applyBorder="1" applyAlignment="1">
      <alignment horizontal="left" vertical="center"/>
    </xf>
    <xf numFmtId="185"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5"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5"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5"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6" fillId="0" borderId="5" xfId="4" applyFont="1" applyBorder="1" applyAlignment="1" applyProtection="1">
      <alignment horizontal="left" vertical="center"/>
      <protection locked="0"/>
    </xf>
    <xf numFmtId="0" fontId="246" fillId="0" borderId="158" xfId="4" applyFont="1" applyBorder="1" applyAlignment="1" applyProtection="1">
      <alignment horizontal="left" vertical="center"/>
      <protection locked="0"/>
    </xf>
    <xf numFmtId="0" fontId="246"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5" fontId="56" fillId="6" borderId="5" xfId="4" applyNumberFormat="1" applyFont="1" applyFill="1" applyBorder="1" applyAlignment="1">
      <alignment horizontal="left" vertical="center"/>
    </xf>
    <xf numFmtId="185" fontId="56" fillId="6" borderId="158" xfId="4" applyNumberFormat="1" applyFont="1" applyFill="1" applyBorder="1" applyAlignment="1">
      <alignment horizontal="left" vertical="center"/>
    </xf>
    <xf numFmtId="185"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5" fontId="56" fillId="6" borderId="5" xfId="4" applyNumberFormat="1" applyFont="1" applyFill="1" applyBorder="1" applyAlignment="1">
      <alignment horizontal="right" vertical="center"/>
    </xf>
    <xf numFmtId="181" fontId="56" fillId="0" borderId="158"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2"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39"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5" fillId="0" borderId="0" xfId="4" applyFont="1" applyAlignment="1" applyProtection="1">
      <alignment horizontal="left" vertical="center"/>
      <protection locked="0"/>
    </xf>
    <xf numFmtId="0" fontId="245" fillId="0" borderId="0" xfId="4" applyFont="1" applyAlignment="1">
      <alignment horizontal="left"/>
    </xf>
    <xf numFmtId="0" fontId="83" fillId="6" borderId="74" xfId="4" applyFont="1" applyFill="1" applyBorder="1" applyAlignment="1" applyProtection="1">
      <alignment vertical="center"/>
      <protection locked="0"/>
    </xf>
    <xf numFmtId="0" fontId="102" fillId="6" borderId="11" xfId="0" applyFont="1" applyFill="1" applyBorder="1">
      <alignment vertical="center"/>
    </xf>
    <xf numFmtId="0" fontId="102" fillId="6" borderId="14" xfId="0" applyFont="1" applyFill="1" applyBorder="1">
      <alignment vertical="center"/>
    </xf>
    <xf numFmtId="0" fontId="102" fillId="6" borderId="41" xfId="0" applyFont="1" applyFill="1" applyBorder="1">
      <alignment vertical="center"/>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11"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9" fillId="6" borderId="23" xfId="0" applyFont="1" applyFill="1" applyBorder="1" applyAlignment="1">
      <alignment horizontal="left" vertical="center"/>
    </xf>
    <xf numFmtId="0" fontId="249" fillId="6" borderId="1" xfId="0" applyFont="1" applyFill="1" applyBorder="1" applyAlignment="1">
      <alignment horizontal="left" vertical="center"/>
    </xf>
    <xf numFmtId="0" fontId="249" fillId="6" borderId="24" xfId="0" applyFont="1" applyFill="1" applyBorder="1" applyAlignment="1">
      <alignment horizontal="left" vertical="center"/>
    </xf>
    <xf numFmtId="0" fontId="249" fillId="0" borderId="1" xfId="0" applyFont="1" applyBorder="1" applyAlignment="1" applyProtection="1">
      <alignment horizontal="left" vertical="center"/>
      <protection locked="0"/>
    </xf>
    <xf numFmtId="9" fontId="249" fillId="0" borderId="1" xfId="0" applyNumberFormat="1" applyFont="1" applyBorder="1" applyAlignment="1" applyProtection="1">
      <alignment horizontal="left" vertical="center"/>
      <protection locked="0"/>
    </xf>
    <xf numFmtId="0" fontId="249" fillId="6" borderId="18" xfId="0" applyFont="1" applyFill="1" applyBorder="1" applyAlignment="1">
      <alignment horizontal="left" vertical="center"/>
    </xf>
    <xf numFmtId="0" fontId="249" fillId="6" borderId="0" xfId="0" applyFont="1" applyFill="1" applyAlignment="1">
      <alignment horizontal="left" vertical="center"/>
    </xf>
    <xf numFmtId="0" fontId="249" fillId="6" borderId="56" xfId="0" applyFont="1" applyFill="1" applyBorder="1" applyAlignment="1">
      <alignment horizontal="left" vertical="center"/>
    </xf>
    <xf numFmtId="0" fontId="249" fillId="6" borderId="18" xfId="0" applyFont="1" applyFill="1" applyBorder="1" applyAlignment="1">
      <alignment horizontal="left"/>
    </xf>
    <xf numFmtId="0" fontId="249" fillId="6" borderId="0" xfId="0" applyFont="1" applyFill="1" applyAlignment="1">
      <alignment horizontal="left"/>
    </xf>
    <xf numFmtId="0" fontId="249" fillId="6" borderId="56" xfId="0" applyFont="1" applyFill="1" applyBorder="1" applyAlignment="1">
      <alignment horizontal="left"/>
    </xf>
    <xf numFmtId="0" fontId="249" fillId="6" borderId="23" xfId="0" applyFont="1" applyFill="1" applyBorder="1" applyAlignment="1">
      <alignment horizontal="left"/>
    </xf>
    <xf numFmtId="0" fontId="249" fillId="20" borderId="1" xfId="0" applyFont="1" applyFill="1" applyBorder="1" applyAlignment="1">
      <alignment horizontal="left"/>
    </xf>
    <xf numFmtId="0" fontId="249" fillId="6" borderId="1" xfId="0" applyFont="1" applyFill="1" applyBorder="1" applyAlignment="1">
      <alignment horizontal="left"/>
    </xf>
    <xf numFmtId="0" fontId="249" fillId="6" borderId="5" xfId="0" applyFont="1" applyFill="1" applyBorder="1" applyAlignment="1">
      <alignment horizontal="left"/>
    </xf>
    <xf numFmtId="0" fontId="249" fillId="6" borderId="54" xfId="0" applyFont="1" applyFill="1" applyBorder="1" applyAlignment="1">
      <alignment horizontal="left"/>
    </xf>
    <xf numFmtId="0" fontId="249" fillId="6" borderId="48" xfId="0" applyFont="1" applyFill="1" applyBorder="1" applyAlignment="1">
      <alignment horizontal="left"/>
    </xf>
    <xf numFmtId="9" fontId="249" fillId="6" borderId="1" xfId="0" applyNumberFormat="1" applyFont="1" applyFill="1" applyBorder="1" applyAlignment="1">
      <alignment horizontal="left"/>
    </xf>
    <xf numFmtId="0" fontId="249" fillId="6" borderId="25" xfId="0" applyFont="1" applyFill="1" applyBorder="1" applyAlignment="1">
      <alignment horizontal="left"/>
    </xf>
    <xf numFmtId="0" fontId="249" fillId="20" borderId="32" xfId="0" applyFont="1" applyFill="1" applyBorder="1" applyAlignment="1">
      <alignment horizontal="left"/>
    </xf>
    <xf numFmtId="0" fontId="249" fillId="6" borderId="32" xfId="0" applyFont="1" applyFill="1" applyBorder="1" applyAlignment="1">
      <alignment horizontal="left"/>
    </xf>
    <xf numFmtId="0" fontId="249" fillId="6" borderId="47" xfId="0" applyFont="1" applyFill="1" applyBorder="1" applyAlignment="1">
      <alignment horizontal="left"/>
    </xf>
    <xf numFmtId="0" fontId="249" fillId="6" borderId="43" xfId="0" applyFont="1" applyFill="1" applyBorder="1" applyAlignment="1">
      <alignment horizontal="left"/>
    </xf>
    <xf numFmtId="0" fontId="249" fillId="0" borderId="0" xfId="0" applyFont="1" applyAlignment="1" applyProtection="1">
      <alignment horizontal="left" vertical="center"/>
      <protection locked="0"/>
    </xf>
    <xf numFmtId="0" fontId="80" fillId="6" borderId="1" xfId="0" applyFont="1" applyFill="1" applyBorder="1" applyAlignment="1" applyProtection="1">
      <alignment horizontal="center" vertical="center" wrapText="1"/>
      <protection locked="0"/>
    </xf>
    <xf numFmtId="0" fontId="50" fillId="6" borderId="35" xfId="0"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center" vertical="center" wrapText="1"/>
      <protection locked="0"/>
    </xf>
    <xf numFmtId="177" fontId="50" fillId="6" borderId="15" xfId="0" applyNumberFormat="1" applyFont="1" applyFill="1" applyBorder="1" applyAlignment="1" applyProtection="1">
      <alignment horizontal="center" vertical="center" wrapText="1"/>
      <protection locked="0"/>
    </xf>
    <xf numFmtId="179" fontId="50" fillId="6" borderId="15" xfId="0" applyNumberFormat="1" applyFont="1" applyFill="1" applyBorder="1" applyAlignment="1" applyProtection="1">
      <alignment horizontal="center" vertical="center" wrapText="1"/>
      <protection locked="0"/>
    </xf>
    <xf numFmtId="0" fontId="111"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9"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8"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10" fillId="6" borderId="6" xfId="0" applyFont="1" applyFill="1" applyBorder="1" applyAlignment="1">
      <alignment horizontal="left" vertical="center" wrapText="1"/>
    </xf>
    <xf numFmtId="0" fontId="110" fillId="6" borderId="9" xfId="0" applyFont="1" applyFill="1" applyBorder="1" applyAlignment="1">
      <alignment horizontal="left" vertical="center" wrapText="1"/>
    </xf>
    <xf numFmtId="0" fontId="110" fillId="6" borderId="10" xfId="0" applyFont="1" applyFill="1" applyBorder="1" applyAlignment="1">
      <alignment horizontal="left" vertical="center" wrapText="1"/>
    </xf>
    <xf numFmtId="0" fontId="110" fillId="6" borderId="23" xfId="0" applyFont="1" applyFill="1" applyBorder="1" applyAlignment="1">
      <alignment horizontal="left" vertical="center" wrapText="1"/>
    </xf>
    <xf numFmtId="0" fontId="110" fillId="6" borderId="1" xfId="0" applyFont="1" applyFill="1" applyBorder="1" applyAlignment="1">
      <alignment horizontal="left" vertical="center" wrapText="1"/>
    </xf>
    <xf numFmtId="0" fontId="110" fillId="6" borderId="24" xfId="0" applyFont="1" applyFill="1" applyBorder="1" applyAlignment="1">
      <alignment horizontal="left" vertical="center" wrapText="1"/>
    </xf>
    <xf numFmtId="0" fontId="110" fillId="6" borderId="11" xfId="0" applyFont="1" applyFill="1" applyBorder="1" applyAlignment="1">
      <alignment horizontal="left" vertical="center" wrapText="1"/>
    </xf>
    <xf numFmtId="0" fontId="110" fillId="6" borderId="13" xfId="0" applyFont="1" applyFill="1" applyBorder="1" applyAlignment="1">
      <alignment horizontal="left" vertical="center" wrapText="1"/>
    </xf>
    <xf numFmtId="0" fontId="110" fillId="6" borderId="61" xfId="0" applyFont="1" applyFill="1" applyBorder="1" applyAlignment="1">
      <alignment horizontal="left" vertical="center" wrapText="1"/>
    </xf>
    <xf numFmtId="0" fontId="223" fillId="6" borderId="60" xfId="0" applyFont="1" applyFill="1" applyBorder="1" applyAlignment="1">
      <alignment horizontal="left" vertical="center"/>
    </xf>
    <xf numFmtId="0" fontId="223" fillId="6" borderId="0" xfId="0" applyFont="1" applyFill="1" applyAlignment="1">
      <alignment horizontal="left" vertical="center"/>
    </xf>
    <xf numFmtId="0" fontId="251" fillId="0" borderId="0" xfId="0" applyFont="1" applyAlignment="1">
      <alignment horizontal="left" vertical="center"/>
    </xf>
    <xf numFmtId="0" fontId="110" fillId="6" borderId="4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left" vertical="center"/>
    </xf>
    <xf numFmtId="0" fontId="110" fillId="6" borderId="0" xfId="0" applyFont="1" applyFill="1" applyAlignment="1">
      <alignment horizontal="left" vertical="center"/>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24" xfId="0" applyFont="1" applyFill="1" applyBorder="1" applyAlignment="1">
      <alignment horizontal="left"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left" vertical="center"/>
    </xf>
    <xf numFmtId="0" fontId="110" fillId="6" borderId="26" xfId="0" applyFont="1" applyFill="1" applyBorder="1" applyAlignment="1">
      <alignment horizontal="left" vertical="center"/>
    </xf>
    <xf numFmtId="0" fontId="110" fillId="6" borderId="84" xfId="0" applyFont="1" applyFill="1" applyBorder="1" applyAlignment="1">
      <alignment horizontal="left"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left" vertical="center"/>
    </xf>
    <xf numFmtId="0" fontId="110" fillId="6" borderId="1" xfId="0" applyFont="1" applyFill="1" applyBorder="1" applyAlignment="1">
      <alignment horizontal="left" vertical="center"/>
    </xf>
    <xf numFmtId="0" fontId="110" fillId="0" borderId="0" xfId="0" applyFont="1" applyAlignment="1">
      <alignment horizontal="left" vertical="center"/>
    </xf>
    <xf numFmtId="0" fontId="110" fillId="6" borderId="4" xfId="0" applyFont="1" applyFill="1" applyBorder="1" applyAlignment="1">
      <alignment horizontal="left" vertical="center" wrapText="1"/>
    </xf>
    <xf numFmtId="0" fontId="110" fillId="6" borderId="2"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110" fillId="6" borderId="3" xfId="0" applyFont="1" applyFill="1" applyBorder="1" applyAlignment="1">
      <alignment horizontal="left" vertical="center" wrapText="1"/>
    </xf>
    <xf numFmtId="0" fontId="110" fillId="6" borderId="2" xfId="0" applyFont="1" applyFill="1" applyBorder="1" applyAlignment="1">
      <alignment horizontal="left" vertical="center"/>
    </xf>
    <xf numFmtId="0" fontId="115" fillId="6" borderId="60" xfId="0" applyFont="1" applyFill="1" applyBorder="1" applyAlignment="1">
      <alignment horizontal="left" vertical="center"/>
    </xf>
    <xf numFmtId="176" fontId="252" fillId="0" borderId="0" xfId="3" applyNumberFormat="1" applyFont="1" applyAlignment="1">
      <alignment horizontal="left" vertical="center"/>
    </xf>
    <xf numFmtId="176" fontId="253" fillId="6" borderId="6" xfId="3" applyNumberFormat="1" applyFont="1" applyFill="1" applyBorder="1" applyAlignment="1">
      <alignment horizontal="left" vertical="center"/>
    </xf>
    <xf numFmtId="176" fontId="253" fillId="6" borderId="9" xfId="3" applyNumberFormat="1" applyFont="1" applyFill="1" applyBorder="1" applyAlignment="1">
      <alignment horizontal="left" vertical="center"/>
    </xf>
    <xf numFmtId="176" fontId="253" fillId="6" borderId="9" xfId="3" applyNumberFormat="1" applyFont="1" applyFill="1" applyBorder="1" applyAlignment="1">
      <alignment horizontal="left" vertical="center" wrapText="1"/>
    </xf>
    <xf numFmtId="176" fontId="253" fillId="6" borderId="17" xfId="3" applyNumberFormat="1" applyFont="1" applyFill="1" applyBorder="1" applyAlignment="1">
      <alignment horizontal="left" vertical="center"/>
    </xf>
    <xf numFmtId="176" fontId="253" fillId="6" borderId="62" xfId="3" applyNumberFormat="1" applyFont="1" applyFill="1" applyBorder="1" applyAlignment="1">
      <alignment horizontal="left" vertical="center"/>
    </xf>
    <xf numFmtId="176" fontId="253" fillId="6" borderId="23" xfId="3" applyNumberFormat="1" applyFont="1" applyFill="1" applyBorder="1" applyAlignment="1">
      <alignment horizontal="left" vertical="center"/>
    </xf>
    <xf numFmtId="176" fontId="254" fillId="6" borderId="1" xfId="3" applyNumberFormat="1" applyFont="1" applyFill="1" applyBorder="1" applyAlignment="1">
      <alignment horizontal="left" vertical="center"/>
    </xf>
    <xf numFmtId="176" fontId="254" fillId="6" borderId="24" xfId="3" applyNumberFormat="1" applyFont="1" applyFill="1" applyBorder="1" applyAlignment="1">
      <alignment horizontal="left" vertical="center"/>
    </xf>
    <xf numFmtId="176" fontId="253" fillId="6" borderId="23" xfId="3" applyNumberFormat="1" applyFont="1" applyFill="1" applyBorder="1" applyAlignment="1">
      <alignment horizontal="left" vertical="center" wrapText="1"/>
    </xf>
    <xf numFmtId="176" fontId="253" fillId="6" borderId="25" xfId="3" applyNumberFormat="1" applyFont="1" applyFill="1" applyBorder="1" applyAlignment="1">
      <alignment horizontal="left" vertical="center" wrapText="1"/>
    </xf>
    <xf numFmtId="176" fontId="254" fillId="6" borderId="32" xfId="3" applyNumberFormat="1" applyFont="1" applyFill="1" applyBorder="1" applyAlignment="1">
      <alignment horizontal="left" vertical="center"/>
    </xf>
    <xf numFmtId="176" fontId="254" fillId="6" borderId="49" xfId="3" applyNumberFormat="1" applyFont="1" applyFill="1" applyBorder="1" applyAlignment="1">
      <alignment horizontal="left" vertical="center"/>
    </xf>
    <xf numFmtId="176" fontId="251" fillId="0" borderId="0" xfId="0" applyNumberFormat="1" applyFont="1" applyAlignment="1">
      <alignment horizontal="left" vertical="center"/>
    </xf>
    <xf numFmtId="176" fontId="249" fillId="0" borderId="0" xfId="0" applyNumberFormat="1" applyFont="1" applyAlignment="1">
      <alignment horizontal="left" vertical="center"/>
    </xf>
    <xf numFmtId="176" fontId="249" fillId="6" borderId="1" xfId="0" applyNumberFormat="1" applyFont="1" applyFill="1" applyBorder="1" applyAlignment="1">
      <alignment horizontal="left" vertical="center"/>
    </xf>
    <xf numFmtId="0" fontId="105" fillId="6" borderId="120"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119" xfId="9" applyFont="1" applyFill="1" applyBorder="1" applyAlignment="1">
      <alignment horizontal="left" vertical="center"/>
    </xf>
    <xf numFmtId="0" fontId="255" fillId="15" borderId="0" xfId="9" applyFont="1" applyFill="1" applyAlignment="1">
      <alignment horizontal="left" vertical="center"/>
    </xf>
    <xf numFmtId="0" fontId="246" fillId="15" borderId="121" xfId="9" applyFont="1" applyFill="1" applyBorder="1" applyAlignment="1">
      <alignment horizontal="left" vertical="center"/>
    </xf>
    <xf numFmtId="0" fontId="246" fillId="15" borderId="0" xfId="9" applyFont="1" applyFill="1" applyAlignment="1">
      <alignment horizontal="left" vertical="center"/>
    </xf>
    <xf numFmtId="0" fontId="246" fillId="17" borderId="0" xfId="9" applyFont="1" applyFill="1" applyAlignment="1">
      <alignment horizontal="left" vertical="center"/>
    </xf>
    <xf numFmtId="10" fontId="246" fillId="15" borderId="121" xfId="9" applyNumberFormat="1" applyFont="1" applyFill="1" applyBorder="1" applyAlignment="1">
      <alignment horizontal="left" vertical="center"/>
    </xf>
    <xf numFmtId="10" fontId="246" fillId="15" borderId="0" xfId="9" applyNumberFormat="1" applyFont="1" applyFill="1" applyAlignment="1">
      <alignment horizontal="left" vertical="center"/>
    </xf>
    <xf numFmtId="0" fontId="171" fillId="15" borderId="0" xfId="9" applyFont="1" applyFill="1" applyAlignment="1">
      <alignment horizontal="left" vertical="center"/>
    </xf>
    <xf numFmtId="0" fontId="171" fillId="15" borderId="163" xfId="9" applyFont="1" applyFill="1" applyBorder="1" applyAlignment="1">
      <alignment horizontal="left" vertical="center"/>
    </xf>
    <xf numFmtId="10" fontId="171" fillId="15" borderId="0" xfId="9" applyNumberFormat="1" applyFont="1" applyFill="1" applyAlignment="1">
      <alignment horizontal="left" vertical="center"/>
    </xf>
    <xf numFmtId="10" fontId="171" fillId="15" borderId="163" xfId="9" applyNumberFormat="1" applyFont="1" applyFill="1" applyBorder="1" applyAlignment="1">
      <alignment horizontal="left" vertical="center"/>
    </xf>
    <xf numFmtId="10" fontId="171" fillId="15" borderId="164" xfId="9" applyNumberFormat="1" applyFont="1" applyFill="1" applyBorder="1" applyAlignment="1">
      <alignment horizontal="left" vertical="center"/>
    </xf>
    <xf numFmtId="10" fontId="171" fillId="15" borderId="165" xfId="9" applyNumberFormat="1" applyFont="1" applyFill="1" applyBorder="1" applyAlignment="1">
      <alignment horizontal="left" vertical="center"/>
    </xf>
    <xf numFmtId="0" fontId="105" fillId="17" borderId="0" xfId="9" applyFont="1" applyFill="1" applyAlignment="1">
      <alignment horizontal="left" vertical="center"/>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102" fillId="0" borderId="163" xfId="9" applyFont="1" applyBorder="1" applyAlignment="1">
      <alignment horizontal="left" vertical="center"/>
    </xf>
    <xf numFmtId="0" fontId="102" fillId="0" borderId="164" xfId="9" applyFont="1" applyBorder="1" applyAlignment="1">
      <alignment horizontal="left" vertical="center"/>
    </xf>
    <xf numFmtId="0" fontId="102" fillId="0" borderId="165" xfId="9" applyFont="1" applyBorder="1" applyAlignment="1">
      <alignment horizontal="left" vertical="center"/>
    </xf>
    <xf numFmtId="10" fontId="102" fillId="0" borderId="163" xfId="9" applyNumberFormat="1" applyFont="1" applyBorder="1" applyAlignment="1">
      <alignment horizontal="left" vertical="center"/>
    </xf>
    <xf numFmtId="10" fontId="102" fillId="0" borderId="164" xfId="9" applyNumberFormat="1" applyFont="1" applyBorder="1" applyAlignment="1">
      <alignment horizontal="left" vertical="center"/>
    </xf>
    <xf numFmtId="10" fontId="102" fillId="0" borderId="165" xfId="9" applyNumberFormat="1" applyFont="1" applyBorder="1" applyAlignment="1">
      <alignment horizontal="left" vertical="center"/>
    </xf>
    <xf numFmtId="0" fontId="56" fillId="6" borderId="1" xfId="9" applyFont="1" applyFill="1" applyBorder="1" applyAlignment="1">
      <alignment horizontal="left" vertical="center" wrapText="1"/>
    </xf>
    <xf numFmtId="0" fontId="102" fillId="17" borderId="0" xfId="9" applyFont="1" applyFill="1" applyAlignment="1">
      <alignment horizontal="left" vertical="center"/>
    </xf>
    <xf numFmtId="0" fontId="57" fillId="21" borderId="1" xfId="9" applyFont="1" applyFill="1" applyBorder="1" applyAlignment="1">
      <alignment horizontal="left" vertical="center" wrapText="1"/>
    </xf>
    <xf numFmtId="0" fontId="256" fillId="21" borderId="125" xfId="9" applyFont="1" applyFill="1" applyBorder="1" applyAlignment="1">
      <alignment horizontal="left" vertical="center" wrapText="1"/>
    </xf>
    <xf numFmtId="0" fontId="256" fillId="21" borderId="126" xfId="9" applyFont="1" applyFill="1" applyBorder="1" applyAlignment="1">
      <alignment horizontal="left" vertical="center" wrapText="1"/>
    </xf>
    <xf numFmtId="0" fontId="256" fillId="21" borderId="126" xfId="16" applyFont="1" applyFill="1" applyBorder="1" applyAlignment="1">
      <alignment horizontal="left" vertical="center" wrapText="1"/>
    </xf>
    <xf numFmtId="0" fontId="256" fillId="21" borderId="135" xfId="16" applyFont="1" applyFill="1" applyBorder="1" applyAlignment="1">
      <alignment horizontal="left" vertical="center" wrapText="1"/>
    </xf>
    <xf numFmtId="0" fontId="256" fillId="21" borderId="130" xfId="16" applyFont="1" applyFill="1" applyBorder="1" applyAlignment="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0" fontId="147" fillId="21" borderId="0" xfId="9" applyFont="1" applyFill="1" applyAlignment="1">
      <alignment horizontal="left" vertical="center"/>
    </xf>
    <xf numFmtId="0" fontId="146" fillId="12" borderId="135" xfId="16" applyFont="1" applyFill="1" applyBorder="1" applyAlignment="1">
      <alignment horizontal="left" vertical="center" wrapText="1"/>
    </xf>
    <xf numFmtId="0" fontId="56" fillId="18" borderId="166" xfId="9" applyFont="1" applyFill="1" applyBorder="1" applyAlignment="1">
      <alignment horizontal="left" vertical="center" wrapText="1"/>
    </xf>
    <xf numFmtId="0" fontId="146" fillId="18" borderId="167" xfId="9" applyFont="1" applyFill="1" applyBorder="1" applyAlignment="1">
      <alignment horizontal="left" vertical="center" wrapText="1"/>
    </xf>
    <xf numFmtId="0" fontId="146" fillId="18" borderId="168" xfId="9" applyFont="1" applyFill="1" applyBorder="1" applyAlignment="1">
      <alignment horizontal="left" vertical="center" wrapText="1"/>
    </xf>
    <xf numFmtId="0" fontId="146" fillId="18" borderId="168" xfId="16" applyFont="1" applyFill="1" applyBorder="1" applyAlignment="1">
      <alignment horizontal="left" vertical="center" wrapText="1"/>
    </xf>
    <xf numFmtId="0" fontId="146" fillId="18" borderId="169" xfId="16" applyFont="1" applyFill="1" applyBorder="1" applyAlignment="1">
      <alignment horizontal="left" vertical="center" wrapText="1"/>
    </xf>
    <xf numFmtId="0" fontId="146" fillId="18" borderId="170" xfId="16" applyFont="1" applyFill="1" applyBorder="1" applyAlignment="1">
      <alignment horizontal="left" vertical="center" wrapText="1"/>
    </xf>
    <xf numFmtId="0" fontId="102" fillId="17" borderId="171" xfId="9" applyFont="1" applyFill="1" applyBorder="1" applyAlignment="1">
      <alignment horizontal="left" vertical="center"/>
    </xf>
    <xf numFmtId="10" fontId="102" fillId="18" borderId="172" xfId="9" applyNumberFormat="1" applyFont="1" applyFill="1" applyBorder="1" applyAlignment="1">
      <alignment horizontal="left" vertical="center"/>
    </xf>
    <xf numFmtId="10" fontId="102" fillId="18" borderId="171" xfId="9" applyNumberFormat="1" applyFont="1" applyFill="1" applyBorder="1" applyAlignment="1">
      <alignment horizontal="left" vertical="center"/>
    </xf>
    <xf numFmtId="0" fontId="102" fillId="18" borderId="171" xfId="9" applyFont="1" applyFill="1" applyBorder="1" applyAlignment="1">
      <alignment horizontal="left" vertical="center"/>
    </xf>
    <xf numFmtId="0" fontId="147" fillId="18" borderId="171" xfId="9" applyFont="1" applyFill="1" applyBorder="1" applyAlignment="1">
      <alignment horizontal="left" vertical="center"/>
    </xf>
    <xf numFmtId="0" fontId="144" fillId="0" borderId="0" xfId="9" applyFont="1">
      <alignment vertical="center"/>
    </xf>
    <xf numFmtId="0" fontId="105" fillId="0" borderId="0" xfId="9" applyFont="1">
      <alignment vertical="center"/>
    </xf>
    <xf numFmtId="10" fontId="105" fillId="21" borderId="163" xfId="9" applyNumberFormat="1" applyFont="1" applyFill="1" applyBorder="1" applyAlignment="1">
      <alignment horizontal="left" vertical="center"/>
    </xf>
    <xf numFmtId="10" fontId="105" fillId="21" borderId="164" xfId="9" applyNumberFormat="1" applyFont="1" applyFill="1" applyBorder="1" applyAlignment="1">
      <alignment horizontal="left" vertical="center"/>
    </xf>
    <xf numFmtId="10" fontId="105" fillId="21" borderId="165" xfId="9" applyNumberFormat="1" applyFont="1" applyFill="1" applyBorder="1" applyAlignment="1">
      <alignment horizontal="left" vertical="center"/>
    </xf>
    <xf numFmtId="10" fontId="102" fillId="18" borderId="173" xfId="9" applyNumberFormat="1" applyFont="1" applyFill="1" applyBorder="1" applyAlignment="1">
      <alignment horizontal="left" vertical="center"/>
    </xf>
    <xf numFmtId="10" fontId="102" fillId="18" borderId="174" xfId="9" applyNumberFormat="1" applyFont="1" applyFill="1" applyBorder="1" applyAlignment="1">
      <alignment horizontal="left" vertical="center"/>
    </xf>
    <xf numFmtId="10" fontId="102"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9" fillId="6" borderId="40" xfId="0" applyFont="1" applyFill="1" applyBorder="1" applyAlignment="1">
      <alignment horizontal="left" vertical="center"/>
    </xf>
    <xf numFmtId="0" fontId="249" fillId="6" borderId="17" xfId="0" applyFont="1" applyFill="1" applyBorder="1" applyAlignment="1">
      <alignment horizontal="left" vertical="center"/>
    </xf>
    <xf numFmtId="0" fontId="249" fillId="6" borderId="62" xfId="0" applyFont="1" applyFill="1" applyBorder="1" applyAlignment="1">
      <alignment horizontal="left" vertical="center"/>
    </xf>
    <xf numFmtId="0" fontId="258" fillId="6" borderId="47" xfId="0" applyFont="1" applyFill="1" applyBorder="1">
      <alignment vertical="center"/>
    </xf>
    <xf numFmtId="0" fontId="258" fillId="6" borderId="43" xfId="0" applyFont="1" applyFill="1" applyBorder="1" applyAlignment="1">
      <alignment horizontal="right" vertical="center"/>
    </xf>
    <xf numFmtId="0" fontId="258" fillId="6" borderId="9" xfId="0" applyFont="1" applyFill="1" applyBorder="1" applyAlignment="1">
      <alignment horizontal="left" vertical="center" wrapText="1"/>
    </xf>
    <xf numFmtId="0" fontId="259" fillId="6" borderId="19" xfId="0" applyFont="1" applyFill="1" applyBorder="1" applyAlignment="1">
      <alignment horizontal="left" vertical="center"/>
    </xf>
    <xf numFmtId="0" fontId="257" fillId="6" borderId="28" xfId="0" applyFont="1" applyFill="1" applyBorder="1" applyAlignment="1">
      <alignment horizontal="left" vertical="center"/>
    </xf>
    <xf numFmtId="0" fontId="259" fillId="6" borderId="18" xfId="0" applyFont="1" applyFill="1" applyBorder="1" applyAlignment="1">
      <alignment horizontal="left" vertical="center"/>
    </xf>
    <xf numFmtId="0" fontId="258" fillId="6" borderId="1" xfId="0" applyFont="1" applyFill="1" applyBorder="1" applyAlignment="1">
      <alignment horizontal="left" vertical="center" wrapText="1"/>
    </xf>
    <xf numFmtId="0" fontId="258" fillId="6" borderId="2" xfId="0" applyFont="1" applyFill="1" applyBorder="1" applyAlignment="1">
      <alignment horizontal="left" vertical="center" wrapText="1"/>
    </xf>
    <xf numFmtId="0" fontId="259" fillId="6" borderId="0" xfId="0" applyFont="1" applyFill="1" applyAlignment="1">
      <alignment horizontal="left" vertical="center"/>
    </xf>
    <xf numFmtId="0" fontId="257" fillId="6" borderId="32" xfId="0" applyFont="1" applyFill="1" applyBorder="1" applyAlignment="1">
      <alignment horizontal="left" vertical="center"/>
    </xf>
    <xf numFmtId="0" fontId="257" fillId="6" borderId="33" xfId="0" applyFont="1" applyFill="1" applyBorder="1" applyAlignment="1">
      <alignment horizontal="left" vertical="center"/>
    </xf>
    <xf numFmtId="0" fontId="258" fillId="6" borderId="40" xfId="0" applyFont="1" applyFill="1" applyBorder="1" applyAlignment="1">
      <alignment horizontal="left" vertical="center" wrapText="1"/>
    </xf>
    <xf numFmtId="0" fontId="258" fillId="6" borderId="74" xfId="0" applyFont="1" applyFill="1" applyBorder="1" applyAlignment="1">
      <alignment horizontal="left" vertical="center" wrapText="1"/>
    </xf>
    <xf numFmtId="0" fontId="258" fillId="6" borderId="32" xfId="0" applyFont="1" applyFill="1" applyBorder="1" applyAlignment="1">
      <alignment horizontal="left" vertical="center" wrapText="1"/>
    </xf>
    <xf numFmtId="0" fontId="258" fillId="6" borderId="14" xfId="0" applyFont="1" applyFill="1" applyBorder="1" applyAlignment="1">
      <alignment horizontal="left" vertical="center" wrapText="1"/>
    </xf>
    <xf numFmtId="0" fontId="258" fillId="6" borderId="1" xfId="18" applyNumberFormat="1" applyFont="1" applyFill="1" applyBorder="1" applyAlignment="1">
      <alignment horizontal="left" vertical="center" wrapText="1"/>
    </xf>
    <xf numFmtId="0" fontId="258" fillId="6" borderId="15"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8" fillId="6" borderId="10" xfId="0" applyFont="1" applyFill="1" applyBorder="1" applyAlignment="1">
      <alignment horizontal="left" vertical="center" wrapText="1"/>
    </xf>
    <xf numFmtId="0" fontId="258" fillId="6" borderId="24" xfId="0" applyFont="1" applyFill="1" applyBorder="1" applyAlignment="1">
      <alignment horizontal="left" vertical="center" wrapText="1"/>
    </xf>
    <xf numFmtId="0" fontId="258" fillId="6" borderId="12" xfId="0" applyFont="1" applyFill="1" applyBorder="1" applyAlignment="1">
      <alignment horizontal="left" vertical="center" wrapText="1"/>
    </xf>
    <xf numFmtId="0" fontId="258" fillId="6" borderId="49" xfId="0" applyFont="1" applyFill="1" applyBorder="1" applyAlignment="1">
      <alignment horizontal="left" vertical="center" wrapText="1"/>
    </xf>
    <xf numFmtId="0" fontId="258" fillId="6" borderId="61"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0" fontId="258" fillId="6" borderId="25" xfId="0" applyFont="1" applyFill="1" applyBorder="1" applyAlignment="1">
      <alignment horizontal="left" vertical="center" wrapText="1"/>
    </xf>
    <xf numFmtId="0" fontId="0" fillId="6" borderId="0" xfId="0" applyFill="1" applyAlignment="1">
      <alignment horizontal="left" vertical="center"/>
    </xf>
    <xf numFmtId="0" fontId="124" fillId="6" borderId="0" xfId="0" applyFont="1" applyFill="1"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113" fillId="6" borderId="6" xfId="0" applyFont="1" applyFill="1" applyBorder="1" applyAlignment="1">
      <alignment horizontal="left" vertical="center" wrapText="1"/>
    </xf>
    <xf numFmtId="0" fontId="261" fillId="6" borderId="9" xfId="0" applyFont="1" applyFill="1" applyBorder="1" applyAlignment="1">
      <alignment horizontal="left" vertical="center" wrapText="1"/>
    </xf>
    <xf numFmtId="10" fontId="262" fillId="6" borderId="9" xfId="0" applyNumberFormat="1" applyFont="1" applyFill="1" applyBorder="1" applyAlignment="1">
      <alignment horizontal="left" vertical="center" wrapText="1"/>
    </xf>
    <xf numFmtId="10" fontId="262" fillId="6" borderId="10" xfId="0" applyNumberFormat="1" applyFont="1" applyFill="1" applyBorder="1" applyAlignment="1">
      <alignment horizontal="left" vertical="center" wrapText="1"/>
    </xf>
    <xf numFmtId="0" fontId="113" fillId="6" borderId="23" xfId="0" applyFont="1" applyFill="1" applyBorder="1" applyAlignment="1">
      <alignment horizontal="left" vertical="center" wrapText="1"/>
    </xf>
    <xf numFmtId="0" fontId="261" fillId="6" borderId="1" xfId="0" applyFont="1" applyFill="1" applyBorder="1" applyAlignment="1">
      <alignment horizontal="left" vertical="center" wrapText="1"/>
    </xf>
    <xf numFmtId="10" fontId="262" fillId="6" borderId="1" xfId="0" applyNumberFormat="1" applyFont="1" applyFill="1" applyBorder="1" applyAlignment="1">
      <alignment horizontal="left" vertical="center" wrapText="1"/>
    </xf>
    <xf numFmtId="10" fontId="262" fillId="6" borderId="24" xfId="0" applyNumberFormat="1" applyFont="1" applyFill="1" applyBorder="1" applyAlignment="1">
      <alignment horizontal="left" vertical="center" wrapText="1"/>
    </xf>
    <xf numFmtId="0" fontId="113" fillId="6" borderId="11" xfId="0" applyFont="1" applyFill="1" applyBorder="1" applyAlignment="1">
      <alignment horizontal="left" vertical="center" wrapText="1"/>
    </xf>
    <xf numFmtId="0" fontId="261" fillId="6" borderId="13" xfId="0" applyFont="1" applyFill="1" applyBorder="1" applyAlignment="1">
      <alignment horizontal="left" vertical="center" wrapText="1"/>
    </xf>
    <xf numFmtId="10" fontId="262"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2" fillId="6" borderId="61" xfId="0" applyNumberFormat="1" applyFont="1" applyFill="1" applyBorder="1" applyAlignment="1">
      <alignment horizontal="left" vertical="center" wrapText="1"/>
    </xf>
    <xf numFmtId="0" fontId="263" fillId="6" borderId="1" xfId="0" applyFont="1" applyFill="1" applyBorder="1" applyAlignment="1">
      <alignment horizontal="left" vertical="center" wrapText="1"/>
    </xf>
    <xf numFmtId="0" fontId="263" fillId="6" borderId="13" xfId="0" applyFont="1" applyFill="1" applyBorder="1" applyAlignment="1">
      <alignment horizontal="left" vertical="center" wrapText="1"/>
    </xf>
    <xf numFmtId="0" fontId="261" fillId="6" borderId="6" xfId="0" applyFont="1" applyFill="1" applyBorder="1" applyAlignment="1">
      <alignment horizontal="left" vertical="center" wrapText="1"/>
    </xf>
    <xf numFmtId="0" fontId="261"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1" fillId="6" borderId="11" xfId="0" applyFont="1" applyFill="1" applyBorder="1" applyAlignment="1">
      <alignment horizontal="left" vertical="center" wrapText="1"/>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92" fontId="261" fillId="6" borderId="1" xfId="18" applyFont="1" applyFill="1" applyBorder="1" applyAlignment="1">
      <alignment horizontal="left" vertical="center" wrapText="1"/>
    </xf>
    <xf numFmtId="0" fontId="261" fillId="6" borderId="25" xfId="0" applyFont="1" applyFill="1" applyBorder="1" applyAlignment="1">
      <alignment horizontal="left" vertical="center" wrapText="1"/>
    </xf>
    <xf numFmtId="0" fontId="261" fillId="6" borderId="32" xfId="0" applyFont="1" applyFill="1" applyBorder="1" applyAlignment="1">
      <alignment horizontal="left" vertical="center" wrapText="1"/>
    </xf>
    <xf numFmtId="10" fontId="262" fillId="6" borderId="32" xfId="0" applyNumberFormat="1" applyFont="1" applyFill="1" applyBorder="1" applyAlignment="1">
      <alignment horizontal="left" vertical="center" wrapText="1"/>
    </xf>
    <xf numFmtId="10" fontId="262" fillId="6" borderId="49" xfId="0" applyNumberFormat="1" applyFont="1" applyFill="1" applyBorder="1" applyAlignment="1">
      <alignment horizontal="left" vertical="center" wrapText="1"/>
    </xf>
    <xf numFmtId="0" fontId="266" fillId="0" borderId="0" xfId="0" applyFont="1" applyAlignment="1">
      <alignment horizontal="left" vertical="center"/>
    </xf>
    <xf numFmtId="0" fontId="98" fillId="0" borderId="0" xfId="0" applyFont="1" applyAlignment="1">
      <alignment horizontal="right" vertical="center"/>
    </xf>
    <xf numFmtId="0" fontId="267" fillId="0" borderId="1" xfId="0" applyFont="1" applyBorder="1" applyAlignment="1">
      <alignment horizontal="left" vertical="center"/>
    </xf>
    <xf numFmtId="0" fontId="267" fillId="0" borderId="1" xfId="0" applyFont="1" applyBorder="1" applyAlignment="1">
      <alignment horizontal="left" vertical="center" wrapText="1"/>
    </xf>
    <xf numFmtId="0" fontId="268" fillId="0" borderId="1" xfId="0" applyFont="1" applyBorder="1" applyAlignment="1">
      <alignment horizontal="left" vertical="center"/>
    </xf>
    <xf numFmtId="0" fontId="269" fillId="0" borderId="1" xfId="0" applyFont="1" applyBorder="1" applyAlignment="1">
      <alignment horizontal="left" vertical="center" wrapText="1"/>
    </xf>
    <xf numFmtId="49" fontId="101" fillId="6" borderId="14" xfId="0" applyNumberFormat="1" applyFont="1" applyFill="1" applyBorder="1" applyAlignment="1">
      <alignment vertical="center" wrapText="1"/>
    </xf>
    <xf numFmtId="49" fontId="56" fillId="6" borderId="14" xfId="0" applyNumberFormat="1" applyFont="1" applyFill="1" applyBorder="1" applyAlignment="1">
      <alignment vertical="center" wrapText="1"/>
    </xf>
    <xf numFmtId="10" fontId="56" fillId="6" borderId="0" xfId="0" applyNumberFormat="1" applyFont="1" applyFill="1" applyAlignment="1">
      <alignment vertical="center" wrapText="1"/>
    </xf>
    <xf numFmtId="49" fontId="56" fillId="6" borderId="12" xfId="0" applyNumberFormat="1" applyFont="1" applyFill="1" applyBorder="1" applyAlignment="1">
      <alignment vertical="center" wrapText="1"/>
    </xf>
    <xf numFmtId="49" fontId="83" fillId="6" borderId="26" xfId="0" applyNumberFormat="1" applyFont="1" applyFill="1" applyBorder="1" applyAlignment="1">
      <alignment horizontal="center" vertical="center" wrapText="1"/>
    </xf>
    <xf numFmtId="0" fontId="57" fillId="6" borderId="84" xfId="0" applyFont="1" applyFill="1" applyBorder="1" applyAlignment="1">
      <alignment horizontal="left" vertical="center" wrapText="1"/>
    </xf>
    <xf numFmtId="0" fontId="56" fillId="0" borderId="34" xfId="0" applyFont="1" applyBorder="1" applyAlignment="1" applyProtection="1">
      <alignment horizontal="left" vertical="center" wrapText="1"/>
      <protection locked="0"/>
    </xf>
    <xf numFmtId="0" fontId="56" fillId="6" borderId="34" xfId="0" applyFont="1" applyFill="1" applyBorder="1" applyAlignment="1">
      <alignment horizontal="left" vertical="center" wrapText="1"/>
    </xf>
    <xf numFmtId="0" fontId="22" fillId="6" borderId="3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56" fillId="0" borderId="1" xfId="0" applyFont="1" applyBorder="1" applyAlignment="1" applyProtection="1">
      <alignment horizontal="left" vertical="center"/>
      <protection locked="0"/>
    </xf>
    <xf numFmtId="0" fontId="56" fillId="6" borderId="0" xfId="0" applyFont="1" applyFill="1" applyAlignment="1">
      <alignment horizontal="left" vertical="center" wrapText="1"/>
    </xf>
    <xf numFmtId="0" fontId="116" fillId="6" borderId="60" xfId="0" applyFont="1" applyFill="1" applyBorder="1" applyAlignment="1">
      <alignment horizontal="left" vertical="center"/>
    </xf>
    <xf numFmtId="0" fontId="116" fillId="6" borderId="71" xfId="0" applyFont="1" applyFill="1" applyBorder="1" applyAlignment="1">
      <alignment horizontal="left" vertical="center"/>
    </xf>
    <xf numFmtId="0" fontId="56" fillId="0" borderId="13" xfId="0" applyFont="1" applyBorder="1" applyAlignment="1" applyProtection="1">
      <alignment horizontal="left" vertical="center" wrapText="1"/>
      <protection locked="0"/>
    </xf>
    <xf numFmtId="0" fontId="56" fillId="0" borderId="61" xfId="0" applyFont="1" applyBorder="1" applyAlignment="1" applyProtection="1">
      <alignment horizontal="left" vertical="center" wrapText="1"/>
      <protection locked="0"/>
    </xf>
    <xf numFmtId="0" fontId="102" fillId="6" borderId="15" xfId="0" applyFont="1" applyFill="1" applyBorder="1" applyAlignment="1">
      <alignment horizontal="left" vertical="center" wrapText="1"/>
    </xf>
    <xf numFmtId="0" fontId="83" fillId="6" borderId="9" xfId="0" applyFont="1" applyFill="1" applyBorder="1" applyAlignment="1">
      <alignment horizontal="left" vertical="center" wrapText="1"/>
    </xf>
    <xf numFmtId="0" fontId="22" fillId="6" borderId="9" xfId="0" applyFont="1" applyFill="1" applyBorder="1" applyAlignment="1" applyProtection="1">
      <alignment horizontal="left" vertical="center" wrapText="1"/>
      <protection locked="0"/>
    </xf>
    <xf numFmtId="0" fontId="22" fillId="6" borderId="1" xfId="0" applyFont="1" applyFill="1" applyBorder="1" applyAlignment="1">
      <alignment horizontal="left" vertical="center"/>
    </xf>
    <xf numFmtId="0" fontId="22" fillId="6" borderId="1" xfId="0" applyFont="1" applyFill="1" applyBorder="1" applyAlignment="1">
      <alignment horizontal="left" vertical="center" wrapText="1"/>
    </xf>
    <xf numFmtId="0" fontId="57" fillId="6" borderId="2" xfId="0" applyFont="1" applyFill="1" applyBorder="1" applyAlignment="1">
      <alignment horizontal="center" vertical="center" wrapText="1"/>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83" fillId="6" borderId="6" xfId="0" applyNumberFormat="1" applyFont="1" applyFill="1" applyBorder="1" applyAlignment="1">
      <alignment horizontal="center" vertical="center" wrapText="1"/>
    </xf>
    <xf numFmtId="0" fontId="56" fillId="6" borderId="9"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left" vertical="center" wrapText="1"/>
      <protection locked="0"/>
    </xf>
    <xf numFmtId="49" fontId="101" fillId="6" borderId="23" xfId="0" applyNumberFormat="1" applyFont="1" applyFill="1" applyBorder="1" applyAlignment="1">
      <alignment vertical="center" wrapText="1"/>
    </xf>
    <xf numFmtId="0" fontId="56" fillId="6" borderId="24" xfId="0" applyFont="1" applyFill="1" applyBorder="1" applyAlignment="1" applyProtection="1">
      <alignment horizontal="left" vertical="center" wrapText="1"/>
      <protection locked="0"/>
    </xf>
    <xf numFmtId="49" fontId="101" fillId="6" borderId="25" xfId="0" applyNumberFormat="1" applyFont="1" applyFill="1" applyBorder="1" applyAlignment="1">
      <alignment vertical="center" wrapText="1"/>
    </xf>
    <xf numFmtId="0" fontId="102" fillId="6" borderId="32" xfId="0" applyFont="1" applyFill="1" applyBorder="1" applyAlignment="1">
      <alignment horizontal="left" vertical="center" wrapText="1"/>
    </xf>
    <xf numFmtId="0" fontId="56" fillId="6" borderId="32" xfId="0" applyFont="1" applyFill="1" applyBorder="1" applyAlignment="1" applyProtection="1">
      <alignment horizontal="left" vertical="center" wrapText="1"/>
      <protection locked="0"/>
    </xf>
    <xf numFmtId="0" fontId="56" fillId="0" borderId="32" xfId="0" applyFont="1" applyBorder="1" applyAlignment="1" applyProtection="1">
      <alignment horizontal="left" vertical="center" wrapText="1"/>
      <protection locked="0"/>
    </xf>
    <xf numFmtId="0" fontId="22"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0" fontId="56" fillId="6" borderId="28" xfId="0" applyFont="1" applyFill="1" applyBorder="1" applyAlignment="1">
      <alignment vertical="center" wrapText="1"/>
    </xf>
    <xf numFmtId="0" fontId="56" fillId="6" borderId="30" xfId="0" applyFont="1" applyFill="1" applyBorder="1" applyAlignment="1">
      <alignment vertical="center" wrapText="1"/>
    </xf>
    <xf numFmtId="0" fontId="56" fillId="5" borderId="84" xfId="8" applyFont="1" applyFill="1" applyBorder="1" applyAlignment="1" applyProtection="1">
      <alignment horizontal="center" vertical="center" wrapText="1"/>
      <protection locked="0"/>
    </xf>
    <xf numFmtId="10" fontId="56" fillId="6" borderId="64" xfId="0" applyNumberFormat="1" applyFont="1" applyFill="1" applyBorder="1" applyAlignment="1">
      <alignment horizontal="center" vertical="center" wrapText="1"/>
    </xf>
    <xf numFmtId="0" fontId="80" fillId="6" borderId="5" xfId="0" applyFont="1" applyFill="1" applyBorder="1">
      <alignment vertical="center"/>
    </xf>
    <xf numFmtId="0" fontId="22" fillId="6" borderId="20" xfId="0" applyFont="1" applyFill="1" applyBorder="1">
      <alignment vertical="center"/>
    </xf>
    <xf numFmtId="0" fontId="56" fillId="6" borderId="24" xfId="0" applyFont="1" applyFill="1" applyBorder="1" applyAlignment="1">
      <alignment horizontal="left" vertical="center" wrapText="1"/>
    </xf>
    <xf numFmtId="0" fontId="22" fillId="7" borderId="0" xfId="0" applyFont="1" applyFill="1" applyAlignment="1">
      <alignment horizontal="left" vertical="center" wrapText="1"/>
    </xf>
    <xf numFmtId="0" fontId="56" fillId="7" borderId="0" xfId="0" applyFont="1" applyFill="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56" fillId="6" borderId="23" xfId="0" applyFont="1" applyFill="1" applyBorder="1" applyAlignment="1">
      <alignment horizontal="left" vertical="center" wrapText="1"/>
    </xf>
    <xf numFmtId="9" fontId="56" fillId="6" borderId="25" xfId="0" applyNumberFormat="1" applyFont="1" applyFill="1" applyBorder="1" applyAlignment="1">
      <alignment horizontal="left" vertical="center" wrapText="1"/>
    </xf>
    <xf numFmtId="10" fontId="22" fillId="7" borderId="10" xfId="0" applyNumberFormat="1" applyFont="1" applyFill="1" applyBorder="1" applyAlignment="1" applyProtection="1">
      <alignment horizontal="left" vertical="center" wrapText="1"/>
      <protection locked="0"/>
    </xf>
    <xf numFmtId="10" fontId="56" fillId="7" borderId="49" xfId="0" applyNumberFormat="1"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56" fillId="6" borderId="23" xfId="0" applyFont="1" applyFill="1" applyBorder="1" applyAlignment="1">
      <alignment horizontal="left" vertical="center"/>
    </xf>
    <xf numFmtId="0" fontId="61" fillId="6" borderId="1" xfId="8" applyFont="1" applyFill="1" applyBorder="1" applyAlignment="1">
      <alignment horizontal="left" vertical="center" wrapText="1"/>
    </xf>
    <xf numFmtId="0" fontId="102" fillId="6" borderId="1" xfId="8" applyFont="1" applyFill="1" applyBorder="1" applyAlignment="1">
      <alignment horizontal="left" vertical="center"/>
    </xf>
    <xf numFmtId="0" fontId="116" fillId="0" borderId="1" xfId="8" applyFont="1" applyBorder="1" applyAlignment="1" applyProtection="1">
      <alignment horizontal="left" vertical="center"/>
      <protection locked="0"/>
    </xf>
    <xf numFmtId="0" fontId="116" fillId="6" borderId="1" xfId="8" applyFont="1" applyFill="1" applyBorder="1" applyAlignment="1">
      <alignment horizontal="left" vertical="center"/>
    </xf>
    <xf numFmtId="0" fontId="116" fillId="6" borderId="1" xfId="8" applyFont="1" applyFill="1" applyBorder="1" applyAlignment="1">
      <alignment horizontal="left" vertical="center" wrapText="1"/>
    </xf>
    <xf numFmtId="9" fontId="102" fillId="6" borderId="1" xfId="17" applyFont="1" applyFill="1" applyBorder="1" applyAlignment="1" applyProtection="1">
      <alignment horizontal="left" vertical="center" wrapText="1"/>
    </xf>
    <xf numFmtId="9" fontId="102" fillId="6" borderId="32" xfId="17" applyFont="1" applyFill="1" applyBorder="1" applyAlignment="1" applyProtection="1">
      <alignment horizontal="left" vertical="center" wrapText="1"/>
    </xf>
    <xf numFmtId="0" fontId="125" fillId="6" borderId="23" xfId="0" applyFont="1" applyFill="1" applyBorder="1" applyAlignment="1">
      <alignment horizontal="left" vertical="center" wrapText="1"/>
    </xf>
    <xf numFmtId="0" fontId="102" fillId="6" borderId="0" xfId="0" applyFont="1" applyFill="1" applyAlignment="1">
      <alignment horizontal="center" vertical="center" wrapText="1"/>
    </xf>
    <xf numFmtId="0" fontId="102" fillId="5" borderId="0" xfId="0" applyFont="1" applyFill="1" applyAlignment="1" applyProtection="1">
      <alignment horizontal="center" vertical="center" wrapText="1"/>
      <protection locked="0"/>
    </xf>
    <xf numFmtId="10" fontId="102" fillId="6" borderId="0" xfId="0" applyNumberFormat="1" applyFont="1" applyFill="1" applyAlignment="1">
      <alignment horizontal="center" vertical="center" wrapText="1"/>
    </xf>
    <xf numFmtId="10" fontId="101" fillId="0" borderId="0" xfId="0" applyNumberFormat="1" applyFont="1" applyAlignment="1" applyProtection="1">
      <alignment horizontal="center" vertical="center"/>
      <protection locked="0"/>
    </xf>
    <xf numFmtId="10" fontId="101" fillId="6" borderId="0" xfId="0" applyNumberFormat="1" applyFont="1" applyFill="1" applyAlignment="1">
      <alignment horizontal="center" vertical="center"/>
    </xf>
    <xf numFmtId="9" fontId="102" fillId="6" borderId="0" xfId="17" applyFont="1" applyFill="1" applyBorder="1" applyAlignment="1" applyProtection="1">
      <alignment horizontal="left" vertical="center" wrapText="1"/>
    </xf>
    <xf numFmtId="10" fontId="54" fillId="6" borderId="0" xfId="0" applyNumberFormat="1" applyFont="1" applyFill="1" applyAlignment="1">
      <alignment horizontal="center" vertical="center" wrapText="1"/>
    </xf>
    <xf numFmtId="0" fontId="112" fillId="6" borderId="51" xfId="0" applyFont="1" applyFill="1" applyBorder="1" applyAlignment="1">
      <alignment horizontal="left" vertical="center"/>
    </xf>
    <xf numFmtId="0" fontId="207" fillId="6" borderId="19"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102" fillId="6" borderId="25" xfId="0" applyFont="1" applyFill="1" applyBorder="1" applyAlignment="1">
      <alignment horizontal="left" vertical="center" wrapText="1"/>
    </xf>
    <xf numFmtId="0" fontId="116" fillId="6" borderId="58" xfId="0" applyFont="1" applyFill="1" applyBorder="1" applyAlignment="1">
      <alignment horizontal="left" vertical="center" wrapText="1"/>
    </xf>
    <xf numFmtId="0" fontId="56" fillId="6" borderId="61" xfId="0" applyFont="1" applyFill="1" applyBorder="1" applyAlignment="1">
      <alignment horizontal="left" vertical="center" wrapText="1"/>
    </xf>
    <xf numFmtId="0" fontId="56" fillId="6" borderId="53" xfId="0" applyFont="1" applyFill="1" applyBorder="1" applyAlignment="1">
      <alignment horizontal="left" vertical="center" wrapText="1"/>
    </xf>
    <xf numFmtId="0" fontId="56" fillId="6" borderId="76" xfId="0" applyFont="1" applyFill="1" applyBorder="1" applyAlignment="1">
      <alignment horizontal="left" vertical="center" wrapText="1"/>
    </xf>
    <xf numFmtId="0" fontId="171" fillId="0" borderId="1" xfId="0" applyFont="1" applyBorder="1" applyAlignment="1" applyProtection="1">
      <alignment horizontal="left" vertical="center" wrapText="1"/>
      <protection locked="0"/>
    </xf>
    <xf numFmtId="0" fontId="171" fillId="0" borderId="13" xfId="0" applyFont="1" applyBorder="1" applyAlignment="1" applyProtection="1">
      <alignment horizontal="left" vertical="center" wrapText="1"/>
      <protection locked="0"/>
    </xf>
    <xf numFmtId="49" fontId="102" fillId="6" borderId="0" xfId="0" applyNumberFormat="1" applyFont="1" applyFill="1" applyAlignment="1">
      <alignment horizontal="center" vertical="center" wrapText="1"/>
    </xf>
    <xf numFmtId="0" fontId="116" fillId="6" borderId="1" xfId="0" applyFont="1" applyFill="1" applyBorder="1" applyAlignment="1">
      <alignment horizontal="left" vertical="center" wrapText="1"/>
    </xf>
    <xf numFmtId="0" fontId="102" fillId="6" borderId="5" xfId="0" applyFont="1" applyFill="1" applyBorder="1" applyAlignment="1">
      <alignment horizontal="left" vertical="center"/>
    </xf>
    <xf numFmtId="0" fontId="102" fillId="6" borderId="54" xfId="0" applyFont="1" applyFill="1" applyBorder="1" applyAlignment="1">
      <alignment horizontal="left" vertical="center"/>
    </xf>
    <xf numFmtId="0" fontId="102" fillId="6" borderId="3" xfId="0" applyFont="1" applyFill="1" applyBorder="1" applyAlignment="1">
      <alignment horizontal="left" vertical="center"/>
    </xf>
    <xf numFmtId="0" fontId="102" fillId="6" borderId="0" xfId="0" applyFont="1" applyFill="1" applyAlignment="1">
      <alignment horizontal="left" vertical="center"/>
    </xf>
    <xf numFmtId="0" fontId="102" fillId="6" borderId="1" xfId="0" applyFont="1" applyFill="1" applyBorder="1" applyAlignment="1">
      <alignment horizontal="left" vertical="center"/>
    </xf>
    <xf numFmtId="0" fontId="116" fillId="6" borderId="1" xfId="0" applyFont="1" applyFill="1" applyBorder="1" applyAlignment="1">
      <alignment horizontal="left" vertical="center"/>
    </xf>
    <xf numFmtId="0" fontId="102" fillId="0" borderId="0" xfId="0" applyFont="1" applyAlignment="1">
      <alignment horizontal="left" vertical="center"/>
    </xf>
    <xf numFmtId="0" fontId="56" fillId="0" borderId="0" xfId="0" applyFont="1" applyAlignment="1" applyProtection="1">
      <alignment horizontal="left" vertical="center" wrapText="1"/>
      <protection locked="0"/>
    </xf>
    <xf numFmtId="0" fontId="56" fillId="6" borderId="15" xfId="0" applyFont="1" applyFill="1" applyBorder="1" applyAlignment="1">
      <alignment horizontal="left" vertical="center" wrapText="1"/>
    </xf>
    <xf numFmtId="0" fontId="56" fillId="6" borderId="17" xfId="0" applyFont="1" applyFill="1" applyBorder="1" applyAlignment="1">
      <alignment horizontal="left" vertical="center" wrapText="1"/>
    </xf>
    <xf numFmtId="0" fontId="116" fillId="6" borderId="19" xfId="0" applyFont="1" applyFill="1" applyBorder="1" applyAlignment="1">
      <alignment horizontal="left" vertical="center" wrapText="1"/>
    </xf>
    <xf numFmtId="0" fontId="173" fillId="6" borderId="1" xfId="3" applyFont="1" applyFill="1" applyBorder="1" applyAlignment="1">
      <alignment horizontal="left" vertical="center"/>
    </xf>
    <xf numFmtId="0" fontId="101" fillId="0" borderId="0" xfId="0" applyFont="1" applyAlignment="1">
      <alignment horizontal="left" vertical="center"/>
    </xf>
    <xf numFmtId="0" fontId="56" fillId="6" borderId="16" xfId="0" applyFont="1" applyFill="1" applyBorder="1" applyAlignment="1">
      <alignment horizontal="left" vertical="center" wrapText="1"/>
    </xf>
    <xf numFmtId="0" fontId="56" fillId="6" borderId="9" xfId="3" applyFont="1" applyFill="1" applyBorder="1" applyAlignment="1">
      <alignment horizontal="left" vertical="center"/>
    </xf>
    <xf numFmtId="0" fontId="56" fillId="6" borderId="2" xfId="3" applyFont="1" applyFill="1" applyBorder="1" applyAlignment="1">
      <alignment horizontal="left" vertical="center"/>
    </xf>
    <xf numFmtId="0" fontId="56" fillId="6" borderId="2" xfId="3" applyFont="1" applyFill="1" applyBorder="1" applyAlignment="1">
      <alignment horizontal="left" vertical="center" wrapText="1"/>
    </xf>
    <xf numFmtId="0" fontId="56" fillId="6" borderId="17" xfId="3" applyFont="1" applyFill="1" applyBorder="1" applyAlignment="1">
      <alignment horizontal="left" vertical="center"/>
    </xf>
    <xf numFmtId="0" fontId="56" fillId="6" borderId="62" xfId="3" applyFont="1" applyFill="1" applyBorder="1" applyAlignment="1">
      <alignment horizontal="left" vertical="center"/>
    </xf>
    <xf numFmtId="0" fontId="116" fillId="6" borderId="24" xfId="0" applyFont="1" applyFill="1" applyBorder="1" applyAlignment="1">
      <alignment horizontal="left" vertical="center" wrapText="1"/>
    </xf>
    <xf numFmtId="0" fontId="56" fillId="6" borderId="25" xfId="0" applyFont="1" applyFill="1" applyBorder="1" applyAlignment="1">
      <alignment horizontal="left" vertical="center" wrapText="1"/>
    </xf>
    <xf numFmtId="0" fontId="116" fillId="6" borderId="32" xfId="0" applyFont="1" applyFill="1" applyBorder="1" applyAlignment="1">
      <alignment horizontal="left" vertical="center" wrapText="1"/>
    </xf>
    <xf numFmtId="0" fontId="116" fillId="6" borderId="49" xfId="0" applyFont="1" applyFill="1" applyBorder="1" applyAlignment="1">
      <alignment horizontal="left" vertical="center" wrapText="1"/>
    </xf>
    <xf numFmtId="0" fontId="22" fillId="0" borderId="0" xfId="0" applyFont="1" applyAlignment="1">
      <alignment horizontal="left" vertical="center" wrapText="1"/>
    </xf>
    <xf numFmtId="179" fontId="116" fillId="6" borderId="15" xfId="0" applyNumberFormat="1" applyFont="1" applyFill="1" applyBorder="1" applyAlignment="1">
      <alignment horizontal="left" vertical="center" wrapText="1"/>
    </xf>
    <xf numFmtId="177" fontId="80" fillId="0" borderId="1" xfId="1" applyNumberFormat="1" applyFont="1" applyBorder="1" applyProtection="1">
      <alignment vertical="center"/>
      <protection locked="0" hidden="1"/>
    </xf>
    <xf numFmtId="177" fontId="131" fillId="0" borderId="1" xfId="1" applyNumberFormat="1" applyFont="1" applyBorder="1" applyProtection="1">
      <alignment vertical="center"/>
      <protection locked="0"/>
    </xf>
    <xf numFmtId="0" fontId="61" fillId="0" borderId="1" xfId="8" applyFont="1" applyBorder="1" applyAlignment="1">
      <alignment horizontal="center" vertical="center" wrapText="1"/>
    </xf>
    <xf numFmtId="0" fontId="22" fillId="5" borderId="1" xfId="0" applyFont="1" applyFill="1" applyBorder="1" applyAlignment="1" applyProtection="1">
      <alignment vertical="center" wrapText="1"/>
      <protection locked="0"/>
    </xf>
    <xf numFmtId="10" fontId="101" fillId="6" borderId="1" xfId="17" applyNumberFormat="1" applyFont="1" applyFill="1" applyBorder="1" applyAlignment="1" applyProtection="1">
      <alignment horizontal="left" vertical="center"/>
    </xf>
    <xf numFmtId="0" fontId="56" fillId="5" borderId="1" xfId="0" applyFont="1" applyFill="1" applyBorder="1" applyAlignment="1" applyProtection="1">
      <alignment horizontal="left" vertical="center" wrapText="1"/>
      <protection locked="0"/>
    </xf>
    <xf numFmtId="0" fontId="50" fillId="5" borderId="13" xfId="0" applyFont="1" applyFill="1" applyBorder="1" applyAlignment="1" applyProtection="1">
      <alignment horizontal="left" vertical="center" wrapText="1"/>
      <protection locked="0"/>
    </xf>
    <xf numFmtId="186" fontId="60" fillId="6" borderId="1" xfId="1" applyNumberFormat="1" applyFont="1" applyFill="1" applyBorder="1" applyAlignment="1">
      <alignment horizontal="right" vertical="center"/>
    </xf>
    <xf numFmtId="186" fontId="55" fillId="6" borderId="1" xfId="0" applyNumberFormat="1" applyFont="1" applyFill="1" applyBorder="1" applyAlignment="1">
      <alignment horizontal="right" vertical="center"/>
    </xf>
    <xf numFmtId="0" fontId="65" fillId="5" borderId="118" xfId="0" applyFont="1" applyFill="1" applyBorder="1" applyProtection="1">
      <alignment vertical="center"/>
      <protection locked="0"/>
    </xf>
    <xf numFmtId="186" fontId="60" fillId="6" borderId="2" xfId="0" applyNumberFormat="1" applyFont="1" applyFill="1" applyBorder="1" applyAlignment="1">
      <alignment horizontal="right" vertical="center"/>
    </xf>
    <xf numFmtId="179" fontId="47" fillId="0" borderId="23" xfId="0" applyNumberFormat="1" applyFont="1" applyBorder="1" applyAlignment="1" applyProtection="1">
      <alignment horizontal="center" vertical="center"/>
      <protection locked="0"/>
    </xf>
    <xf numFmtId="179" fontId="50" fillId="0" borderId="23" xfId="0" applyNumberFormat="1" applyFont="1" applyBorder="1" applyAlignment="1" applyProtection="1">
      <alignment horizontal="center" vertical="center"/>
      <protection locked="0"/>
    </xf>
    <xf numFmtId="179" fontId="47" fillId="0" borderId="23" xfId="0" applyNumberFormat="1" applyFont="1" applyBorder="1" applyProtection="1">
      <alignment vertical="center"/>
      <protection locked="0"/>
    </xf>
    <xf numFmtId="0" fontId="141" fillId="7" borderId="0" xfId="0" applyFont="1" applyFill="1" applyAlignment="1" applyProtection="1">
      <protection locked="0"/>
    </xf>
    <xf numFmtId="0" fontId="80" fillId="6" borderId="0" xfId="0" applyFont="1" applyFill="1" applyAlignment="1" applyProtection="1">
      <protection locked="0"/>
    </xf>
    <xf numFmtId="0" fontId="65" fillId="5" borderId="88" xfId="0" applyFont="1" applyFill="1" applyBorder="1" applyProtection="1">
      <alignment vertical="center"/>
      <protection locked="0"/>
    </xf>
    <xf numFmtId="176" fontId="47" fillId="0" borderId="23" xfId="0" applyNumberFormat="1" applyFont="1" applyBorder="1" applyAlignment="1" applyProtection="1">
      <alignment horizontal="center" vertical="center" wrapText="1"/>
      <protection locked="0"/>
    </xf>
    <xf numFmtId="176" fontId="47" fillId="0" borderId="3" xfId="0" applyNumberFormat="1" applyFont="1" applyBorder="1" applyAlignment="1" applyProtection="1">
      <alignment horizontal="center" vertical="center" wrapText="1"/>
      <protection locked="0"/>
    </xf>
    <xf numFmtId="0" fontId="111" fillId="6" borderId="16" xfId="0" applyFont="1" applyFill="1" applyBorder="1" applyAlignment="1">
      <alignment horizontal="left" vertical="center"/>
    </xf>
    <xf numFmtId="0" fontId="98" fillId="6" borderId="1" xfId="0" applyFont="1" applyFill="1" applyBorder="1" applyAlignment="1">
      <alignment horizontal="left" vertical="center"/>
    </xf>
    <xf numFmtId="0" fontId="163" fillId="12" borderId="1" xfId="12" applyFont="1" applyFill="1" applyBorder="1" applyAlignment="1" applyProtection="1">
      <alignment horizontal="left" vertical="center" wrapText="1"/>
      <protection locked="0"/>
    </xf>
    <xf numFmtId="9" fontId="162" fillId="12" borderId="1" xfId="12" applyNumberFormat="1" applyFill="1" applyBorder="1" applyAlignment="1" applyProtection="1">
      <alignment horizontal="left"/>
      <protection locked="0"/>
    </xf>
    <xf numFmtId="0" fontId="56" fillId="5" borderId="0" xfId="4" applyFont="1" applyFill="1" applyAlignment="1" applyProtection="1">
      <alignment vertical="center"/>
      <protection locked="0"/>
    </xf>
    <xf numFmtId="176" fontId="56" fillId="0" borderId="0" xfId="4" applyNumberFormat="1" applyFont="1" applyProtection="1">
      <protection locked="0"/>
    </xf>
    <xf numFmtId="0" fontId="162" fillId="6" borderId="1" xfId="12" applyFill="1" applyBorder="1" applyAlignment="1">
      <alignment horizontal="left"/>
    </xf>
    <xf numFmtId="0" fontId="56" fillId="5" borderId="65" xfId="0" applyFont="1" applyFill="1" applyBorder="1" applyAlignment="1" applyProtection="1">
      <alignment vertical="center" wrapText="1"/>
      <protection locked="0"/>
    </xf>
    <xf numFmtId="10" fontId="56" fillId="7" borderId="0" xfId="0" applyNumberFormat="1" applyFont="1" applyFill="1" applyAlignment="1" applyProtection="1">
      <alignment horizontal="left" vertical="center" wrapText="1"/>
      <protection locked="0"/>
    </xf>
    <xf numFmtId="0" fontId="271" fillId="0" borderId="0" xfId="9" applyFont="1">
      <alignment vertical="center"/>
    </xf>
    <xf numFmtId="0" fontId="98"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8"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1"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1" fillId="6" borderId="1" xfId="0" applyNumberFormat="1" applyFont="1" applyFill="1" applyBorder="1" applyAlignment="1" applyProtection="1">
      <alignment horizontal="left" vertical="center"/>
      <protection locked="0"/>
    </xf>
    <xf numFmtId="0" fontId="274" fillId="0" borderId="0" xfId="0" applyFont="1" applyAlignment="1" applyProtection="1">
      <alignment horizontal="left" vertical="center"/>
      <protection locked="0"/>
    </xf>
    <xf numFmtId="2" fontId="147" fillId="13" borderId="0" xfId="9" applyNumberFormat="1" applyFont="1" applyFill="1" applyAlignment="1">
      <alignment horizontal="right" vertical="center"/>
    </xf>
    <xf numFmtId="2" fontId="147" fillId="21" borderId="0" xfId="9" applyNumberFormat="1" applyFont="1" applyFill="1" applyAlignment="1">
      <alignment horizontal="right" vertical="center"/>
    </xf>
    <xf numFmtId="0" fontId="147" fillId="13" borderId="0" xfId="9" applyFont="1" applyFill="1" applyAlignment="1">
      <alignment horizontal="right" vertical="center"/>
    </xf>
    <xf numFmtId="0" fontId="147"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7" fillId="18" borderId="171" xfId="9" applyNumberFormat="1" applyFont="1" applyFill="1" applyBorder="1" applyAlignment="1">
      <alignment horizontal="right" vertical="center"/>
    </xf>
    <xf numFmtId="1" fontId="0" fillId="5" borderId="0" xfId="0" applyNumberFormat="1" applyFill="1">
      <alignment vertical="center"/>
    </xf>
    <xf numFmtId="0" fontId="110" fillId="6" borderId="74" xfId="0" applyFont="1" applyFill="1" applyBorder="1" applyAlignment="1">
      <alignment horizontal="left" vertical="center"/>
    </xf>
    <xf numFmtId="0" fontId="110" fillId="6" borderId="12" xfId="0" applyFont="1" applyFill="1" applyBorder="1" applyAlignment="1">
      <alignment horizontal="left" vertical="center"/>
    </xf>
    <xf numFmtId="0" fontId="110" fillId="6" borderId="32" xfId="0" applyFont="1" applyFill="1" applyBorder="1" applyAlignment="1">
      <alignment horizontal="left" vertical="center"/>
    </xf>
    <xf numFmtId="0" fontId="110" fillId="6" borderId="75" xfId="0" applyFont="1" applyFill="1" applyBorder="1" applyAlignment="1">
      <alignment horizontal="left" vertical="center"/>
    </xf>
    <xf numFmtId="0" fontId="110" fillId="6" borderId="73" xfId="0" applyFont="1" applyFill="1" applyBorder="1" applyAlignment="1">
      <alignment horizontal="left" vertical="center"/>
    </xf>
    <xf numFmtId="0" fontId="110" fillId="6" borderId="76" xfId="0" applyFont="1" applyFill="1" applyBorder="1" applyAlignment="1">
      <alignment horizontal="left" vertical="center"/>
    </xf>
    <xf numFmtId="0" fontId="110" fillId="6" borderId="9" xfId="0" applyFont="1" applyFill="1" applyBorder="1" applyAlignment="1">
      <alignment horizontal="left" vertical="center"/>
    </xf>
    <xf numFmtId="49" fontId="275" fillId="12" borderId="4" xfId="0" applyNumberFormat="1" applyFont="1" applyFill="1" applyBorder="1" applyAlignment="1" applyProtection="1">
      <alignment horizontal="left" vertical="center"/>
      <protection locked="0"/>
    </xf>
    <xf numFmtId="0" fontId="80" fillId="12" borderId="0" xfId="0" applyFont="1" applyFill="1" applyProtection="1">
      <alignment vertical="center"/>
      <protection locked="0"/>
    </xf>
    <xf numFmtId="179" fontId="131" fillId="12" borderId="0" xfId="0" applyNumberFormat="1" applyFont="1" applyFill="1" applyProtection="1">
      <alignment vertical="center"/>
      <protection locked="0"/>
    </xf>
    <xf numFmtId="0" fontId="3" fillId="12" borderId="0" xfId="12" applyFont="1" applyFill="1" applyAlignment="1" applyProtection="1">
      <alignment horizontal="left"/>
      <protection locked="0"/>
    </xf>
    <xf numFmtId="0" fontId="103" fillId="6" borderId="1" xfId="0" applyFont="1" applyFill="1" applyBorder="1" applyAlignment="1">
      <alignment horizontal="left" vertical="center" wrapText="1"/>
    </xf>
    <xf numFmtId="0" fontId="276" fillId="0" borderId="0" xfId="0" applyFont="1" applyAlignment="1" applyProtection="1">
      <alignment horizontal="left" vertical="center"/>
      <protection locked="0"/>
    </xf>
    <xf numFmtId="183" fontId="276" fillId="0" borderId="0" xfId="0" applyNumberFormat="1" applyFont="1" applyAlignment="1" applyProtection="1">
      <alignment horizontal="left" vertical="center"/>
      <protection locked="0"/>
    </xf>
    <xf numFmtId="0" fontId="276" fillId="0" borderId="0" xfId="0" applyFont="1" applyAlignment="1" applyProtection="1">
      <alignment horizontal="left" vertical="center" wrapText="1"/>
      <protection locked="0"/>
    </xf>
    <xf numFmtId="183" fontId="276" fillId="0" borderId="0" xfId="0" applyNumberFormat="1" applyFont="1" applyAlignment="1" applyProtection="1">
      <alignment horizontal="left" vertical="center" wrapText="1"/>
      <protection locked="0"/>
    </xf>
    <xf numFmtId="0" fontId="2" fillId="12" borderId="0" xfId="12" applyFont="1" applyFill="1" applyAlignment="1" applyProtection="1">
      <alignment horizontal="left"/>
      <protection locked="0"/>
    </xf>
    <xf numFmtId="0" fontId="189"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9" fillId="0" borderId="87" xfId="7" applyFont="1" applyBorder="1" applyAlignment="1">
      <alignment horizontal="center" vertical="center"/>
    </xf>
    <xf numFmtId="0" fontId="133" fillId="0" borderId="0" xfId="7" applyFont="1" applyAlignment="1">
      <alignment horizontal="left" vertical="center" wrapText="1"/>
    </xf>
    <xf numFmtId="0" fontId="199"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54" xfId="0" applyFont="1" applyBorder="1" applyAlignment="1">
      <alignment horizontal="center" vertical="center" wrapText="1"/>
    </xf>
    <xf numFmtId="0" fontId="64" fillId="0" borderId="3" xfId="0" applyFont="1" applyBorder="1" applyAlignment="1">
      <alignment horizontal="center" vertical="center" wrapText="1"/>
    </xf>
    <xf numFmtId="0" fontId="208" fillId="0" borderId="0" xfId="0" applyFont="1" applyAlignment="1">
      <alignment horizontal="center" vertical="center"/>
    </xf>
    <xf numFmtId="0" fontId="64" fillId="0" borderId="44" xfId="0" applyFont="1" applyBorder="1" applyAlignment="1">
      <alignment horizontal="center" vertical="center" wrapText="1"/>
    </xf>
    <xf numFmtId="0" fontId="128" fillId="0" borderId="0" xfId="0" applyFont="1" applyAlignment="1">
      <alignment horizontal="left" vertical="center" wrapText="1"/>
    </xf>
    <xf numFmtId="192" fontId="203" fillId="0" borderId="0" xfId="0" applyNumberFormat="1" applyFont="1" applyAlignment="1" applyProtection="1">
      <alignment horizontal="right" vertical="center"/>
      <protection locked="0"/>
    </xf>
    <xf numFmtId="0" fontId="216" fillId="0" borderId="0" xfId="0" applyFont="1" applyAlignment="1" applyProtection="1">
      <alignment horizontal="left" vertical="center" wrapText="1"/>
      <protection locked="0"/>
    </xf>
    <xf numFmtId="0" fontId="101" fillId="0" borderId="0" xfId="0" applyFont="1" applyAlignment="1">
      <alignment vertical="center" wrapText="1"/>
    </xf>
    <xf numFmtId="0" fontId="169" fillId="0" borderId="0" xfId="0" applyFont="1" applyAlignment="1" applyProtection="1">
      <alignment vertical="center" wrapText="1"/>
      <protection locked="0"/>
    </xf>
    <xf numFmtId="0" fontId="127" fillId="0" borderId="0" xfId="0" applyFont="1" applyAlignment="1">
      <alignment horizontal="left" vertical="center" wrapText="1"/>
    </xf>
    <xf numFmtId="0" fontId="199" fillId="0" borderId="0" xfId="0" applyFont="1" applyAlignment="1">
      <alignment horizontal="left" vertical="center"/>
    </xf>
    <xf numFmtId="0" fontId="199" fillId="0" borderId="0" xfId="0" applyFont="1" applyAlignment="1">
      <alignment horizontal="justify" vertical="center" wrapText="1"/>
    </xf>
    <xf numFmtId="0" fontId="64" fillId="0" borderId="0" xfId="0" applyFont="1" applyAlignment="1">
      <alignment horizontal="left" vertical="center" wrapText="1"/>
    </xf>
    <xf numFmtId="0" fontId="220"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8" fillId="6" borderId="0" xfId="0" applyFont="1" applyFill="1" applyAlignment="1">
      <alignment horizontal="center" vertical="center" wrapText="1"/>
    </xf>
    <xf numFmtId="0" fontId="249" fillId="6" borderId="60" xfId="0" applyFont="1" applyFill="1" applyBorder="1" applyAlignment="1">
      <alignment horizontal="left"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1" fillId="0" borderId="4" xfId="0" applyNumberFormat="1" applyFont="1" applyBorder="1" applyAlignment="1" applyProtection="1">
      <alignment horizontal="left" vertical="center"/>
      <protection locked="0"/>
    </xf>
    <xf numFmtId="49" fontId="171" fillId="0" borderId="54" xfId="0" applyNumberFormat="1" applyFont="1" applyBorder="1" applyAlignment="1" applyProtection="1">
      <alignment horizontal="left" vertical="center"/>
      <protection locked="0"/>
    </xf>
    <xf numFmtId="49" fontId="171" fillId="0" borderId="3" xfId="0" applyNumberFormat="1" applyFont="1" applyBorder="1" applyAlignment="1" applyProtection="1">
      <alignment horizontal="left" vertical="center"/>
      <protection locked="0"/>
    </xf>
    <xf numFmtId="0" fontId="171" fillId="0" borderId="5" xfId="0" applyFont="1" applyBorder="1" applyAlignment="1" applyProtection="1">
      <alignment horizontal="left" vertical="center"/>
      <protection locked="0"/>
    </xf>
    <xf numFmtId="0" fontId="171" fillId="0" borderId="54" xfId="0" applyFont="1" applyBorder="1" applyAlignment="1" applyProtection="1">
      <alignment horizontal="left" vertical="center"/>
      <protection locked="0"/>
    </xf>
    <xf numFmtId="0" fontId="171" fillId="0" borderId="3" xfId="0" applyFont="1" applyBorder="1" applyAlignment="1" applyProtection="1">
      <alignment horizontal="left" vertical="center"/>
      <protection locked="0"/>
    </xf>
    <xf numFmtId="49" fontId="171" fillId="7" borderId="5" xfId="0" applyNumberFormat="1" applyFont="1" applyFill="1" applyBorder="1" applyAlignment="1" applyProtection="1">
      <alignment horizontal="left" vertical="center"/>
      <protection locked="0"/>
    </xf>
    <xf numFmtId="49" fontId="171" fillId="7" borderId="54" xfId="0" applyNumberFormat="1" applyFont="1" applyFill="1" applyBorder="1" applyAlignment="1" applyProtection="1">
      <alignment horizontal="left" vertical="center"/>
      <protection locked="0"/>
    </xf>
    <xf numFmtId="49" fontId="171" fillId="7" borderId="3" xfId="0" applyNumberFormat="1" applyFont="1" applyFill="1" applyBorder="1" applyAlignment="1" applyProtection="1">
      <alignment horizontal="left" vertical="center"/>
      <protection locked="0"/>
    </xf>
    <xf numFmtId="49" fontId="171" fillId="7" borderId="85" xfId="0" applyNumberFormat="1" applyFont="1" applyFill="1" applyBorder="1" applyAlignment="1" applyProtection="1">
      <alignment horizontal="left" vertical="center"/>
      <protection locked="0"/>
    </xf>
    <xf numFmtId="49" fontId="171" fillId="7" borderId="88" xfId="0" applyNumberFormat="1" applyFont="1" applyFill="1" applyBorder="1" applyAlignment="1" applyProtection="1">
      <alignment horizontal="left" vertical="center"/>
      <protection locked="0"/>
    </xf>
    <xf numFmtId="49" fontId="171" fillId="7" borderId="118" xfId="0" applyNumberFormat="1" applyFont="1" applyFill="1" applyBorder="1" applyAlignment="1" applyProtection="1">
      <alignment horizontal="left" vertical="center"/>
      <protection locked="0"/>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28" fillId="6" borderId="23" xfId="0" applyFont="1" applyFill="1" applyBorder="1" applyAlignment="1">
      <alignment horizontal="left" vertical="center"/>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29" fillId="6" borderId="1" xfId="0" applyFont="1" applyFill="1" applyBorder="1" applyAlignment="1" applyProtection="1">
      <alignment horizontal="center" vertical="center" wrapText="1"/>
      <protection locked="0"/>
    </xf>
    <xf numFmtId="191"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7"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7" fillId="6" borderId="5" xfId="0" applyFont="1" applyFill="1" applyBorder="1" applyAlignment="1">
      <alignment horizontal="center" vertical="center"/>
    </xf>
    <xf numFmtId="0" fontId="207" fillId="6" borderId="3"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69" fillId="0" borderId="11" xfId="0" applyFont="1" applyBorder="1" applyAlignment="1" applyProtection="1">
      <alignment horizontal="center" vertical="center" wrapText="1"/>
      <protection locked="0"/>
    </xf>
    <xf numFmtId="0" fontId="169" fillId="0" borderId="61" xfId="0" applyFont="1" applyBorder="1" applyAlignment="1" applyProtection="1">
      <alignment horizontal="center" vertical="center" wrapText="1"/>
      <protection locked="0"/>
    </xf>
    <xf numFmtId="0" fontId="169" fillId="0" borderId="23" xfId="0" applyFont="1" applyBorder="1" applyAlignment="1" applyProtection="1">
      <alignment horizontal="center" vertical="center" wrapText="1"/>
      <protection locked="0"/>
    </xf>
    <xf numFmtId="0" fontId="169"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69" fillId="0" borderId="22" xfId="0" applyFont="1" applyBorder="1" applyAlignment="1" applyProtection="1">
      <alignment horizontal="center" vertical="center" wrapText="1"/>
      <protection locked="0"/>
    </xf>
    <xf numFmtId="0" fontId="169" fillId="0" borderId="46" xfId="0" applyFont="1" applyBorder="1" applyAlignment="1" applyProtection="1">
      <alignment horizontal="center" vertical="center" wrapText="1"/>
      <protection locked="0"/>
    </xf>
    <xf numFmtId="0" fontId="169" fillId="0" borderId="3" xfId="0" applyFont="1" applyBorder="1" applyAlignment="1" applyProtection="1">
      <alignment horizontal="center" vertical="center" wrapText="1"/>
      <protection locked="0"/>
    </xf>
    <xf numFmtId="0" fontId="169" fillId="0" borderId="5" xfId="0" applyFont="1" applyBorder="1" applyAlignment="1" applyProtection="1">
      <alignment horizontal="center" vertical="center" wrapText="1"/>
      <protection locked="0"/>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5" fontId="54" fillId="6" borderId="1" xfId="0" applyNumberFormat="1" applyFont="1" applyFill="1" applyBorder="1" applyAlignment="1">
      <alignment horizontal="center" vertical="center"/>
    </xf>
    <xf numFmtId="185"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02" fillId="6" borderId="13" xfId="0" applyFont="1" applyFill="1" applyBorder="1" applyAlignment="1">
      <alignment horizontal="left" vertical="center"/>
    </xf>
    <xf numFmtId="0" fontId="102" fillId="6" borderId="15" xfId="0" applyFont="1" applyFill="1" applyBorder="1" applyAlignment="1">
      <alignment horizontal="left" vertical="center"/>
    </xf>
    <xf numFmtId="0" fontId="102" fillId="6" borderId="2" xfId="0" applyFont="1" applyFill="1" applyBorder="1" applyAlignment="1">
      <alignment horizontal="left" vertical="center"/>
    </xf>
    <xf numFmtId="0" fontId="102" fillId="0" borderId="0" xfId="0" applyFont="1" applyAlignment="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83"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105" fillId="6" borderId="0" xfId="0" applyFont="1" applyFill="1" applyAlignment="1">
      <alignment horizontal="left" vertical="center"/>
    </xf>
    <xf numFmtId="0" fontId="102" fillId="6" borderId="1" xfId="0" applyFont="1" applyFill="1" applyBorder="1" applyAlignment="1">
      <alignment horizontal="left"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10" fillId="6" borderId="1" xfId="0" applyFont="1" applyFill="1" applyBorder="1" applyAlignment="1">
      <alignment horizontal="left" vertical="center"/>
    </xf>
    <xf numFmtId="0" fontId="110" fillId="6" borderId="13" xfId="0" applyFont="1" applyFill="1" applyBorder="1" applyAlignment="1">
      <alignment horizontal="left" vertical="center"/>
    </xf>
    <xf numFmtId="0" fontId="110" fillId="6" borderId="2" xfId="0" applyFont="1" applyFill="1" applyBorder="1" applyAlignment="1">
      <alignment horizontal="left" vertical="center"/>
    </xf>
    <xf numFmtId="0" fontId="110" fillId="6" borderId="15" xfId="0" applyFont="1" applyFill="1" applyBorder="1" applyAlignment="1">
      <alignment horizontal="left" vertical="center"/>
    </xf>
    <xf numFmtId="0" fontId="110" fillId="6" borderId="9" xfId="0" applyFont="1" applyFill="1" applyBorder="1" applyAlignment="1">
      <alignment horizontal="left" vertical="center"/>
    </xf>
    <xf numFmtId="0" fontId="110" fillId="6" borderId="32" xfId="0" applyFont="1" applyFill="1" applyBorder="1" applyAlignment="1">
      <alignment horizontal="left" vertical="center"/>
    </xf>
    <xf numFmtId="0" fontId="110" fillId="6" borderId="40" xfId="0" applyFont="1" applyFill="1" applyBorder="1" applyAlignment="1">
      <alignment horizontal="left" vertical="center"/>
    </xf>
    <xf numFmtId="0" fontId="110" fillId="6" borderId="14" xfId="0" applyFont="1" applyFill="1" applyBorder="1" applyAlignment="1">
      <alignment horizontal="left" vertical="center"/>
    </xf>
    <xf numFmtId="0" fontId="110" fillId="6" borderId="12" xfId="0" applyFont="1" applyFill="1" applyBorder="1" applyAlignment="1">
      <alignment horizontal="left" vertical="center"/>
    </xf>
    <xf numFmtId="0" fontId="110" fillId="6" borderId="17" xfId="0" applyFont="1" applyFill="1" applyBorder="1" applyAlignment="1">
      <alignment horizontal="left" vertical="center"/>
    </xf>
    <xf numFmtId="0" fontId="110" fillId="6" borderId="74" xfId="0" applyFont="1" applyFill="1" applyBorder="1" applyAlignment="1">
      <alignment horizontal="left" vertical="center"/>
    </xf>
    <xf numFmtId="0" fontId="110" fillId="6" borderId="6" xfId="0" applyFont="1" applyFill="1" applyBorder="1" applyAlignment="1">
      <alignment horizontal="left" vertical="center"/>
    </xf>
    <xf numFmtId="0" fontId="110" fillId="6" borderId="23" xfId="0" applyFont="1" applyFill="1" applyBorder="1" applyAlignment="1">
      <alignment horizontal="left" vertical="center"/>
    </xf>
    <xf numFmtId="0" fontId="110" fillId="6" borderId="25" xfId="0" applyFont="1" applyFill="1" applyBorder="1" applyAlignment="1">
      <alignment horizontal="left" vertical="center"/>
    </xf>
    <xf numFmtId="0" fontId="124" fillId="6" borderId="0" xfId="0" applyFont="1" applyFill="1" applyAlignment="1">
      <alignment horizontal="left" vertical="center"/>
    </xf>
    <xf numFmtId="0" fontId="266" fillId="0" borderId="0" xfId="0" applyFont="1" applyAlignment="1">
      <alignment horizontal="center" vertical="center"/>
    </xf>
    <xf numFmtId="0" fontId="266" fillId="0" borderId="35" xfId="0" applyFont="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3" xfId="9"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0" xfId="0" applyFont="1" applyFill="1" applyAlignment="1">
      <alignment horizontal="center" vertical="center"/>
    </xf>
    <xf numFmtId="0" fontId="257"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526949</xdr:colOff>
      <xdr:row>39</xdr:row>
      <xdr:rowOff>141678</xdr:rowOff>
    </xdr:to>
    <xdr:pic>
      <xdr:nvPicPr>
        <xdr:cNvPr id="2" name="图片 1">
          <a:extLst>
            <a:ext uri="{FF2B5EF4-FFF2-40B4-BE49-F238E27FC236}">
              <a16:creationId xmlns:a16="http://schemas.microsoft.com/office/drawing/2014/main" id="{21247D47-0853-5A87-F1C2-14B54CCF47BB}"/>
            </a:ext>
          </a:extLst>
        </xdr:cNvPr>
        <xdr:cNvPicPr>
          <a:picLocks noChangeAspect="1"/>
        </xdr:cNvPicPr>
      </xdr:nvPicPr>
      <xdr:blipFill>
        <a:blip xmlns:r="http://schemas.openxmlformats.org/officeDocument/2006/relationships" r:embed="rId1"/>
        <a:stretch>
          <a:fillRect/>
        </a:stretch>
      </xdr:blipFill>
      <xdr:spPr>
        <a:xfrm>
          <a:off x="0" y="0"/>
          <a:ext cx="9061349" cy="70758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北京市平谷区府前西街18号院1号楼14层2单元1406房地产抵押价值预评估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受贵公司委托，我公司对北京市平谷区府前西街18号院1号楼14层2单元1406房地产抵押价值进行了预评估。</v>
      </c>
    </row>
    <row r="7" spans="1:2">
      <c r="A7" s="1119" t="s">
        <v>566</v>
      </c>
      <c r="B7" s="1120" t="str">
        <f>'预评函-1'!A7</f>
        <v>估价对象为北京市平谷区府前西街18号院1号楼14层2单元1406房地产，为所有。根据《国有土地使用证》[]，估价对象（分摊）出让国有建设用地使用权面积为0平方米，建筑面积为80.38平方米。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14层2单元1406房地产,属开发建设的办公项目，该项目尚在开发建设中。根据《国有土地使用证》[]，估价对象（分摊）出让国有建设用地使用权面积为0平方米，规划建筑面积为80.38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府前西街18号院1号楼14层2单元1406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92.45</v>
      </c>
    </row>
    <row r="21" spans="1:2">
      <c r="A21" s="1119" t="s">
        <v>537</v>
      </c>
      <c r="B21" s="1120">
        <f ca="1">'预评函-2'!D7</f>
        <v>11501</v>
      </c>
    </row>
    <row r="22" spans="1:2">
      <c r="A22" s="1119" t="s">
        <v>538</v>
      </c>
      <c r="B22" s="1120" t="str">
        <f ca="1">'预评函-2'!D6</f>
        <v>玖拾贰万肆仟伍佰元整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92.45</v>
      </c>
    </row>
    <row r="31" spans="1:2">
      <c r="A31" s="1119" t="s">
        <v>576</v>
      </c>
      <c r="B31" s="1120">
        <f ca="1">'预评函-2'!D15</f>
        <v>11501</v>
      </c>
    </row>
    <row r="32" spans="1:2">
      <c r="A32" s="1119" t="s">
        <v>543</v>
      </c>
      <c r="B32" s="1120" t="str">
        <f ca="1">'预评函-2'!D14</f>
        <v>玖拾贰万肆仟伍佰元整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北京市平谷区府前西街18号院1号楼14层2单元1406房地产</v>
      </c>
    </row>
    <row r="42" spans="1:2" ht="30">
      <c r="A42" s="1119" t="s">
        <v>590</v>
      </c>
      <c r="B42" s="1120" t="str">
        <f>'预评函-3'!B2</f>
        <v>建筑面积</v>
      </c>
    </row>
    <row r="43" spans="1:2">
      <c r="A43" s="1119" t="s">
        <v>591</v>
      </c>
      <c r="B43" s="1120">
        <f>'预评函-3'!B4</f>
        <v>80.38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府前西街18号院1号楼14层2单元1406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0" t="s">
        <v>2580</v>
      </c>
      <c r="J2" s="3220"/>
      <c r="K2" s="3220"/>
      <c r="L2" s="3220"/>
      <c r="M2" s="3220"/>
      <c r="N2" s="3220"/>
      <c r="O2" s="3220"/>
      <c r="P2" s="3220"/>
      <c r="Q2" s="3220"/>
      <c r="R2" s="3220"/>
    </row>
    <row r="3" spans="1:18">
      <c r="A3" s="2762" t="s">
        <v>2501</v>
      </c>
      <c r="B3" s="2763">
        <f>项目基本情况!D3</f>
        <v>45950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42" sqref="E4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北京市平谷区府前西街18号院1号楼14层2单元1406房地产抵押价值预评估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北京市平谷区府前西街18号院1号楼14层2单元1406房地产抵押价值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北京市平谷区府前西街18号院1号楼14层2单元1406房地产</v>
      </c>
      <c r="T2" s="1618"/>
      <c r="U2" s="1618"/>
      <c r="V2" s="1618"/>
      <c r="W2" s="1618"/>
      <c r="X2" s="1618"/>
      <c r="Y2" s="1618"/>
      <c r="Z2" s="1618"/>
      <c r="AA2" s="1618"/>
      <c r="AB2" s="1618"/>
    </row>
    <row r="3" spans="1:30" ht="13">
      <c r="A3" s="294" t="s">
        <v>2170</v>
      </c>
      <c r="B3" s="2185"/>
      <c r="C3" s="2186" t="s">
        <v>2171</v>
      </c>
      <c r="D3" s="2185">
        <v>45950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1"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32"/>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169" t="s">
        <v>3421</v>
      </c>
      <c r="G10" s="2444"/>
      <c r="H10" s="2445"/>
      <c r="I10" s="2446"/>
      <c r="J10" s="2245"/>
      <c r="K10" s="2402"/>
      <c r="L10" s="2399"/>
      <c r="M10" s="2399"/>
      <c r="N10" s="2245"/>
      <c r="O10" s="1670"/>
      <c r="P10" s="2245"/>
      <c r="Q10" s="2245"/>
      <c r="R10" s="2245"/>
    </row>
    <row r="11" spans="1:30" ht="13">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56773</v>
      </c>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29.65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8"/>
      <c r="C16" s="3239"/>
      <c r="D16" s="3240"/>
      <c r="E16" s="2222" t="s">
        <v>2194</v>
      </c>
      <c r="F16" s="3241"/>
      <c r="G16" s="3242"/>
      <c r="H16" s="3242"/>
      <c r="I16" s="3243"/>
      <c r="J16" s="2245"/>
      <c r="K16" s="2403"/>
      <c r="L16" s="1670"/>
      <c r="M16" s="1670"/>
      <c r="N16" s="2245"/>
      <c r="O16" s="1670"/>
      <c r="P16" s="2245"/>
      <c r="Q16" s="2245"/>
      <c r="R16" s="2245"/>
    </row>
    <row r="17" spans="1:28" ht="13">
      <c r="A17" s="305" t="s">
        <v>2195</v>
      </c>
      <c r="B17" s="294" t="s">
        <v>2196</v>
      </c>
      <c r="C17" s="8">
        <f>'数据-汇总表'!E3</f>
        <v>80.38</v>
      </c>
      <c r="D17" s="1256" t="s">
        <v>2197</v>
      </c>
      <c r="E17" s="3244" t="s">
        <v>2198</v>
      </c>
      <c r="F17" s="3245"/>
      <c r="G17" s="3245"/>
      <c r="H17" s="3245"/>
      <c r="I17" s="3246"/>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7" t="s">
        <v>2202</v>
      </c>
      <c r="F18" s="3248"/>
      <c r="G18" s="3248"/>
      <c r="H18" s="3248"/>
      <c r="I18" s="3249"/>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3422</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4" t="s">
        <v>2206</v>
      </c>
      <c r="C20" s="3235"/>
      <c r="D20" s="3236" t="s">
        <v>2207</v>
      </c>
      <c r="E20" s="3237"/>
      <c r="F20" s="2430" t="s">
        <v>1056</v>
      </c>
      <c r="G20" s="2442"/>
      <c r="H20" s="2442"/>
      <c r="I20" s="2442"/>
      <c r="J20" s="2245"/>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2" t="s">
        <v>2214</v>
      </c>
      <c r="B27" s="312" t="s">
        <v>2215</v>
      </c>
      <c r="C27" s="2225" t="s">
        <v>3424</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3"/>
      <c r="B30" s="294" t="s">
        <v>2218</v>
      </c>
      <c r="C30" s="3224"/>
      <c r="D30" s="3225"/>
      <c r="E30" s="2442"/>
      <c r="F30" s="2442"/>
      <c r="G30" s="2442"/>
      <c r="H30" s="2442"/>
      <c r="I30" s="2442"/>
      <c r="J30" s="2245"/>
      <c r="K30" s="2402"/>
      <c r="L30" s="2399"/>
      <c r="M30" s="2399"/>
      <c r="N30" s="2245"/>
      <c r="O30" s="1670"/>
      <c r="P30" s="2245"/>
      <c r="Q30" s="2245"/>
      <c r="R30" s="2245"/>
      <c r="S30" s="2245"/>
      <c r="T30" s="2245"/>
      <c r="U30" s="2245"/>
      <c r="V30" s="2245"/>
    </row>
    <row r="31" spans="1:28">
      <c r="A31" s="3226" t="s">
        <v>2219</v>
      </c>
      <c r="B31" s="2231" t="s">
        <v>3423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5"/>
      <c r="V34" s="2245"/>
    </row>
    <row r="35" spans="1:30">
      <c r="A35" s="2236"/>
      <c r="B35" s="3221" t="s">
        <v>2229</v>
      </c>
      <c r="C35" s="3221"/>
      <c r="D35" s="3221"/>
      <c r="E35" s="322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t="s">
        <v>305</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3425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80.38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80.38</v>
      </c>
      <c r="H5" s="13">
        <f t="shared" ref="H5:AT5" si="0">SUM(H13:H656)</f>
        <v>80.38</v>
      </c>
      <c r="I5" s="13">
        <f t="shared" si="0"/>
        <v>80.38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80.38</v>
      </c>
      <c r="BA5" s="15">
        <f t="shared" si="1"/>
        <v>80.38</v>
      </c>
      <c r="BB5" s="15">
        <f t="shared" si="1"/>
        <v>80.38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1406</v>
      </c>
      <c r="D13" s="1513" t="s">
        <v>3422</v>
      </c>
      <c r="E13" s="13">
        <f>IF($C$3="是",ROUND($A$3*G13/$B$3,2),ROUND($A$3*(G13-AT13)/$B$3,2))</f>
        <v>0</v>
      </c>
      <c r="F13" s="29"/>
      <c r="G13" s="30">
        <f>H13+AC13+AT13</f>
        <v>80.38</v>
      </c>
      <c r="H13" s="17">
        <f>SUMIF(I$12:AB$12,"总值",I13:AB13)</f>
        <v>80.38</v>
      </c>
      <c r="I13" s="1514">
        <v>80.38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1406</v>
      </c>
      <c r="AY13" s="1260">
        <f>ROUND($AY$6*AZ13/$AZ$5,2)</f>
        <v>0</v>
      </c>
      <c r="AZ13" s="13">
        <f>BA13+BL13</f>
        <v>80.38</v>
      </c>
      <c r="BA13" s="13">
        <f>SUM(BB13:BK13)</f>
        <v>80.38</v>
      </c>
      <c r="BB13" s="13">
        <f>IF($D13="是",I13-J13,0)</f>
        <v>80.38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9"/>
      <c r="G2" s="2432"/>
      <c r="H2" s="2433"/>
      <c r="I2" s="2146" t="s">
        <v>1132</v>
      </c>
      <c r="J2" s="2439"/>
      <c r="K2" s="2439"/>
      <c r="L2" s="2439"/>
      <c r="M2" s="2439"/>
      <c r="N2" s="2440"/>
      <c r="O2" s="2439"/>
      <c r="P2" s="2439"/>
    </row>
    <row r="3" spans="1:16" ht="14.5" thickBot="1">
      <c r="A3" s="3260" t="s">
        <v>1105</v>
      </c>
      <c r="B3" s="3260"/>
      <c r="C3" s="3260"/>
      <c r="D3" s="41">
        <f>'数据-基础表'!AY6</f>
        <v>0</v>
      </c>
      <c r="E3" s="41">
        <f>'数据-基础表'!AZ5</f>
        <v>80.38</v>
      </c>
      <c r="F3" s="2439"/>
      <c r="G3" s="42"/>
      <c r="H3" s="43" t="s">
        <v>1106</v>
      </c>
      <c r="I3" s="802" t="e">
        <f>ROUND('数据-基础表'!B3/'数据-基础表'!A3,2)</f>
        <v>#DIV/0!</v>
      </c>
      <c r="J3" s="2439"/>
      <c r="K3" s="2439"/>
      <c r="L3" s="2439"/>
      <c r="M3" s="2439"/>
      <c r="N3" s="2440"/>
      <c r="O3" s="2439"/>
      <c r="P3" s="2439"/>
    </row>
    <row r="4" spans="1:16">
      <c r="A4" s="3261"/>
      <c r="B4" s="3262"/>
      <c r="C4" s="326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4" t="s">
        <v>1110</v>
      </c>
      <c r="C5" s="326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4" t="s">
        <v>1111</v>
      </c>
      <c r="C6" s="3264"/>
      <c r="D6" s="43">
        <f>ROUND($D$3*E6/$E$3,2)</f>
        <v>0</v>
      </c>
      <c r="E6" s="44">
        <f>E3-E5</f>
        <v>80.38</v>
      </c>
      <c r="F6" s="2439"/>
      <c r="G6" s="1529" t="s">
        <v>1112</v>
      </c>
      <c r="H6" s="45" t="s">
        <v>1113</v>
      </c>
      <c r="I6" s="2435" t="e">
        <f>ROUND(F31/D31,2)</f>
        <v>#DIV/0!</v>
      </c>
      <c r="J6" s="2439"/>
      <c r="K6" s="2439"/>
      <c r="L6" s="2439"/>
      <c r="M6" s="2439"/>
      <c r="N6" s="2439"/>
      <c r="O6" s="2439"/>
      <c r="P6" s="2439"/>
    </row>
    <row r="7" spans="1:16" ht="14.5" thickBot="1">
      <c r="A7" s="3256"/>
      <c r="B7" s="3257"/>
      <c r="C7" s="3258"/>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80.38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80.38</v>
      </c>
      <c r="F16" s="2439"/>
      <c r="G16" s="2439"/>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3427</v>
      </c>
      <c r="D19" s="43">
        <f>ROUND($D$3*E19/$E$3,2)</f>
        <v>0</v>
      </c>
      <c r="E19" s="51">
        <f t="shared" ref="E19:E26" si="1">SUM(F19:G19)</f>
        <v>80.38</v>
      </c>
      <c r="F19" s="2557">
        <f>'数据-基础表'!H13</f>
        <v>80.38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80.38</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80.38</v>
      </c>
      <c r="F27" s="1072">
        <f>IF(SUM(F19:F26)=E8,SUM(F19:F26),"地上面积有误")</f>
        <v>80.38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80.38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80.38</v>
      </c>
      <c r="F31" s="644">
        <f>F27+F30</f>
        <v>80.38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H7" sqref="AH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56773</v>
      </c>
      <c r="F6" s="61">
        <f>SUMIF(项目基本情况!C$12:I$12,C6,项目基本情况!C$15:I$15)</f>
        <v>29.65</v>
      </c>
      <c r="G6" s="62">
        <f>IF(ISERROR(ROUND(POWER(1+H6,D6-F6)*(POWER(1+H6,F6)-1)/(POWER(1+H6,D6)-1),3)),0,ROUND(POWER(1+H6,D6-F6)*(POWER(1+H6,F6)-1)/(POWER(1+H6,D6)-1),3))</f>
        <v>0.83799999999999997</v>
      </c>
      <c r="H6" s="691">
        <v>0.05</v>
      </c>
      <c r="I6" s="691">
        <v>5.5E-2</v>
      </c>
      <c r="J6" s="63">
        <v>7.0000000000000007E-2</v>
      </c>
      <c r="K6" s="970">
        <f>SUMIF('数据-汇总表'!C$19:C$33,A6,'数据-汇总表'!E$19:E$33)</f>
        <v>80.38</v>
      </c>
      <c r="L6" s="692">
        <v>4000</v>
      </c>
      <c r="M6" s="64">
        <f t="shared" ref="M6:M14" si="0">ROUND(K6*L6/10000,0)</f>
        <v>32</v>
      </c>
      <c r="N6" s="690">
        <f>L19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4000</v>
      </c>
      <c r="V6" s="67">
        <v>0.02</v>
      </c>
      <c r="W6" s="67">
        <v>0.1</v>
      </c>
      <c r="X6" s="979"/>
      <c r="Y6" s="68">
        <f>N6</f>
        <v>0.83</v>
      </c>
      <c r="Z6" s="69"/>
      <c r="AA6" s="63"/>
      <c r="AB6" s="63"/>
      <c r="AC6" s="979"/>
      <c r="AD6" s="70"/>
      <c r="AE6" s="980">
        <f ca="1">IF(AN6="",0,SUMIF(INDIRECT("'"&amp;AN6&amp;"'"&amp;"!E:E"),$AE$5,INDIRECT("'"&amp;AN6&amp;"'"&amp;"!F:F")))</f>
        <v>29.65</v>
      </c>
      <c r="AF6" s="74"/>
      <c r="AG6" s="130">
        <f>IF(AF6="",0,AE6-AF6)</f>
        <v>0</v>
      </c>
      <c r="AH6" s="71">
        <v>1</v>
      </c>
      <c r="AI6" s="73">
        <v>12</v>
      </c>
      <c r="AJ6" s="74"/>
      <c r="AK6" s="75">
        <v>5.0000000000000001E-3</v>
      </c>
      <c r="AL6" s="76">
        <v>1E-3</v>
      </c>
      <c r="AM6" s="77">
        <v>0.01</v>
      </c>
      <c r="AN6" s="1589" t="s">
        <v>3432</v>
      </c>
      <c r="AO6" s="50">
        <f ca="1">SUMIF(INDIRECT("'"&amp;AN6&amp;"'"&amp;"!A:A"),"总价",INDIRECT("'"&amp;AN6&amp;"'"&amp;"!B:B"))</f>
        <v>69.402900000000002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0.83799999999999997</v>
      </c>
      <c r="H16" s="84">
        <f>ROUND(SUMPRODUCT(H6:H13,K6:K13)/SUMPRODUCT((H6:H13&gt;0)*(K6:K13)),3)</f>
        <v>0.05</v>
      </c>
      <c r="I16" s="85"/>
      <c r="J16" s="85"/>
      <c r="K16" s="86">
        <f>SUM(K6:K15)</f>
        <v>80.38</v>
      </c>
      <c r="L16" s="87">
        <f>ROUND(M16*10000/SUM(K6:K14),0)</f>
        <v>3981</v>
      </c>
      <c r="M16" s="87">
        <f>SUM(M6:M14)</f>
        <v>32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3170" t="s">
        <v>3428</v>
      </c>
      <c r="L18" s="2448">
        <v>2015</v>
      </c>
      <c r="M18" s="3170" t="s">
        <v>3430</v>
      </c>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3170" t="s">
        <v>3429</v>
      </c>
      <c r="L19" s="2448">
        <f>ROUND(1-(1-0)*(2025-L18)/60,2)</f>
        <v>0.83</v>
      </c>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80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1" t="s">
        <v>3433</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6"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5" t="s">
        <v>2286</v>
      </c>
      <c r="B1" s="3266"/>
      <c r="C1" s="3266"/>
      <c r="D1" s="3266"/>
      <c r="E1" s="3266"/>
      <c r="F1" s="3266"/>
      <c r="G1" s="326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80.38</v>
      </c>
      <c r="C1" s="3174" t="s">
        <v>3462</v>
      </c>
      <c r="D1" s="3176" t="s">
        <v>3463</v>
      </c>
      <c r="E1" s="3177" t="s">
        <v>3464</v>
      </c>
      <c r="F1" s="2461"/>
      <c r="G1" s="2462"/>
      <c r="H1" s="2462"/>
      <c r="I1" s="2462"/>
      <c r="J1" s="2462"/>
      <c r="K1" s="2462"/>
    </row>
    <row r="2" spans="1:11" ht="16.5">
      <c r="A2" s="2300" t="s">
        <v>653</v>
      </c>
      <c r="B2" s="2300">
        <f>SUM(C14:C23)</f>
        <v>0</v>
      </c>
      <c r="C2" s="3174" t="s">
        <v>3461</v>
      </c>
      <c r="D2" s="3174">
        <v>1290000</v>
      </c>
      <c r="E2" s="3175">
        <v>45062</v>
      </c>
      <c r="F2" s="2461"/>
      <c r="G2" s="2462"/>
      <c r="H2" s="2462"/>
      <c r="I2" s="2462"/>
      <c r="J2" s="2462"/>
      <c r="K2" s="2462"/>
    </row>
    <row r="3" spans="1:11" ht="16.5">
      <c r="A3" s="2300" t="s">
        <v>662</v>
      </c>
      <c r="B3" s="2302">
        <f>项目基本情况!D3</f>
        <v>45950</v>
      </c>
      <c r="C3" s="2461"/>
      <c r="D3" s="2461"/>
      <c r="E3" s="2461"/>
      <c r="F3" s="2461"/>
      <c r="G3" s="2462"/>
      <c r="H3" s="2462"/>
      <c r="I3" s="2462"/>
      <c r="J3" s="2462"/>
      <c r="K3" s="2462"/>
    </row>
    <row r="4" spans="1:11" ht="66">
      <c r="A4" s="2300" t="s">
        <v>661</v>
      </c>
      <c r="B4" s="2300" t="s">
        <v>660</v>
      </c>
      <c r="C4" s="2300" t="s">
        <v>659</v>
      </c>
      <c r="D4" s="2300" t="s">
        <v>658</v>
      </c>
      <c r="E4" s="2461" t="s">
        <v>3466</v>
      </c>
      <c r="F4" s="3178" t="s">
        <v>3467</v>
      </c>
      <c r="G4" s="3172"/>
      <c r="H4" s="2462"/>
      <c r="I4" s="2462"/>
      <c r="J4" s="2462"/>
      <c r="K4" s="2462"/>
    </row>
    <row r="5" spans="1:11" ht="16.5">
      <c r="A5" s="2300" t="s">
        <v>657</v>
      </c>
      <c r="B5" s="2300">
        <f>SUM(D14:D23)</f>
        <v>104.49</v>
      </c>
      <c r="C5" s="2300">
        <f ca="1">IF(B5=D14,结果表!H102,ROUND(B5*10000/$B$1,0))</f>
        <v>11501</v>
      </c>
      <c r="D5" s="2300" t="e">
        <f>ROUND(B5*10000/$B$2,0)</f>
        <v>#DIV/0!</v>
      </c>
      <c r="E5" s="2461"/>
      <c r="F5" s="2462"/>
      <c r="G5" s="2462"/>
      <c r="H5" s="2462"/>
      <c r="I5" s="2462"/>
      <c r="J5" s="2462"/>
      <c r="K5" s="2462"/>
    </row>
    <row r="6" spans="1:11" ht="16.5">
      <c r="A6" s="2300" t="s">
        <v>656</v>
      </c>
      <c r="B6" s="2300">
        <f>SUM(G14:G23)</f>
        <v>104.49</v>
      </c>
      <c r="C6" s="2300">
        <f ca="1">IF(B6=G14,结果表!H108,ROUND(B6*10000/$B$1,0))</f>
        <v>11501</v>
      </c>
      <c r="D6" s="2300" t="e">
        <f>ROUND(B6*10000/$B$2,0)</f>
        <v>#DIV/0!</v>
      </c>
      <c r="E6" s="2461"/>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80.38</v>
      </c>
      <c r="C14" s="2306"/>
      <c r="D14" s="2306">
        <f>ROUND(B14*E14/10000,2)</f>
        <v>104.49</v>
      </c>
      <c r="E14" s="2306">
        <v>13000</v>
      </c>
      <c r="F14" s="2306" t="e">
        <f>ROUND(D14*10000/C14,0)</f>
        <v>#DIV/0!</v>
      </c>
      <c r="G14" s="2306">
        <f>D14</f>
        <v>104.49</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1" t="str">
        <f>项目基本情况!S2</f>
        <v>北京市平谷区府前西街18号院1号楼14层2单元1406房地产</v>
      </c>
      <c r="B2" s="3302"/>
      <c r="C2" s="3302"/>
      <c r="D2" s="3302"/>
      <c r="E2" s="3302"/>
      <c r="F2" s="3302"/>
      <c r="G2" s="3302"/>
      <c r="H2" s="3302"/>
      <c r="I2" s="3303"/>
    </row>
    <row r="3" spans="1:12" ht="13">
      <c r="A3" s="3305" t="s">
        <v>1264</v>
      </c>
      <c r="B3" s="3306"/>
      <c r="C3" s="3306"/>
      <c r="D3" s="3306"/>
      <c r="E3" s="3306"/>
      <c r="F3" s="3306"/>
      <c r="G3" s="3306"/>
      <c r="H3" s="3306"/>
      <c r="I3" s="3306"/>
    </row>
    <row r="4" spans="1:12" ht="14">
      <c r="A4" s="1624" t="s">
        <v>1265</v>
      </c>
      <c r="B4" s="1625" t="s">
        <v>1266</v>
      </c>
      <c r="C4" s="1626" t="s">
        <v>3458</v>
      </c>
      <c r="D4" s="1626" t="s">
        <v>3432</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268">
        <v>25</v>
      </c>
      <c r="C5" s="3284"/>
      <c r="D5" s="3304"/>
      <c r="E5" s="123" t="s">
        <v>1269</v>
      </c>
      <c r="F5" s="1627"/>
      <c r="G5" s="1627"/>
      <c r="H5" s="1627"/>
      <c r="I5" s="1281"/>
    </row>
    <row r="6" spans="1:12" ht="13">
      <c r="A6" s="3281"/>
      <c r="B6" s="3268"/>
      <c r="C6" s="3285"/>
      <c r="D6" s="3304"/>
      <c r="E6" s="123" t="s">
        <v>1270</v>
      </c>
      <c r="F6" s="1627"/>
      <c r="G6" s="1627"/>
      <c r="H6" s="1627"/>
      <c r="I6" s="1281"/>
    </row>
    <row r="7" spans="1:12" ht="13">
      <c r="A7" s="3281"/>
      <c r="B7" s="3268"/>
      <c r="C7" s="3286"/>
      <c r="D7" s="3304"/>
      <c r="E7" s="123" t="s">
        <v>1271</v>
      </c>
      <c r="F7" s="1627"/>
      <c r="G7" s="1627"/>
      <c r="H7" s="1627"/>
      <c r="I7" s="1281"/>
    </row>
    <row r="8" spans="1:12" ht="13">
      <c r="A8" s="3281" t="s">
        <v>1272</v>
      </c>
      <c r="B8" s="3268">
        <v>15</v>
      </c>
      <c r="C8" s="3284"/>
      <c r="D8" s="3304"/>
      <c r="E8" s="123" t="s">
        <v>1273</v>
      </c>
      <c r="F8" s="1627"/>
      <c r="G8" s="1627"/>
      <c r="H8" s="1627"/>
      <c r="I8" s="1281"/>
    </row>
    <row r="9" spans="1:12" ht="13">
      <c r="A9" s="3281"/>
      <c r="B9" s="3268"/>
      <c r="C9" s="3286"/>
      <c r="D9" s="3304"/>
      <c r="E9" s="123" t="s">
        <v>1274</v>
      </c>
      <c r="F9" s="1627"/>
      <c r="G9" s="1627"/>
      <c r="H9" s="1627"/>
      <c r="I9" s="1281"/>
    </row>
    <row r="10" spans="1:12" ht="13">
      <c r="A10" s="3281" t="s">
        <v>1275</v>
      </c>
      <c r="B10" s="3268">
        <v>15</v>
      </c>
      <c r="C10" s="3284"/>
      <c r="D10" s="3304"/>
      <c r="E10" s="123" t="s">
        <v>1276</v>
      </c>
      <c r="F10" s="1627"/>
      <c r="G10" s="1627"/>
      <c r="H10" s="1627"/>
      <c r="I10" s="1281"/>
    </row>
    <row r="11" spans="1:12" ht="13">
      <c r="A11" s="3281"/>
      <c r="B11" s="3268"/>
      <c r="C11" s="3286"/>
      <c r="D11" s="3304"/>
      <c r="E11" s="123" t="s">
        <v>1277</v>
      </c>
      <c r="F11" s="1627"/>
      <c r="G11" s="1627"/>
      <c r="H11" s="1627"/>
      <c r="I11" s="1281"/>
    </row>
    <row r="12" spans="1:12" ht="13">
      <c r="A12" s="3281" t="s">
        <v>1278</v>
      </c>
      <c r="B12" s="3268">
        <v>15</v>
      </c>
      <c r="C12" s="3284"/>
      <c r="D12" s="3304"/>
      <c r="E12" s="123" t="s">
        <v>1279</v>
      </c>
      <c r="F12" s="1627"/>
      <c r="G12" s="1627"/>
      <c r="H12" s="1627"/>
      <c r="I12" s="1281"/>
    </row>
    <row r="13" spans="1:12" ht="13">
      <c r="A13" s="3281"/>
      <c r="B13" s="3268"/>
      <c r="C13" s="3286"/>
      <c r="D13" s="3304"/>
      <c r="E13" s="123" t="s">
        <v>1280</v>
      </c>
      <c r="F13" s="1627"/>
      <c r="G13" s="1627"/>
      <c r="H13" s="1627"/>
      <c r="I13" s="1281"/>
    </row>
    <row r="14" spans="1:12" ht="13">
      <c r="A14" s="3281" t="s">
        <v>1281</v>
      </c>
      <c r="B14" s="3268">
        <v>30</v>
      </c>
      <c r="C14" s="3284">
        <v>6</v>
      </c>
      <c r="D14" s="3304">
        <v>4</v>
      </c>
      <c r="E14" s="123" t="s">
        <v>1282</v>
      </c>
      <c r="F14" s="1627"/>
      <c r="G14" s="1627"/>
      <c r="H14" s="1627"/>
      <c r="I14" s="1281"/>
    </row>
    <row r="15" spans="1:12" ht="13">
      <c r="A15" s="3281"/>
      <c r="B15" s="3268"/>
      <c r="C15" s="3285"/>
      <c r="D15" s="3304"/>
      <c r="E15" s="123" t="s">
        <v>1283</v>
      </c>
      <c r="F15" s="1627"/>
      <c r="G15" s="1627"/>
      <c r="H15" s="1627"/>
      <c r="I15" s="1281"/>
    </row>
    <row r="16" spans="1:12" ht="13">
      <c r="A16" s="3281"/>
      <c r="B16" s="3268"/>
      <c r="C16" s="3286"/>
      <c r="D16" s="3304"/>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91" t="s">
        <v>2131</v>
      </c>
      <c r="F18" s="3292"/>
      <c r="G18" s="3292"/>
      <c r="H18" s="3292"/>
      <c r="I18" s="3292"/>
      <c r="K18" s="294" t="s">
        <v>1289</v>
      </c>
      <c r="L18" s="294">
        <f>IF(C1="",'数据-汇总表'!E3,SUMIF(项目类型,C1,'数据-汇总表'!E17:E26)+SUMIF(项目类型,C1,'数据-汇总表'!I17:I26))</f>
        <v>80.38</v>
      </c>
      <c r="M18" s="294">
        <f>IF(C1="",'数据-汇总表'!E3,SUMIF(项目类型,C1,'数据-汇总表'!E17:E26))</f>
        <v>80.38</v>
      </c>
    </row>
    <row r="19" spans="1:36" ht="14">
      <c r="A19" s="1630" t="s">
        <v>1290</v>
      </c>
      <c r="B19" s="1631" t="s">
        <v>1291</v>
      </c>
      <c r="C19" s="126">
        <f ca="1">SUMIF(INDIRECT("'"&amp;C4&amp;"'"&amp;"!A:A"),结果表!B19,INDIRECT("'"&amp;C4&amp;"'"&amp;"!B:B"))</f>
        <v>107.8065</v>
      </c>
      <c r="D19" s="127">
        <f ca="1">SUMIF(INDIRECT("'"&amp;D4&amp;"'"&amp;"!A:A"),结果表!B19,INDIRECT("'"&amp;D4&amp;"'"&amp;"!B:B"))</f>
        <v>69.402900000000002</v>
      </c>
      <c r="E19" s="1630" t="s">
        <v>1292</v>
      </c>
      <c r="F19" s="1631" t="s">
        <v>1291</v>
      </c>
      <c r="G19" s="128">
        <f ca="1">ROUND(C19*$C$18+D19*$D$18,0)</f>
        <v>92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13412</v>
      </c>
      <c r="D20" s="130">
        <f ca="1">SUMIF(INDIRECT("'"&amp;D4&amp;"'"&amp;"!A:A"),结果表!B20,INDIRECT("'"&amp;D4&amp;"'"&amp;"!B:B"))</f>
        <v>8634</v>
      </c>
      <c r="E20" s="1633"/>
      <c r="F20" s="43" t="s">
        <v>1295</v>
      </c>
      <c r="G20" s="131">
        <f ca="1">ROUND(C20*$C$18+D20*$D$18,0)</f>
        <v>11501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0.55334287183964936</v>
      </c>
      <c r="E22" s="121"/>
      <c r="F22" s="121"/>
      <c r="G22" s="121"/>
      <c r="H22" s="121"/>
      <c r="I22" s="121"/>
    </row>
    <row r="23" spans="1:36" ht="13" thickBot="1">
      <c r="A23" s="646"/>
      <c r="B23" s="646"/>
      <c r="C23" s="646"/>
      <c r="D23" s="646"/>
      <c r="E23" s="121"/>
      <c r="F23" s="121"/>
      <c r="G23" s="121"/>
      <c r="H23" s="121"/>
      <c r="I23" s="121"/>
    </row>
    <row r="24" spans="1:36" ht="14">
      <c r="A24" s="3275" t="s">
        <v>1299</v>
      </c>
      <c r="B24" s="1631" t="s">
        <v>1291</v>
      </c>
      <c r="C24" s="128">
        <f>IF(B30=0,0,D30)</f>
        <v>0</v>
      </c>
      <c r="D24" s="1637"/>
      <c r="E24" s="121"/>
      <c r="F24" s="121"/>
      <c r="G24" s="121"/>
      <c r="H24" s="121"/>
      <c r="I24" s="121"/>
    </row>
    <row r="25" spans="1:36" ht="14">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11501</v>
      </c>
      <c r="D32" s="1641" t="s">
        <v>3459</v>
      </c>
      <c r="E32" s="121"/>
      <c r="F32" s="121"/>
      <c r="G32" s="121"/>
      <c r="H32" s="121"/>
      <c r="I32" s="121"/>
    </row>
    <row r="33" spans="1:15" ht="14">
      <c r="A33" s="740" t="s">
        <v>1306</v>
      </c>
      <c r="B33" s="123"/>
      <c r="C33" s="1642" t="s">
        <v>3460</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5" t="s">
        <v>1312</v>
      </c>
      <c r="B36" s="1652" t="s">
        <v>1313</v>
      </c>
      <c r="C36" s="137"/>
      <c r="D36" s="1653"/>
      <c r="E36" s="1567"/>
      <c r="F36" s="1654"/>
      <c r="G36" s="121"/>
      <c r="H36" s="121"/>
      <c r="I36" s="121"/>
    </row>
    <row r="37" spans="1:15" ht="14.5" thickBot="1">
      <c r="A37" s="3296"/>
      <c r="B37" s="1555" t="s">
        <v>1314</v>
      </c>
      <c r="C37" s="139"/>
      <c r="D37" s="1071"/>
      <c r="E37" s="1071"/>
      <c r="F37" s="1654"/>
      <c r="G37" s="121"/>
      <c r="H37" s="121"/>
      <c r="I37" s="121"/>
    </row>
    <row r="38" spans="1:15" ht="14.5" thickBot="1">
      <c r="A38" s="329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f ca="1">ROUND(H101*F45,0)</f>
        <v>92</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10">
        <v>1</v>
      </c>
      <c r="K46" s="3331" t="s">
        <v>1331</v>
      </c>
      <c r="L46" s="3331"/>
      <c r="M46" s="3351"/>
      <c r="N46" s="3351"/>
      <c r="O46" s="3351"/>
    </row>
    <row r="47" spans="1:15" ht="12" customHeight="1">
      <c r="A47" s="152" t="s">
        <v>1332</v>
      </c>
      <c r="B47" s="153"/>
      <c r="C47" s="154"/>
      <c r="D47" s="1024" t="s">
        <v>1333</v>
      </c>
      <c r="E47" s="294" t="s">
        <v>1334</v>
      </c>
      <c r="F47" s="155" t="s">
        <v>1335</v>
      </c>
      <c r="G47" s="2333" t="s">
        <v>1336</v>
      </c>
      <c r="H47" s="2334"/>
      <c r="I47" s="151"/>
      <c r="J47" s="2310">
        <v>2</v>
      </c>
      <c r="K47" s="3331" t="s">
        <v>1337</v>
      </c>
      <c r="L47" s="3331"/>
      <c r="M47" s="3352">
        <f>'数据-取费表'!B2</f>
        <v>45950</v>
      </c>
      <c r="N47" s="3352"/>
      <c r="O47" s="3352"/>
    </row>
    <row r="48" spans="1:15" ht="26">
      <c r="A48" s="3300" t="s">
        <v>1338</v>
      </c>
      <c r="B48" s="3283"/>
      <c r="C48" s="328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1" t="s">
        <v>1340</v>
      </c>
      <c r="L48" s="3331"/>
      <c r="M48" s="3353">
        <f ca="1">H101</f>
        <v>92.45</v>
      </c>
      <c r="N48" s="3353"/>
      <c r="O48" s="3353"/>
    </row>
    <row r="49" spans="1:35" ht="25.5" customHeight="1">
      <c r="A49" s="2152" t="s">
        <v>1341</v>
      </c>
      <c r="B49" s="3267" t="s">
        <v>1342</v>
      </c>
      <c r="C49" s="3267"/>
      <c r="D49" s="1478">
        <v>0</v>
      </c>
      <c r="E49" s="316" t="s">
        <v>1343</v>
      </c>
      <c r="F49" s="2233" t="s">
        <v>28</v>
      </c>
      <c r="G49" s="3337"/>
      <c r="H49" s="2134" t="s">
        <v>2134</v>
      </c>
      <c r="I49" s="2135"/>
      <c r="J49" s="2310">
        <v>4</v>
      </c>
      <c r="K49" s="3331" t="str">
        <f>IF(项目基本情况!E8="房地产抵押价值","房地产抵押价值","抵押担保权已注销时的房地产抵押价值")</f>
        <v>房地产抵押价值</v>
      </c>
      <c r="L49" s="3331"/>
      <c r="M49" s="3353">
        <f ca="1">IF(项目基本情况!E8="房地产抵押价值",H107,H109)</f>
        <v>92.45</v>
      </c>
      <c r="N49" s="3353"/>
      <c r="O49" s="3353"/>
    </row>
    <row r="50" spans="1:35" ht="25.5" customHeight="1">
      <c r="A50" s="2338"/>
      <c r="B50" s="3267" t="s">
        <v>1344</v>
      </c>
      <c r="C50" s="3267"/>
      <c r="D50" s="2189"/>
      <c r="E50" s="323"/>
      <c r="F50" s="2233"/>
      <c r="G50" s="3338"/>
      <c r="H50" s="2136" t="s">
        <v>2135</v>
      </c>
      <c r="I50" s="2135"/>
      <c r="J50" s="3350" t="s">
        <v>1345</v>
      </c>
      <c r="K50" s="3350"/>
      <c r="L50" s="3350"/>
      <c r="M50" s="3350"/>
      <c r="N50" s="3350"/>
      <c r="O50" s="3350"/>
    </row>
    <row r="51" spans="1:35" ht="20.5" customHeight="1">
      <c r="A51" s="2339"/>
      <c r="B51" s="3267" t="s">
        <v>1346</v>
      </c>
      <c r="C51" s="3267"/>
      <c r="D51" s="1024"/>
      <c r="E51" s="319"/>
      <c r="F51" s="2233"/>
      <c r="G51" s="3339"/>
      <c r="H51" s="2136" t="s">
        <v>2136</v>
      </c>
      <c r="I51" s="2135"/>
      <c r="J51" s="2311" t="s">
        <v>1347</v>
      </c>
      <c r="K51" s="3331" t="s">
        <v>1348</v>
      </c>
      <c r="L51" s="3331"/>
      <c r="M51" s="2311" t="s">
        <v>1349</v>
      </c>
      <c r="N51" s="2311" t="s">
        <v>1350</v>
      </c>
      <c r="O51" s="2311" t="s">
        <v>1351</v>
      </c>
    </row>
    <row r="52" spans="1:35" ht="24" customHeight="1">
      <c r="A52" s="2153" t="s">
        <v>1352</v>
      </c>
      <c r="B52" s="3267" t="s">
        <v>1353</v>
      </c>
      <c r="C52" s="3267"/>
      <c r="D52" s="1024">
        <f ca="1">ROUND(D45*'数据-取费表'!B41/(1+'数据-取费表'!C42),0)</f>
        <v>5</v>
      </c>
      <c r="E52" s="1256" t="s">
        <v>1354</v>
      </c>
      <c r="F52" s="2340">
        <f>'数据-取费表'!B41</f>
        <v>5.6000000000000001E-2</v>
      </c>
      <c r="G52" s="2341"/>
      <c r="H52" s="2331"/>
      <c r="I52" s="1669"/>
      <c r="J52" s="2310">
        <v>1</v>
      </c>
      <c r="K52" s="3332" t="s">
        <v>1355</v>
      </c>
      <c r="L52" s="3332"/>
      <c r="M52" s="2312" t="b">
        <f>D48</f>
        <v>0</v>
      </c>
      <c r="N52" s="2310" t="str">
        <f>E48</f>
        <v>销售额×税（费）率</v>
      </c>
      <c r="O52" s="2313">
        <f>F48</f>
        <v>5.6000000000000001E-2</v>
      </c>
    </row>
    <row r="53" spans="1:35" ht="12" customHeight="1">
      <c r="A53" s="2153" t="s">
        <v>1356</v>
      </c>
      <c r="B53" s="3293" t="s">
        <v>2291</v>
      </c>
      <c r="C53" s="3294"/>
      <c r="D53" s="1024">
        <f ca="1">ROUND(D45*'数据-取费表'!B41/(1+'数据-取费表'!C42),0)</f>
        <v>5</v>
      </c>
      <c r="E53" s="1256" t="s">
        <v>1354</v>
      </c>
      <c r="F53" s="2340">
        <f>'数据-取费表'!B41</f>
        <v>5.6000000000000001E-2</v>
      </c>
      <c r="G53" s="2341"/>
      <c r="H53" s="2331"/>
      <c r="I53" s="1669"/>
      <c r="J53" s="2310">
        <v>2</v>
      </c>
      <c r="K53" s="3332" t="s">
        <v>1357</v>
      </c>
      <c r="L53" s="3332"/>
      <c r="M53" s="2312">
        <f t="shared" ref="M53:O54" ca="1" si="0">D55</f>
        <v>0</v>
      </c>
      <c r="N53" s="2310" t="str">
        <f t="shared" si="0"/>
        <v>销售额×税（费）率</v>
      </c>
      <c r="O53" s="2313" t="str">
        <f t="shared" si="0"/>
        <v>免征</v>
      </c>
    </row>
    <row r="54" spans="1:35" ht="12" customHeight="1">
      <c r="A54" s="2153" t="s">
        <v>1358</v>
      </c>
      <c r="B54" s="3293" t="s">
        <v>2292</v>
      </c>
      <c r="C54" s="3294"/>
      <c r="D54" s="1024">
        <f ca="1">C68</f>
        <v>5</v>
      </c>
      <c r="E54" s="319" t="s">
        <v>1359</v>
      </c>
      <c r="F54" s="2340">
        <f>'数据-取费表'!B41</f>
        <v>5.6000000000000001E-2</v>
      </c>
      <c r="G54" s="2341"/>
      <c r="H54" s="2342"/>
      <c r="I54" s="1669"/>
      <c r="J54" s="2310">
        <v>3</v>
      </c>
      <c r="K54" s="3332" t="s">
        <v>1360</v>
      </c>
      <c r="L54" s="3332"/>
      <c r="M54" s="2312">
        <f t="shared" ca="1" si="0"/>
        <v>52</v>
      </c>
      <c r="N54" s="2310" t="str">
        <f t="shared" si="0"/>
        <v>增值额×税（费）率</v>
      </c>
      <c r="O54" s="2314" t="str">
        <f t="shared" si="0"/>
        <v>免征</v>
      </c>
    </row>
    <row r="55" spans="1:35" ht="24" customHeight="1">
      <c r="A55" s="3282" t="s">
        <v>1361</v>
      </c>
      <c r="B55" s="3283"/>
      <c r="C55" s="3283"/>
      <c r="D55" s="12">
        <f ca="1">IF(H55="个人住宅",0,ROUND(D45*I55,0))</f>
        <v>0</v>
      </c>
      <c r="E55" s="1256" t="s">
        <v>1362</v>
      </c>
      <c r="F55" s="2340" t="str">
        <f>IF(H55="正常",I55,"免征")</f>
        <v>免征</v>
      </c>
      <c r="G55" s="2341"/>
      <c r="H55" s="2337"/>
      <c r="I55" s="157">
        <f>'数据-取费表'!B49</f>
        <v>5.0000000000000001E-4</v>
      </c>
      <c r="J55" s="2310">
        <f>IF(H59="非个人房产","",4)</f>
        <v>4</v>
      </c>
      <c r="K55" s="3332" t="str">
        <f>IF(H59="非个人房产","——","个人所得税")</f>
        <v>个人所得税</v>
      </c>
      <c r="L55" s="3332"/>
      <c r="M55" s="2315">
        <f ca="1">D59</f>
        <v>1</v>
      </c>
      <c r="N55" s="1883" t="str">
        <f>E59</f>
        <v>差额计税</v>
      </c>
      <c r="O55" s="2316">
        <f>F59</f>
        <v>0.01</v>
      </c>
    </row>
    <row r="56" spans="1:35" ht="26">
      <c r="A56" s="3282" t="s">
        <v>1363</v>
      </c>
      <c r="B56" s="3283"/>
      <c r="C56" s="3283"/>
      <c r="D56" s="12">
        <f ca="1">IF(H56="个人住宅",D57,D58)</f>
        <v>52</v>
      </c>
      <c r="E56" s="1256" t="s">
        <v>1364</v>
      </c>
      <c r="F56" s="2340" t="str">
        <f>IF(H56="正常",F58,"免征")</f>
        <v>免征</v>
      </c>
      <c r="G56" s="2343" t="s">
        <v>1365</v>
      </c>
      <c r="H56" s="2344"/>
      <c r="I56" s="1670"/>
      <c r="J56" s="2310" t="str">
        <f>IF(项目基本情况!K6="上海银行",IF(J55="",4,J55+1),"")</f>
        <v/>
      </c>
      <c r="K56" s="3355" t="str">
        <f>IF(项目基本情况!K6="上海银行","其他处置费用","")</f>
        <v/>
      </c>
      <c r="L56" s="3356"/>
      <c r="M56" s="2312" t="str">
        <f>IF(项目基本情况!K6="上海银行",M69,"")</f>
        <v/>
      </c>
      <c r="N56" s="3355" t="str">
        <f>IF(项目基本情况!K6="上海银行","包含处置中涉及的律师、诉讼、拍卖、评估等费用","")</f>
        <v/>
      </c>
      <c r="O56" s="3358"/>
    </row>
    <row r="57" spans="1:35" ht="13">
      <c r="A57" s="2153" t="s">
        <v>1341</v>
      </c>
      <c r="B57" s="3293" t="s">
        <v>1366</v>
      </c>
      <c r="C57" s="3294"/>
      <c r="D57" s="1478">
        <v>0</v>
      </c>
      <c r="E57" s="316" t="s">
        <v>1343</v>
      </c>
      <c r="F57" s="294"/>
      <c r="G57" s="2341"/>
      <c r="H57" s="2345"/>
      <c r="I57" s="1670"/>
      <c r="J57" s="3332">
        <f>IF(AND(J55="",J56=""),4,IF(项目基本情况!K6="上海银行",结果表!J56+1,结果表!J55+1))</f>
        <v>5</v>
      </c>
      <c r="K57" s="3332" t="s">
        <v>1367</v>
      </c>
      <c r="L57" s="2317" t="s">
        <v>1368</v>
      </c>
      <c r="M57" s="2318"/>
      <c r="N57" s="2319">
        <f ca="1">SUMIF(M52:M56,"&lt;9e307")</f>
        <v>53</v>
      </c>
      <c r="O57" s="2320"/>
      <c r="P57" s="2464">
        <f ca="1">N57/M49</f>
        <v>0.57328285559762027</v>
      </c>
    </row>
    <row r="58" spans="1:35" ht="26">
      <c r="A58" s="2153" t="s">
        <v>1352</v>
      </c>
      <c r="B58" s="3293" t="s">
        <v>1369</v>
      </c>
      <c r="C58" s="3267"/>
      <c r="D58" s="12">
        <f ca="1">IF(H58="转让取得",C81,C97)</f>
        <v>52</v>
      </c>
      <c r="E58" s="1256" t="s">
        <v>1364</v>
      </c>
      <c r="F58" s="294" t="s">
        <v>28</v>
      </c>
      <c r="G58" s="2341"/>
      <c r="H58" s="2344"/>
      <c r="I58" s="1670"/>
      <c r="J58" s="3332"/>
      <c r="K58" s="3332"/>
      <c r="L58" s="2317" t="s">
        <v>1370</v>
      </c>
      <c r="M58" s="2321"/>
      <c r="N58" s="2322" t="str">
        <f ca="1">NUMBERSTRING(INT(N57*10000),2)&amp;"元整"</f>
        <v>伍拾叁万元整</v>
      </c>
      <c r="O58" s="2323"/>
    </row>
    <row r="59" spans="1:35" ht="26.5" thickBot="1">
      <c r="A59" s="3335" t="s">
        <v>1371</v>
      </c>
      <c r="B59" s="3336"/>
      <c r="C59" s="3336"/>
      <c r="D59" s="2346">
        <f ca="1">IF(H59="非个人房产","——",IF(H59="个人住宅（满五唯一有凭证）",0,IF(H59="个人其他（无凭证）",ROUND(D45/(1+'数据-取费表'!C42)*F59,0),ROUND(C67*F59,0))))</f>
        <v>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3">
        <f>J57+1</f>
        <v>6</v>
      </c>
      <c r="K59" s="3332" t="s">
        <v>1372</v>
      </c>
      <c r="L59" s="2310" t="s">
        <v>1368</v>
      </c>
      <c r="M59" s="2324"/>
      <c r="N59" s="2325">
        <f ca="1">M49-N57</f>
        <v>39.450000000000003</v>
      </c>
      <c r="O59" s="2326"/>
    </row>
    <row r="60" spans="1:35" ht="12" customHeight="1">
      <c r="A60" s="1671"/>
      <c r="B60" s="646"/>
      <c r="C60" s="646"/>
      <c r="D60" s="646"/>
      <c r="E60" s="1466"/>
      <c r="F60" s="1670"/>
      <c r="G60" s="1670"/>
      <c r="H60" s="151"/>
      <c r="I60" s="121"/>
      <c r="J60" s="3334"/>
      <c r="K60" s="3332"/>
      <c r="L60" s="2317" t="s">
        <v>1370</v>
      </c>
      <c r="M60" s="2321"/>
      <c r="N60" s="2322" t="str">
        <f ca="1">NUMBERSTRING(INT(N59*10000),2)&amp;"元整"</f>
        <v>叁拾玖万肆仟伍佰元整</v>
      </c>
      <c r="O60" s="2323"/>
    </row>
    <row r="61" spans="1:35" ht="13.5" thickBot="1">
      <c r="A61" s="3280" t="s">
        <v>1373</v>
      </c>
      <c r="B61" s="3280"/>
      <c r="C61" s="3280"/>
      <c r="D61" s="3280"/>
      <c r="E61" s="3280"/>
      <c r="F61" s="1670"/>
      <c r="G61" s="1670"/>
      <c r="H61" s="151"/>
      <c r="I61" s="121"/>
      <c r="J61" s="2310">
        <f>J59+1</f>
        <v>7</v>
      </c>
      <c r="K61" s="3332" t="s">
        <v>1374</v>
      </c>
      <c r="L61" s="3332"/>
      <c r="M61" s="2327"/>
      <c r="N61" s="2328">
        <f ca="1">ROUND(N59*10000/'数据-汇总表'!E3,0)</f>
        <v>4908</v>
      </c>
      <c r="O61" s="2329"/>
    </row>
    <row r="62" spans="1:35" ht="13">
      <c r="A62" s="3298" t="s">
        <v>1375</v>
      </c>
      <c r="B62" s="3299"/>
      <c r="C62" s="1865"/>
      <c r="D62" s="1865" t="s">
        <v>1376</v>
      </c>
      <c r="E62" s="158" t="s">
        <v>1377</v>
      </c>
      <c r="F62" s="1670"/>
      <c r="G62" s="1670"/>
      <c r="H62" s="151"/>
      <c r="I62" s="121"/>
    </row>
    <row r="63" spans="1:35" ht="13">
      <c r="A63" s="165" t="s">
        <v>330</v>
      </c>
      <c r="B63" s="159" t="s">
        <v>1378</v>
      </c>
      <c r="C63" s="2350">
        <f ca="1">ROUND((C64+C65)/(1+'数据-取费表'!C42),0)</f>
        <v>88</v>
      </c>
      <c r="D63" s="159"/>
      <c r="E63" s="160"/>
      <c r="F63" s="1670"/>
      <c r="G63" s="1670"/>
      <c r="H63" s="151"/>
      <c r="I63" s="121"/>
      <c r="J63" s="3357" t="s">
        <v>1379</v>
      </c>
      <c r="K63" s="1245" t="s">
        <v>1380</v>
      </c>
      <c r="L63" s="1245">
        <f ca="1">IF(M49&gt;10000,M49*0.5%,IF(AND(M49&gt;1000,M49&lt;=10000),M49*1%,IF(AND(M49&gt;100,M49&lt;=1000),M49*3%,IF(AND(M49&gt;10,M49&lt;=100),M49*5%,M49*8%))))</f>
        <v>4.6225000000000005</v>
      </c>
      <c r="M63" s="294">
        <f ca="1">ROUND(L63,1)</f>
        <v>4.5999999999999996</v>
      </c>
      <c r="N63" s="2330"/>
      <c r="Z63" s="1623"/>
      <c r="AI63" s="1561"/>
    </row>
    <row r="64" spans="1:35" ht="14.25" customHeight="1">
      <c r="A64" s="161" t="s">
        <v>325</v>
      </c>
      <c r="B64" s="162" t="s">
        <v>1381</v>
      </c>
      <c r="C64" s="2351">
        <f ca="1">D45</f>
        <v>92</v>
      </c>
      <c r="D64" s="162" t="s">
        <v>26</v>
      </c>
      <c r="E64" s="164"/>
      <c r="F64" s="1670"/>
      <c r="G64" s="1670"/>
      <c r="H64" s="151"/>
      <c r="I64" s="121"/>
      <c r="J64" s="3357"/>
      <c r="K64" s="1245" t="s">
        <v>1382</v>
      </c>
      <c r="L64" s="1245">
        <f ca="1">IF(M49&gt;2000,M49*0.5%,IF(AND(M49&gt;1000,M49&lt;=2000),M49*0.6%,IF(AND(M49&gt;500,M49&lt;=1000),M49*0.7%,IF(AND(M49&gt;200,M49&lt;=500),M49*0.8%,IF(AND(M49&gt;100,M49&lt;=200),M49*0.9%,IF(AND(M49&gt;50,M49&lt;=100),M49*1%,IF(AND(M49&gt;20,M49&lt;=50),M49*1.5%,IF(AND(M49&gt;10,M49&lt;=20),M49*2%,IF(AND(M49&gt;1,M49&lt;=10),M49*2.5%)))))))))</f>
        <v>0.9245000000000001</v>
      </c>
      <c r="M64" s="294">
        <f t="shared" ref="M64:M65" ca="1" si="1">ROUND(L64,1)</f>
        <v>0.9</v>
      </c>
      <c r="N64" s="2331" t="s">
        <v>1383</v>
      </c>
      <c r="Z64" s="1623"/>
      <c r="AI64" s="1561"/>
    </row>
    <row r="65" spans="1:35" ht="14.25" customHeight="1">
      <c r="A65" s="161" t="s">
        <v>326</v>
      </c>
      <c r="B65" s="162" t="s">
        <v>1384</v>
      </c>
      <c r="C65" s="2352"/>
      <c r="D65" s="162"/>
      <c r="E65" s="164"/>
      <c r="F65" s="1670"/>
      <c r="G65" s="1670"/>
      <c r="H65" s="151"/>
      <c r="I65" s="121"/>
      <c r="J65" s="3357"/>
      <c r="K65" s="1245" t="s">
        <v>1385</v>
      </c>
      <c r="L65" s="1245">
        <f ca="1">IF(M49&gt;1000,M49*0.1%,IF(AND(M49&gt;500,M49&lt;=1000),M49*0.5%,IF(AND(M49&gt;50,M49&lt;=500),M49*1%,IF(AND(M49&gt;1,M49&lt;=50),M49*1.5%))))</f>
        <v>0.9245000000000001</v>
      </c>
      <c r="M65" s="294">
        <f t="shared" ca="1" si="1"/>
        <v>0.9</v>
      </c>
      <c r="N65" s="2331" t="s">
        <v>1383</v>
      </c>
      <c r="Z65" s="1623"/>
      <c r="AI65" s="1561"/>
    </row>
    <row r="66" spans="1:35" ht="14.25" customHeight="1">
      <c r="A66" s="165" t="s">
        <v>327</v>
      </c>
      <c r="B66" s="166" t="s">
        <v>1386</v>
      </c>
      <c r="C66" s="2353"/>
      <c r="D66" s="166" t="s">
        <v>26</v>
      </c>
      <c r="E66" s="1251" t="s">
        <v>671</v>
      </c>
      <c r="F66" s="1670"/>
      <c r="G66" s="1670"/>
      <c r="H66" s="151"/>
      <c r="I66" s="121"/>
      <c r="J66" s="3357"/>
      <c r="K66" s="1245" t="s">
        <v>1387</v>
      </c>
      <c r="L66" s="1245">
        <f ca="1">M49*0.5%</f>
        <v>0.46225000000000005</v>
      </c>
      <c r="M66" s="294">
        <f ca="1">IF(L66&gt;0.5,0.5,ROUND(L66,0))</f>
        <v>0</v>
      </c>
      <c r="N66" s="2331" t="s">
        <v>1388</v>
      </c>
      <c r="Z66" s="1623"/>
      <c r="AI66" s="1561"/>
    </row>
    <row r="67" spans="1:35" ht="14.25" customHeight="1">
      <c r="A67" s="165" t="s">
        <v>328</v>
      </c>
      <c r="B67" s="166" t="s">
        <v>1389</v>
      </c>
      <c r="C67" s="2354">
        <f ca="1">C63-C66</f>
        <v>88</v>
      </c>
      <c r="D67" s="162" t="s">
        <v>26</v>
      </c>
      <c r="E67" s="164"/>
      <c r="F67" s="1670"/>
      <c r="G67" s="1670"/>
      <c r="H67" s="151"/>
      <c r="I67" s="121"/>
      <c r="J67" s="3357"/>
      <c r="K67" s="1245" t="s">
        <v>1390</v>
      </c>
      <c r="L67" s="1245">
        <f ca="1">IF(M49&gt;=10000,(8.25+(M49-10000)*0.01%),IF(AND(M49&gt;=8000,M49&lt;10000),(7.85+(M49-8000)*0.02%),IF(AND(M49&gt;=5000,M49&lt;8000),(6.65+(M49-5000)*0.04%),IF(AND(M49&gt;=2000,M49&lt;5000),(4.25+(PM49-2000)*0.08%),IF(AND(M49&gt;=1000,M49&lt;2000),(2.75+(M49-1000)*0.15%),IF(AND(M49&gt;=100,M49&lt;1000),(0.5+(M49-100)*0.25%),IF(AND(M49&gt;0,M49&lt;100),M49*0.5%)))))))</f>
        <v>0.46225000000000005</v>
      </c>
      <c r="M67" s="294">
        <f ca="1">ROUND(L67*0.9,1)</f>
        <v>0.4</v>
      </c>
      <c r="N67" s="2330"/>
      <c r="Z67" s="1623"/>
      <c r="AI67" s="1561"/>
    </row>
    <row r="68" spans="1:35" ht="14.25" customHeight="1" thickBot="1">
      <c r="A68" s="168" t="s">
        <v>329</v>
      </c>
      <c r="B68" s="169" t="s">
        <v>1391</v>
      </c>
      <c r="C68" s="2355">
        <f ca="1">IF(C67&lt;=0,0,ROUND(C67*D68,0))</f>
        <v>5</v>
      </c>
      <c r="D68" s="2356">
        <f>'数据-取费表'!B41</f>
        <v>5.6000000000000001E-2</v>
      </c>
      <c r="E68" s="170"/>
      <c r="F68" s="1670"/>
      <c r="G68" s="1670"/>
      <c r="H68" s="151"/>
      <c r="I68" s="121"/>
      <c r="J68" s="3357"/>
      <c r="K68" s="1245" t="s">
        <v>1392</v>
      </c>
      <c r="L68" s="1245">
        <f ca="1">IF(M49&gt;10000,M49*0.5%,IF(AND(M49&gt;5000,M49&lt;=10000),M49*1%,IF(AND(M49&gt;1000,M49&lt;=5000),M49*2%,IF(AND(M49&gt;200,M49&lt;=1000),M49*3%,M49*5%))))</f>
        <v>4.6225000000000005</v>
      </c>
      <c r="M68" s="294">
        <f ca="1">ROUND(L68,1)</f>
        <v>4.5999999999999996</v>
      </c>
      <c r="N68" s="2330"/>
      <c r="Z68" s="1623"/>
      <c r="AI68" s="1561"/>
    </row>
    <row r="69" spans="1:35" ht="16.5" customHeight="1">
      <c r="A69" s="1672"/>
      <c r="B69" s="1673"/>
      <c r="C69" s="1674"/>
      <c r="D69" s="1675"/>
      <c r="E69" s="1676"/>
      <c r="F69" s="1466"/>
      <c r="G69" s="1466"/>
      <c r="H69" s="1467"/>
      <c r="I69" s="646"/>
      <c r="J69" s="3357"/>
      <c r="K69" s="1245" t="s">
        <v>1393</v>
      </c>
      <c r="L69" s="1245"/>
      <c r="M69" s="294">
        <f ca="1">ROUND(SUM(M63:M68),0)</f>
        <v>11</v>
      </c>
      <c r="N69" s="2332">
        <f ca="1">M69/M49</f>
        <v>0.11898323418063818</v>
      </c>
      <c r="Z69" s="1623"/>
      <c r="AI69" s="1561"/>
    </row>
    <row r="70" spans="1:35" s="642" customFormat="1" ht="14.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87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52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9" t="s">
        <v>2129</v>
      </c>
      <c r="H90" s="336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8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87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87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52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1" t="str">
        <f>C4</f>
        <v>成本法 (元)</v>
      </c>
      <c r="D101" s="2372" t="str">
        <f>D4</f>
        <v>收益法 (元)</v>
      </c>
      <c r="E101" s="3354" t="s">
        <v>1431</v>
      </c>
      <c r="F101" s="3311"/>
      <c r="G101" s="1687" t="s">
        <v>1432</v>
      </c>
      <c r="H101" s="2381">
        <f ca="1">H118</f>
        <v>92.45</v>
      </c>
      <c r="I101" s="121"/>
    </row>
    <row r="102" spans="1:35" ht="18.75" customHeight="1">
      <c r="A102" s="3313" t="s">
        <v>1433</v>
      </c>
      <c r="B102" s="2370" t="s">
        <v>1432</v>
      </c>
      <c r="C102" s="2371">
        <f ca="1">IF(D32="楼面单价",ROUND(C19,0),C19)</f>
        <v>108</v>
      </c>
      <c r="D102" s="2372">
        <f ca="1">IF(D32="楼面单价",ROUND(D19,0),D19)</f>
        <v>69</v>
      </c>
      <c r="E102" s="3354"/>
      <c r="F102" s="3311"/>
      <c r="G102" s="1687" t="s">
        <v>1434</v>
      </c>
      <c r="H102" s="2341">
        <f ca="1">I118</f>
        <v>11501</v>
      </c>
      <c r="I102" s="121"/>
    </row>
    <row r="103" spans="1:35" ht="42.75" customHeight="1">
      <c r="A103" s="3313"/>
      <c r="B103" s="2370" t="s">
        <v>1434</v>
      </c>
      <c r="C103" s="2373">
        <f ca="1">C20</f>
        <v>13412</v>
      </c>
      <c r="D103" s="2374">
        <f ca="1">D20</f>
        <v>8634</v>
      </c>
      <c r="E103" s="3348" t="s">
        <v>1435</v>
      </c>
      <c r="F103" s="3349"/>
      <c r="G103" s="1688" t="s">
        <v>1436</v>
      </c>
      <c r="H103" s="2381">
        <f>IF(D36="正常操作",H104+H105+H106,H105+H106)</f>
        <v>0</v>
      </c>
      <c r="I103" s="121"/>
    </row>
    <row r="104" spans="1:35" ht="18.75" customHeight="1">
      <c r="A104" s="3313" t="s">
        <v>1437</v>
      </c>
      <c r="B104" s="2375" t="s">
        <v>1432</v>
      </c>
      <c r="C104" s="2376">
        <f ca="1">H118</f>
        <v>92.45</v>
      </c>
      <c r="D104" s="2377"/>
      <c r="E104" s="1555" t="s">
        <v>1438</v>
      </c>
      <c r="F104" s="1548"/>
      <c r="G104" s="1688" t="s">
        <v>1436</v>
      </c>
      <c r="H104" s="2382">
        <f>IF(D36="同一抵押权人同一抵押物续贷",C36&amp;"（续贷，未扣减，详见特别提示）",C36)</f>
        <v>0</v>
      </c>
      <c r="I104" s="121"/>
    </row>
    <row r="105" spans="1:35" ht="18.75" customHeight="1" thickBot="1">
      <c r="A105" s="3314"/>
      <c r="B105" s="2378" t="s">
        <v>1434</v>
      </c>
      <c r="C105" s="2379">
        <f ca="1">I118</f>
        <v>11501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0" t="str">
        <f>IF(项目基本情况!E8="已注销","——","3.房地产抵押价值")</f>
        <v>3.房地产抵押价值</v>
      </c>
      <c r="F107" s="3311"/>
      <c r="G107" s="1687" t="s">
        <v>1432</v>
      </c>
      <c r="H107" s="2381">
        <f ca="1">IF(E107="——","——",H101-H103)</f>
        <v>92.45</v>
      </c>
      <c r="I107" s="121"/>
    </row>
    <row r="108" spans="1:35" ht="18.75" customHeight="1">
      <c r="A108" s="121"/>
      <c r="B108" s="121"/>
      <c r="C108" s="121"/>
      <c r="D108" s="121"/>
      <c r="E108" s="3310"/>
      <c r="F108" s="3311"/>
      <c r="G108" s="1687" t="s">
        <v>1434</v>
      </c>
      <c r="H108" s="2341">
        <f ca="1">IF(H107=H101,H102,ROUND(H107*10000/'数据-汇总表'!E3,0))</f>
        <v>11501</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4" t="str">
        <f>IF(E109="——","——",H101-H105-H106)</f>
        <v>——</v>
      </c>
      <c r="I109" s="121"/>
    </row>
    <row r="110" spans="1:35" ht="18.75" customHeight="1">
      <c r="A110" s="121"/>
      <c r="B110" s="121"/>
      <c r="C110" s="121"/>
      <c r="D110" s="121"/>
      <c r="E110" s="3310"/>
      <c r="F110" s="3311"/>
      <c r="G110" s="1687" t="s">
        <v>1434</v>
      </c>
      <c r="H110" s="2341"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1" t="str">
        <f>IF(E111="——","——",N59)</f>
        <v>——</v>
      </c>
      <c r="I111" s="121"/>
    </row>
    <row r="112" spans="1:35" ht="18.75" customHeight="1" thickBot="1">
      <c r="A112" s="121"/>
      <c r="B112" s="121"/>
      <c r="C112" s="121"/>
      <c r="D112" s="121"/>
      <c r="E112" s="3343"/>
      <c r="F112" s="3344"/>
      <c r="G112" s="1690" t="s">
        <v>1434</v>
      </c>
      <c r="H112" s="2385"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6" t="str">
        <f>项目基本情况!S2</f>
        <v>北京市平谷区府前西街18号院1号楼14层2单元1406房地产</v>
      </c>
      <c r="B118" s="2150">
        <f>M18</f>
        <v>80.38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3">
        <f ca="1">ROUND(IF(D32="总价",C32,I118*B118/10000),2)</f>
        <v>92.45</v>
      </c>
      <c r="I118" s="2150">
        <f ca="1">ROUND(IF(D32="楼面单价",C32,H118*10000/B118),0)</f>
        <v>11501</v>
      </c>
    </row>
    <row r="119" spans="1:27" ht="18.75"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玖拾贰万肆仟伍佰元整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92.45</v>
      </c>
      <c r="E122" s="3346"/>
      <c r="F122" s="3346"/>
      <c r="G122" s="3346"/>
      <c r="H122" s="3346"/>
      <c r="I122" s="3347"/>
      <c r="AA122" s="684"/>
    </row>
    <row r="123" spans="1:27" ht="18.75" customHeight="1">
      <c r="A123" s="3281" t="s">
        <v>1452</v>
      </c>
      <c r="B123" s="3281"/>
      <c r="C123" s="3281"/>
      <c r="D123" s="3321" t="str">
        <f ca="1">NUMBERSTRING(INT(D122*10000),2)&amp;"元整"</f>
        <v>玖拾贰万肆仟伍佰元整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D8Q3742kmjUVEGTAm9njA98GN+HpGUmuhx14VSIpscL22rRqGMCirnajanvN+PVC3pBVurrlG/HSVGokXX+L4Q==" saltValue="olJI6YeEO32jgxznGDXPP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5350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80.38</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80.38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80.38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49</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北京市平谷区府前西街18号院1号楼14层2单元1406房地产抵押价值预评估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-124</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80.38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80.38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80.38</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75" t="s">
        <v>2317</v>
      </c>
      <c r="K2" s="337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7" t="s">
        <v>2327</v>
      </c>
      <c r="K3" s="337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7" t="s">
        <v>2329</v>
      </c>
      <c r="K4" s="337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3" t="s">
        <v>2333</v>
      </c>
      <c r="B6" s="3384"/>
      <c r="C6" s="3385"/>
      <c r="D6" s="2621"/>
      <c r="E6" s="2622"/>
      <c r="F6" s="2623"/>
      <c r="G6" s="2624"/>
      <c r="H6" s="2599"/>
      <c r="I6" s="2600"/>
      <c r="J6" s="3369">
        <v>1</v>
      </c>
      <c r="K6" s="337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9"/>
      <c r="K7" s="337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6" t="s">
        <v>2347</v>
      </c>
      <c r="C8" s="3387"/>
      <c r="D8" s="2640" t="s">
        <v>2348</v>
      </c>
      <c r="E8" s="2641" t="s">
        <v>2349</v>
      </c>
      <c r="F8" s="2642" t="s">
        <v>2350</v>
      </c>
      <c r="G8" s="2643"/>
      <c r="H8" s="2599"/>
      <c r="I8" s="2600"/>
      <c r="J8" s="3369"/>
      <c r="K8" s="337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6" t="s">
        <v>2353</v>
      </c>
      <c r="C9" s="3387"/>
      <c r="D9" s="2640">
        <f>ROUND(D6*E9,0)</f>
        <v>0</v>
      </c>
      <c r="E9" s="2644"/>
      <c r="F9" s="2645" t="s">
        <v>2354</v>
      </c>
      <c r="G9" s="2624"/>
      <c r="H9" s="2599"/>
      <c r="I9" s="2600"/>
      <c r="J9" s="3369"/>
      <c r="K9" s="3371"/>
      <c r="L9" s="2634" t="s">
        <v>2355</v>
      </c>
      <c r="M9" s="2635"/>
      <c r="N9" s="2611"/>
      <c r="O9" s="2636"/>
      <c r="P9" s="2636"/>
      <c r="Q9" s="2637">
        <v>365</v>
      </c>
      <c r="R9" s="2638">
        <f t="shared" si="0"/>
        <v>0</v>
      </c>
      <c r="S9" s="2592"/>
      <c r="T9" s="2592"/>
      <c r="U9" s="2592"/>
      <c r="V9" s="2600"/>
    </row>
    <row r="10" spans="1:22" s="2604" customFormat="1" ht="13.15" customHeight="1">
      <c r="A10" s="2639">
        <v>2</v>
      </c>
      <c r="B10" s="3386" t="s">
        <v>2356</v>
      </c>
      <c r="C10" s="3387"/>
      <c r="D10" s="2640">
        <f>ROUND(D6*E10,0)</f>
        <v>0</v>
      </c>
      <c r="E10" s="2644"/>
      <c r="F10" s="2645" t="s">
        <v>2357</v>
      </c>
      <c r="G10" s="2624"/>
      <c r="H10" s="2599"/>
      <c r="I10" s="2600"/>
      <c r="J10" s="3369"/>
      <c r="K10" s="3371"/>
      <c r="L10" s="2634" t="s">
        <v>2358</v>
      </c>
      <c r="M10" s="2635"/>
      <c r="N10" s="2611"/>
      <c r="O10" s="2636"/>
      <c r="P10" s="2636"/>
      <c r="Q10" s="2637">
        <v>365</v>
      </c>
      <c r="R10" s="2638">
        <f t="shared" si="0"/>
        <v>0</v>
      </c>
      <c r="S10" s="2592"/>
      <c r="T10" s="2592"/>
      <c r="U10" s="2592"/>
      <c r="V10" s="2600"/>
    </row>
    <row r="11" spans="1:22" s="2604" customFormat="1" ht="13.15" customHeight="1">
      <c r="A11" s="2639">
        <v>3</v>
      </c>
      <c r="B11" s="3386" t="s">
        <v>2359</v>
      </c>
      <c r="C11" s="3387"/>
      <c r="D11" s="2640">
        <f>D12+D14+D15+D16</f>
        <v>0</v>
      </c>
      <c r="E11" s="2646" t="e">
        <f>D11/D6</f>
        <v>#DIV/0!</v>
      </c>
      <c r="F11" s="2642"/>
      <c r="G11" s="2643"/>
      <c r="H11" s="2599"/>
      <c r="I11" s="2600"/>
      <c r="J11" s="3369"/>
      <c r="K11" s="337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9" t="s">
        <v>2362</v>
      </c>
      <c r="C12" s="3380"/>
      <c r="D12" s="2648">
        <f>ROUND(D13*1.2%*(1-30%),0)</f>
        <v>0</v>
      </c>
      <c r="E12" s="2649">
        <v>1.2E-2</v>
      </c>
      <c r="F12" s="2642" t="s">
        <v>2363</v>
      </c>
      <c r="G12" s="2643"/>
      <c r="H12" s="2599"/>
      <c r="I12" s="2600"/>
      <c r="J12" s="3369"/>
      <c r="K12" s="337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9"/>
      <c r="K13" s="337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9" t="s">
        <v>2368</v>
      </c>
      <c r="C14" s="3380"/>
      <c r="D14" s="2648">
        <f>ROUND(E14*B5/10000,0)</f>
        <v>0</v>
      </c>
      <c r="E14" s="2637"/>
      <c r="F14" s="2642" t="s">
        <v>2369</v>
      </c>
      <c r="G14" s="2643"/>
      <c r="H14" s="2599"/>
      <c r="I14" s="2600"/>
      <c r="J14" s="3369"/>
      <c r="K14" s="337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9" t="s">
        <v>2372</v>
      </c>
      <c r="C15" s="3380"/>
      <c r="D15" s="2648">
        <f>ROUND(D6*E15,0)</f>
        <v>0</v>
      </c>
      <c r="E15" s="2649">
        <v>5.5E-2</v>
      </c>
      <c r="F15" s="2642" t="s">
        <v>2373</v>
      </c>
      <c r="G15" s="2624"/>
      <c r="H15" s="2599"/>
      <c r="I15" s="2600"/>
      <c r="J15" s="3369">
        <v>2</v>
      </c>
      <c r="K15" s="337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9" t="s">
        <v>2381</v>
      </c>
      <c r="C16" s="3380"/>
      <c r="D16" s="2659">
        <f>D6*E16</f>
        <v>0</v>
      </c>
      <c r="E16" s="2660"/>
      <c r="F16" s="2645" t="s">
        <v>2382</v>
      </c>
      <c r="G16" s="2624"/>
      <c r="H16" s="2599"/>
      <c r="I16" s="2600"/>
      <c r="J16" s="3369"/>
      <c r="K16" s="337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1" t="s">
        <v>2384</v>
      </c>
      <c r="C17" s="3382"/>
      <c r="D17" s="2662">
        <f>ROUND(D6*E17,0)</f>
        <v>0</v>
      </c>
      <c r="E17" s="2663"/>
      <c r="F17" s="2664" t="s">
        <v>2385</v>
      </c>
      <c r="G17" s="2624"/>
      <c r="H17" s="2599"/>
      <c r="I17" s="2600"/>
      <c r="J17" s="3369"/>
      <c r="K17" s="337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9"/>
      <c r="K18" s="337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9"/>
      <c r="K19" s="337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9"/>
      <c r="K21" s="337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9"/>
      <c r="K22" s="337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9"/>
      <c r="K23" s="337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9"/>
      <c r="K24" s="337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5" t="s">
        <v>2317</v>
      </c>
      <c r="K32" s="337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7" t="s">
        <v>2327</v>
      </c>
      <c r="K33" s="337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7" t="s">
        <v>2329</v>
      </c>
      <c r="K34" s="337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9">
        <v>1</v>
      </c>
      <c r="K36" s="337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9"/>
      <c r="K40" s="337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69.402900000000002</v>
      </c>
      <c r="C2" s="1729" t="s">
        <v>1651</v>
      </c>
      <c r="D2" s="1730" t="s">
        <v>1652</v>
      </c>
      <c r="E2" s="2393">
        <f>SUM(E6:E13)</f>
        <v>80.38</v>
      </c>
      <c r="F2" s="2479"/>
      <c r="G2" s="459"/>
      <c r="H2" s="459"/>
      <c r="I2" s="459"/>
      <c r="J2" s="459"/>
      <c r="K2" s="459"/>
      <c r="L2" s="459"/>
      <c r="M2" s="459"/>
      <c r="N2" s="459"/>
      <c r="O2" s="459"/>
      <c r="P2" s="459"/>
      <c r="Q2" s="459"/>
      <c r="R2" s="459"/>
      <c r="S2" s="459"/>
    </row>
    <row r="3" spans="1:22" ht="15.5">
      <c r="A3" s="1728" t="s">
        <v>686</v>
      </c>
      <c r="B3" s="2387">
        <f ca="1">ROUND(B2*10000/E2,0)</f>
        <v>8634</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8" t="s">
        <v>1654</v>
      </c>
      <c r="C5" s="3389"/>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69.402900000000002</v>
      </c>
      <c r="C6" s="1729" t="s">
        <v>1651</v>
      </c>
      <c r="D6" s="2479"/>
      <c r="E6" s="2392">
        <f>IF(OR(A6=0,F6="否"),0,'数据-取费表'!K6+'数据-取费表'!S6)</f>
        <v>80.38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80.38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8" t="s">
        <v>1667</v>
      </c>
      <c r="D4" s="3409"/>
      <c r="E4" s="3410" t="s">
        <v>1668</v>
      </c>
      <c r="F4" s="3411"/>
      <c r="G4" s="3408" t="s">
        <v>1669</v>
      </c>
      <c r="H4" s="3409"/>
      <c r="I4" s="3408" t="s">
        <v>1670</v>
      </c>
      <c r="J4" s="3409"/>
      <c r="K4" s="1744" t="s">
        <v>1671</v>
      </c>
      <c r="L4" s="2486"/>
      <c r="M4" s="2487"/>
      <c r="N4" s="2487"/>
      <c r="O4" s="2487"/>
      <c r="P4" s="3412" t="s">
        <v>1672</v>
      </c>
      <c r="Q4" s="3413"/>
      <c r="R4" s="3418" t="s">
        <v>1668</v>
      </c>
      <c r="S4" s="3419"/>
      <c r="T4" s="3418" t="s">
        <v>1669</v>
      </c>
      <c r="U4" s="3419"/>
      <c r="V4" s="3394" t="s">
        <v>1670</v>
      </c>
      <c r="W4" s="3394"/>
      <c r="X4" s="1265"/>
      <c r="Y4" s="3418" t="s">
        <v>1672</v>
      </c>
      <c r="Z4" s="3419"/>
      <c r="AA4" s="3405" t="s">
        <v>1668</v>
      </c>
      <c r="AB4" s="3405" t="s">
        <v>1669</v>
      </c>
      <c r="AC4" s="3405" t="s">
        <v>1670</v>
      </c>
    </row>
    <row r="5" spans="1:29">
      <c r="A5" s="348"/>
      <c r="B5" s="349"/>
      <c r="C5" s="3426" t="s">
        <v>1673</v>
      </c>
      <c r="D5" s="3427"/>
      <c r="E5" s="3433" t="s">
        <v>1674</v>
      </c>
      <c r="F5" s="3434"/>
      <c r="G5" s="3426" t="s">
        <v>1675</v>
      </c>
      <c r="H5" s="3427"/>
      <c r="I5" s="3426" t="s">
        <v>1676</v>
      </c>
      <c r="J5" s="3427"/>
      <c r="K5" s="1745"/>
      <c r="L5" s="2486"/>
      <c r="M5" s="2487"/>
      <c r="N5" s="2487"/>
      <c r="O5" s="2487"/>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1745" t="s">
        <v>1678</v>
      </c>
      <c r="L6" s="2486"/>
      <c r="M6" s="2487"/>
      <c r="N6" s="2487"/>
      <c r="O6" s="2487"/>
      <c r="P6" s="3416"/>
      <c r="Q6" s="3417"/>
      <c r="R6" s="3420"/>
      <c r="S6" s="3421"/>
      <c r="T6" s="3422"/>
      <c r="U6" s="3423"/>
      <c r="V6" s="3394"/>
      <c r="W6" s="3394"/>
      <c r="X6" s="1265"/>
      <c r="Y6" s="3422"/>
      <c r="Z6" s="3423"/>
      <c r="AA6" s="3407"/>
      <c r="AB6" s="3407"/>
      <c r="AC6" s="3407"/>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28" t="s">
        <v>1680</v>
      </c>
      <c r="Q7" s="3430"/>
      <c r="R7" s="664" t="s">
        <v>20</v>
      </c>
      <c r="S7" s="665">
        <f t="shared" ref="S7:S15" si="0">F7</f>
        <v>0</v>
      </c>
      <c r="T7" s="664" t="s">
        <v>20</v>
      </c>
      <c r="U7" s="665">
        <f t="shared" ref="U7:U15" si="1">H7</f>
        <v>0</v>
      </c>
      <c r="V7" s="664" t="s">
        <v>20</v>
      </c>
      <c r="W7" s="665">
        <f t="shared" ref="W7:W15" si="2">J7</f>
        <v>0</v>
      </c>
      <c r="X7" s="666"/>
      <c r="Y7" s="3428" t="s">
        <v>1680</v>
      </c>
      <c r="Z7" s="342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28" t="s">
        <v>1683</v>
      </c>
      <c r="Q8" s="3429"/>
      <c r="R8" s="664" t="s">
        <v>20</v>
      </c>
      <c r="S8" s="665">
        <f t="shared" si="0"/>
        <v>100</v>
      </c>
      <c r="T8" s="664" t="s">
        <v>20</v>
      </c>
      <c r="U8" s="665">
        <f t="shared" si="1"/>
        <v>100</v>
      </c>
      <c r="V8" s="664" t="s">
        <v>20</v>
      </c>
      <c r="W8" s="665">
        <f t="shared" si="2"/>
        <v>100</v>
      </c>
      <c r="X8" s="666"/>
      <c r="Y8" s="3428" t="s">
        <v>1683</v>
      </c>
      <c r="Z8" s="342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4"/>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4"/>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4"/>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4"/>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03"/>
      <c r="Q16" s="1263"/>
      <c r="R16" s="667"/>
      <c r="S16" s="668"/>
      <c r="T16" s="667"/>
      <c r="U16" s="668"/>
      <c r="V16" s="667"/>
      <c r="W16" s="668"/>
      <c r="X16" s="1265"/>
      <c r="Y16" s="339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03"/>
      <c r="Q18" s="1263"/>
      <c r="R18" s="667"/>
      <c r="S18" s="668"/>
      <c r="T18" s="667"/>
      <c r="U18" s="668"/>
      <c r="V18" s="667"/>
      <c r="W18" s="668"/>
      <c r="X18" s="1265"/>
      <c r="Y18" s="339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03"/>
      <c r="Q20" s="1263"/>
      <c r="R20" s="667"/>
      <c r="S20" s="668"/>
      <c r="T20" s="667"/>
      <c r="U20" s="668"/>
      <c r="V20" s="667"/>
      <c r="W20" s="668"/>
      <c r="X20" s="1265"/>
      <c r="Y20" s="339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03"/>
      <c r="Q22" s="1263"/>
      <c r="R22" s="667"/>
      <c r="S22" s="668"/>
      <c r="T22" s="667"/>
      <c r="U22" s="668"/>
      <c r="V22" s="667"/>
      <c r="W22" s="668"/>
      <c r="X22" s="1265"/>
      <c r="Y22" s="339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03"/>
      <c r="Q24" s="1263"/>
      <c r="R24" s="667"/>
      <c r="S24" s="668"/>
      <c r="T24" s="667"/>
      <c r="U24" s="668"/>
      <c r="V24" s="667"/>
      <c r="W24" s="668"/>
      <c r="X24" s="1265"/>
      <c r="Y24" s="339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80.38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394"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394"/>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394"/>
      <c r="AC6" s="3407"/>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8"/>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4"/>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2"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03"/>
      <c r="Q16" s="1263"/>
      <c r="R16" s="667"/>
      <c r="S16" s="668"/>
      <c r="T16" s="667"/>
      <c r="U16" s="668"/>
      <c r="V16" s="667"/>
      <c r="W16" s="668"/>
      <c r="X16" s="1265"/>
      <c r="Y16" s="339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03"/>
      <c r="Q18" s="1263"/>
      <c r="R18" s="667"/>
      <c r="S18" s="668"/>
      <c r="T18" s="667"/>
      <c r="U18" s="668"/>
      <c r="V18" s="667"/>
      <c r="W18" s="668"/>
      <c r="X18" s="1265"/>
      <c r="Y18" s="339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03"/>
      <c r="Q20" s="1263"/>
      <c r="R20" s="667"/>
      <c r="S20" s="668"/>
      <c r="T20" s="667"/>
      <c r="U20" s="668"/>
      <c r="V20" s="667"/>
      <c r="W20" s="668"/>
      <c r="X20" s="1265"/>
      <c r="Y20" s="339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03"/>
      <c r="Q22" s="1263"/>
      <c r="R22" s="667"/>
      <c r="S22" s="668"/>
      <c r="T22" s="667"/>
      <c r="U22" s="668"/>
      <c r="V22" s="667"/>
      <c r="W22" s="668"/>
      <c r="X22" s="1265"/>
      <c r="Y22" s="339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03"/>
      <c r="Q24" s="1263"/>
      <c r="R24" s="667"/>
      <c r="S24" s="668"/>
      <c r="T24" s="667"/>
      <c r="U24" s="668"/>
      <c r="V24" s="667"/>
      <c r="W24" s="668"/>
      <c r="X24" s="1265"/>
      <c r="Y24" s="339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3"/>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93" t="str">
        <f>A47</f>
        <v>成交单价（元/平方米）</v>
      </c>
      <c r="Q47" s="3393"/>
      <c r="R47" s="3394">
        <f>E47</f>
        <v>0</v>
      </c>
      <c r="S47" s="3394"/>
      <c r="T47" s="3394">
        <f>G47</f>
        <v>0</v>
      </c>
      <c r="U47" s="3394"/>
      <c r="V47" s="3394">
        <f>I47</f>
        <v>0</v>
      </c>
      <c r="W47" s="3394"/>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80.38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860"/>
      <c r="M4" s="861"/>
      <c r="N4" s="861"/>
      <c r="O4" s="861"/>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860"/>
      <c r="M5" s="861"/>
      <c r="N5" s="861"/>
      <c r="O5" s="861"/>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860"/>
      <c r="M6" s="861"/>
      <c r="N6" s="861"/>
      <c r="O6" s="861"/>
      <c r="P6" s="3416"/>
      <c r="Q6" s="3417"/>
      <c r="R6" s="3420"/>
      <c r="S6" s="3421"/>
      <c r="T6" s="3422"/>
      <c r="U6" s="3423"/>
      <c r="V6" s="3394"/>
      <c r="W6" s="3394"/>
      <c r="X6" s="1265"/>
      <c r="Y6" s="3422"/>
      <c r="Z6" s="3423"/>
      <c r="AA6" s="3407"/>
      <c r="AB6" s="3407"/>
      <c r="AC6" s="3407"/>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8" t="s">
        <v>1683</v>
      </c>
      <c r="Q8" s="3429"/>
      <c r="R8" s="664" t="s">
        <v>14</v>
      </c>
      <c r="S8" s="665">
        <f t="shared" si="0"/>
        <v>100</v>
      </c>
      <c r="T8" s="664" t="s">
        <v>14</v>
      </c>
      <c r="U8" s="665">
        <f t="shared" si="1"/>
        <v>100</v>
      </c>
      <c r="V8" s="664" t="s">
        <v>14</v>
      </c>
      <c r="W8" s="665">
        <f t="shared" si="2"/>
        <v>100</v>
      </c>
      <c r="X8" s="666"/>
      <c r="Y8" s="3428" t="s">
        <v>1683</v>
      </c>
      <c r="Z8" s="342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3" t="str">
        <f>A41</f>
        <v>成交单价（元/平方米）</v>
      </c>
      <c r="Q41" s="3393"/>
      <c r="R41" s="3394">
        <f>E41</f>
        <v>0</v>
      </c>
      <c r="S41" s="3394"/>
      <c r="T41" s="3394">
        <f>G41</f>
        <v>0</v>
      </c>
      <c r="U41" s="3394"/>
      <c r="V41" s="3394">
        <f>I41</f>
        <v>0</v>
      </c>
      <c r="W41" s="3394"/>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8"/>
      <c r="M7" s="2440"/>
      <c r="N7" s="2440"/>
      <c r="O7" s="2440"/>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96"/>
      <c r="Q15" s="1263"/>
      <c r="R15" s="667"/>
      <c r="S15" s="668"/>
      <c r="T15" s="667"/>
      <c r="U15" s="668"/>
      <c r="V15" s="667"/>
      <c r="W15" s="668"/>
      <c r="X15" s="1265"/>
      <c r="Y15" s="339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96"/>
      <c r="Q17" s="1263"/>
      <c r="R17" s="667"/>
      <c r="S17" s="668"/>
      <c r="T17" s="667"/>
      <c r="U17" s="668"/>
      <c r="V17" s="667"/>
      <c r="W17" s="668"/>
      <c r="X17" s="1265"/>
      <c r="Y17" s="339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96"/>
      <c r="Q19" s="1263"/>
      <c r="R19" s="667"/>
      <c r="S19" s="668"/>
      <c r="T19" s="667"/>
      <c r="U19" s="668"/>
      <c r="V19" s="667"/>
      <c r="W19" s="668"/>
      <c r="X19" s="1265"/>
      <c r="Y19" s="339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96"/>
      <c r="Q21" s="1263"/>
      <c r="R21" s="667"/>
      <c r="S21" s="668"/>
      <c r="T21" s="667"/>
      <c r="U21" s="668"/>
      <c r="V21" s="667"/>
      <c r="W21" s="668"/>
      <c r="X21" s="1265"/>
      <c r="Y21" s="339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393" t="str">
        <f>A37</f>
        <v>成交单价</v>
      </c>
      <c r="Q37" s="3393"/>
      <c r="R37" s="3394">
        <f>E37</f>
        <v>0</v>
      </c>
      <c r="S37" s="3394"/>
      <c r="T37" s="3394">
        <f>G37</f>
        <v>0</v>
      </c>
      <c r="U37" s="3394"/>
      <c r="V37" s="3394">
        <f>I37</f>
        <v>0</v>
      </c>
      <c r="W37" s="3394"/>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90" t="str">
        <f>A39</f>
        <v>估价对象XX用房的比较价值（楼面单价，元/平方米）</v>
      </c>
      <c r="Q39" s="3391"/>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28" t="s">
        <v>1680</v>
      </c>
      <c r="Q7" s="3430"/>
      <c r="R7" s="664" t="s">
        <v>14</v>
      </c>
      <c r="S7" s="665">
        <f t="shared" ref="S7:S14" si="0">F7</f>
        <v>0</v>
      </c>
      <c r="T7" s="664" t="s">
        <v>14</v>
      </c>
      <c r="U7" s="665">
        <f t="shared" ref="U7:U14" si="1">H7</f>
        <v>0</v>
      </c>
      <c r="V7" s="664" t="s">
        <v>14</v>
      </c>
      <c r="W7" s="665">
        <f t="shared" ref="W7:W14" si="2">J7</f>
        <v>0</v>
      </c>
      <c r="X7" s="666"/>
      <c r="Y7" s="3428" t="s">
        <v>1680</v>
      </c>
      <c r="Z7" s="342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28" t="s">
        <v>1683</v>
      </c>
      <c r="Q8" s="3429"/>
      <c r="R8" s="664" t="s">
        <v>14</v>
      </c>
      <c r="S8" s="665">
        <f t="shared" si="0"/>
        <v>100</v>
      </c>
      <c r="T8" s="664" t="s">
        <v>14</v>
      </c>
      <c r="U8" s="665">
        <f t="shared" si="1"/>
        <v>100</v>
      </c>
      <c r="V8" s="664" t="s">
        <v>14</v>
      </c>
      <c r="W8" s="665">
        <f t="shared" si="2"/>
        <v>100</v>
      </c>
      <c r="X8" s="666"/>
      <c r="Y8" s="3428" t="s">
        <v>1683</v>
      </c>
      <c r="Z8" s="342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3"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3"/>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3"/>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96"/>
      <c r="Q15" s="1263"/>
      <c r="R15" s="667"/>
      <c r="S15" s="668"/>
      <c r="T15" s="667"/>
      <c r="U15" s="668"/>
      <c r="V15" s="667"/>
      <c r="W15" s="668"/>
      <c r="X15" s="1265"/>
      <c r="Y15" s="339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96"/>
      <c r="Q17" s="1263"/>
      <c r="R17" s="667"/>
      <c r="S17" s="668"/>
      <c r="T17" s="667"/>
      <c r="U17" s="668"/>
      <c r="V17" s="667"/>
      <c r="W17" s="668"/>
      <c r="X17" s="1265"/>
      <c r="Y17" s="339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96"/>
      <c r="Q19" s="1263"/>
      <c r="R19" s="667"/>
      <c r="S19" s="668"/>
      <c r="T19" s="667"/>
      <c r="U19" s="668"/>
      <c r="V19" s="667"/>
      <c r="W19" s="668"/>
      <c r="X19" s="1265"/>
      <c r="Y19" s="339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96"/>
      <c r="Q21" s="1263"/>
      <c r="R21" s="667"/>
      <c r="S21" s="668"/>
      <c r="T21" s="667"/>
      <c r="U21" s="668"/>
      <c r="V21" s="667"/>
      <c r="W21" s="668"/>
      <c r="X21" s="1265"/>
      <c r="Y21" s="339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93" t="str">
        <f>A35</f>
        <v>成交单价（元/平方米）</v>
      </c>
      <c r="Q35" s="3393"/>
      <c r="R35" s="3394">
        <f>E35</f>
        <v>0</v>
      </c>
      <c r="S35" s="3394"/>
      <c r="T35" s="3394">
        <f>G35</f>
        <v>0</v>
      </c>
      <c r="U35" s="3394"/>
      <c r="V35" s="3394">
        <f>I35</f>
        <v>0</v>
      </c>
      <c r="W35" s="3394"/>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90" t="str">
        <f>A37</f>
        <v>估价对象XX用房的比较价值（楼面单价，元/平方米）</v>
      </c>
      <c r="Q37" s="3391"/>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119</v>
      </c>
      <c r="G10" s="402"/>
      <c r="H10" s="119">
        <f>ROUND(100/'数据-取费表'!G16,0)</f>
        <v>119</v>
      </c>
      <c r="I10" s="402"/>
      <c r="J10" s="119">
        <f>ROUND(100/'数据-取费表'!G16,0)</f>
        <v>119</v>
      </c>
      <c r="K10" s="592"/>
      <c r="L10" s="2489"/>
      <c r="M10" s="2490"/>
      <c r="N10" s="2490"/>
      <c r="O10" s="2541"/>
      <c r="P10" s="3393"/>
      <c r="Q10" s="530" t="str">
        <f t="shared" si="6"/>
        <v>土地使用年限（年）</v>
      </c>
      <c r="R10" s="664" t="s">
        <v>14</v>
      </c>
      <c r="S10" s="665">
        <f t="shared" si="0"/>
        <v>119</v>
      </c>
      <c r="T10" s="664" t="s">
        <v>14</v>
      </c>
      <c r="U10" s="665">
        <f t="shared" si="1"/>
        <v>119</v>
      </c>
      <c r="V10" s="664" t="s">
        <v>14</v>
      </c>
      <c r="W10" s="665">
        <f t="shared" si="2"/>
        <v>119</v>
      </c>
      <c r="X10" s="666"/>
      <c r="Y10" s="3268"/>
      <c r="Z10" s="50" t="str">
        <f t="shared" si="7"/>
        <v>土地使用年限（年）</v>
      </c>
      <c r="AA10" s="50">
        <f t="shared" si="3"/>
        <v>0.84033613445378152</v>
      </c>
      <c r="AB10" s="50">
        <f t="shared" si="4"/>
        <v>0.84033613445378152</v>
      </c>
      <c r="AC10" s="50">
        <f t="shared" si="5"/>
        <v>0.84033613445378152</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3"/>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96"/>
      <c r="Q20" s="1263"/>
      <c r="R20" s="667"/>
      <c r="S20" s="668"/>
      <c r="T20" s="667"/>
      <c r="U20" s="668"/>
      <c r="V20" s="667"/>
      <c r="W20" s="668"/>
      <c r="X20" s="1265"/>
      <c r="Y20" s="339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96"/>
      <c r="Q24" s="1263"/>
      <c r="R24" s="667"/>
      <c r="S24" s="668"/>
      <c r="T24" s="667"/>
      <c r="U24" s="668"/>
      <c r="V24" s="667"/>
      <c r="W24" s="668"/>
      <c r="X24" s="1265"/>
      <c r="Y24" s="339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96"/>
      <c r="Q26" s="1263"/>
      <c r="R26" s="667"/>
      <c r="S26" s="668"/>
      <c r="T26" s="667"/>
      <c r="U26" s="668"/>
      <c r="V26" s="667"/>
      <c r="W26" s="668"/>
      <c r="X26" s="1265"/>
      <c r="Y26" s="339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96"/>
      <c r="Q28" s="530"/>
      <c r="R28" s="664"/>
      <c r="S28" s="665"/>
      <c r="T28" s="664"/>
      <c r="U28" s="665"/>
      <c r="V28" s="664"/>
      <c r="W28" s="665"/>
      <c r="X28" s="666"/>
      <c r="Y28" s="339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96"/>
      <c r="Q30" s="530"/>
      <c r="R30" s="664"/>
      <c r="S30" s="665"/>
      <c r="T30" s="664"/>
      <c r="U30" s="665"/>
      <c r="V30" s="664"/>
      <c r="W30" s="665"/>
      <c r="X30" s="666"/>
      <c r="Y30" s="339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96"/>
      <c r="Q33" s="1263"/>
      <c r="R33" s="667"/>
      <c r="S33" s="668"/>
      <c r="T33" s="667"/>
      <c r="U33" s="668"/>
      <c r="V33" s="667"/>
      <c r="W33" s="668"/>
      <c r="X33" s="1265"/>
      <c r="Y33" s="339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5"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93" t="str">
        <f>A46</f>
        <v>成交单价</v>
      </c>
      <c r="Q46" s="3393"/>
      <c r="R46" s="3394">
        <f>E46</f>
        <v>0</v>
      </c>
      <c r="S46" s="3394"/>
      <c r="T46" s="3394">
        <f>G46</f>
        <v>0</v>
      </c>
      <c r="U46" s="3394"/>
      <c r="V46" s="3394">
        <f>I46</f>
        <v>0</v>
      </c>
      <c r="W46" s="3394"/>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3" t="str">
        <f>A47</f>
        <v>比较价值（元/平方米）</v>
      </c>
      <c r="Q47" s="3393"/>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90" t="str">
        <f>A48</f>
        <v>估价对象XX用房的比较价值（楼面单价，元/平方米）</v>
      </c>
      <c r="Q48" s="3391"/>
      <c r="R48" s="3438" t="e">
        <f>ROUND(IF(D47="简单平均",AVERAGE(R47:W47),R47*F47+T47*H47+V47*J47),0)</f>
        <v>#DIV/0!</v>
      </c>
      <c r="S48" s="3438"/>
      <c r="T48" s="3438"/>
      <c r="U48" s="3438"/>
      <c r="V48" s="3438"/>
      <c r="W48" s="343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8" t="s">
        <v>1887</v>
      </c>
      <c r="H55" s="343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80.38</v>
      </c>
      <c r="F56" s="833" t="e">
        <f t="shared" ref="F56:F64" si="15">ROUND(B56*E56/10000,0)</f>
        <v>#DIV/0!</v>
      </c>
      <c r="G56" s="3404"/>
      <c r="H56" s="339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SUMIF(修正!A59:A70,H60,修正!E59:E70)</f>
        <v>0.2</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SUMIF(修正!A59:A70,H61,修正!F59:F70)</f>
        <v>0.2</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SUMIF(修正!A59:A70,H64,修正!G59:G70)</f>
        <v>0.1</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80.38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受贵公司委托，我公司对北京市平谷区府前西街18号院1号楼14层2单元1406房地产抵押价值进行了预评估。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估价对象为北京市平谷区府前西街18号院1号楼14层2单元1406房地产，为所有。根据《国有土地使用证》[]，估价对象（分摊）出让国有建设用地使用权面积为0平方米，建筑面积为80.38平方米。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14层2单元1406房地产,属开发建设的办公项目，该项目尚在开发建设中。根据《国有土地使用证》[]，估价对象（分摊）出让国有建设用地使用权面积为0平方米，规划建筑面积为80.38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平谷区府前西街18号院1号楼14层2单元1406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12" t="s">
        <v>1775</v>
      </c>
      <c r="Q4" s="3413"/>
      <c r="R4" s="3418" t="s">
        <v>1771</v>
      </c>
      <c r="S4" s="3419"/>
      <c r="T4" s="3418" t="s">
        <v>1772</v>
      </c>
      <c r="U4" s="3419"/>
      <c r="V4" s="3394" t="s">
        <v>1773</v>
      </c>
      <c r="W4" s="3394"/>
      <c r="X4" s="1265"/>
      <c r="Y4" s="3418" t="s">
        <v>1775</v>
      </c>
      <c r="Z4" s="3419"/>
      <c r="AA4" s="3405" t="s">
        <v>1771</v>
      </c>
      <c r="AB4" s="3406" t="s">
        <v>1772</v>
      </c>
      <c r="AC4" s="3405" t="s">
        <v>1773</v>
      </c>
    </row>
    <row r="5" spans="1:29">
      <c r="A5" s="348"/>
      <c r="B5" s="349"/>
      <c r="C5" s="3426" t="s">
        <v>1673</v>
      </c>
      <c r="D5" s="3427"/>
      <c r="E5" s="3433" t="s">
        <v>1674</v>
      </c>
      <c r="F5" s="3434"/>
      <c r="G5" s="3426" t="s">
        <v>1675</v>
      </c>
      <c r="H5" s="3427"/>
      <c r="I5" s="3426" t="s">
        <v>1676</v>
      </c>
      <c r="J5" s="3427"/>
      <c r="K5" s="537"/>
      <c r="L5" s="2486"/>
      <c r="M5" s="2487"/>
      <c r="N5" s="2487"/>
      <c r="O5" s="2487"/>
      <c r="P5" s="3414"/>
      <c r="Q5" s="3415"/>
      <c r="R5" s="3420"/>
      <c r="S5" s="3421"/>
      <c r="T5" s="3420"/>
      <c r="U5" s="3421"/>
      <c r="V5" s="3394"/>
      <c r="W5" s="3394"/>
      <c r="X5" s="1265"/>
      <c r="Y5" s="3420"/>
      <c r="Z5" s="3421"/>
      <c r="AA5" s="3406"/>
      <c r="AB5" s="3406"/>
      <c r="AC5" s="3406"/>
    </row>
    <row r="6" spans="1:29" ht="15" thickBot="1">
      <c r="A6" s="350"/>
      <c r="B6" s="351"/>
      <c r="C6" s="3440" t="s">
        <v>1919</v>
      </c>
      <c r="D6" s="3441"/>
      <c r="E6" s="3442" t="s">
        <v>1919</v>
      </c>
      <c r="F6" s="3443"/>
      <c r="G6" s="3440" t="s">
        <v>1919</v>
      </c>
      <c r="H6" s="3441"/>
      <c r="I6" s="3440" t="s">
        <v>1919</v>
      </c>
      <c r="J6" s="3441"/>
      <c r="K6" s="537" t="s">
        <v>1678</v>
      </c>
      <c r="L6" s="2486"/>
      <c r="M6" s="2487"/>
      <c r="N6" s="2487"/>
      <c r="O6" s="2487"/>
      <c r="P6" s="3416"/>
      <c r="Q6" s="3417"/>
      <c r="R6" s="3420"/>
      <c r="S6" s="3421"/>
      <c r="T6" s="3422"/>
      <c r="U6" s="3423"/>
      <c r="V6" s="3394"/>
      <c r="W6" s="3394"/>
      <c r="X6" s="1265"/>
      <c r="Y6" s="3422"/>
      <c r="Z6" s="3423"/>
      <c r="AA6" s="3407"/>
      <c r="AB6" s="3407"/>
      <c r="AC6" s="3407"/>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28"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28" t="s">
        <v>1683</v>
      </c>
      <c r="Q8" s="3429"/>
      <c r="R8" s="664" t="s">
        <v>14</v>
      </c>
      <c r="S8" s="665">
        <f t="shared" si="0"/>
        <v>0</v>
      </c>
      <c r="T8" s="664" t="s">
        <v>14</v>
      </c>
      <c r="U8" s="665">
        <f t="shared" si="1"/>
        <v>0</v>
      </c>
      <c r="V8" s="664" t="s">
        <v>14</v>
      </c>
      <c r="W8" s="665">
        <f t="shared" si="2"/>
        <v>0</v>
      </c>
      <c r="X8" s="666"/>
      <c r="Y8" s="3428" t="s">
        <v>1683</v>
      </c>
      <c r="Z8" s="342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3"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119</v>
      </c>
      <c r="G10" s="371"/>
      <c r="H10" s="119">
        <f>ROUND(100/'数据-取费表'!G16,0)</f>
        <v>119</v>
      </c>
      <c r="I10" s="371"/>
      <c r="J10" s="119">
        <f>ROUND(100/'数据-取费表'!G16,0)</f>
        <v>119</v>
      </c>
      <c r="K10" s="592"/>
      <c r="L10" s="2489"/>
      <c r="M10" s="2490"/>
      <c r="N10" s="2490"/>
      <c r="O10" s="2541"/>
      <c r="P10" s="3393"/>
      <c r="Q10" s="530" t="str">
        <f t="shared" si="6"/>
        <v>土地使用年限（年）</v>
      </c>
      <c r="R10" s="664" t="s">
        <v>14</v>
      </c>
      <c r="S10" s="665">
        <f t="shared" si="0"/>
        <v>119</v>
      </c>
      <c r="T10" s="664" t="s">
        <v>14</v>
      </c>
      <c r="U10" s="665">
        <f t="shared" si="1"/>
        <v>119</v>
      </c>
      <c r="V10" s="664" t="s">
        <v>14</v>
      </c>
      <c r="W10" s="665">
        <f t="shared" si="2"/>
        <v>119</v>
      </c>
      <c r="X10" s="666"/>
      <c r="Y10" s="3268"/>
      <c r="Z10" s="50" t="str">
        <f t="shared" si="7"/>
        <v>土地使用年限（年）</v>
      </c>
      <c r="AA10" s="50">
        <f t="shared" si="3"/>
        <v>0.84033613445378152</v>
      </c>
      <c r="AB10" s="50">
        <f t="shared" si="4"/>
        <v>0.84033613445378152</v>
      </c>
      <c r="AC10" s="50">
        <f t="shared" si="5"/>
        <v>0.84033613445378152</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3"/>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3"/>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3"/>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3"/>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96"/>
      <c r="Q16" s="1263"/>
      <c r="R16" s="667"/>
      <c r="S16" s="668"/>
      <c r="T16" s="667"/>
      <c r="U16" s="668"/>
      <c r="V16" s="667"/>
      <c r="W16" s="668"/>
      <c r="X16" s="1265"/>
      <c r="Y16" s="339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96"/>
      <c r="Q18" s="1263"/>
      <c r="R18" s="667"/>
      <c r="S18" s="668"/>
      <c r="T18" s="667"/>
      <c r="U18" s="668"/>
      <c r="V18" s="667"/>
      <c r="W18" s="668"/>
      <c r="X18" s="1265"/>
      <c r="Y18" s="339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96"/>
      <c r="Q20" s="1263"/>
      <c r="R20" s="667"/>
      <c r="S20" s="668"/>
      <c r="T20" s="667"/>
      <c r="U20" s="668"/>
      <c r="V20" s="667"/>
      <c r="W20" s="668"/>
      <c r="X20" s="1265"/>
      <c r="Y20" s="339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96"/>
      <c r="Q22" s="1263"/>
      <c r="R22" s="667"/>
      <c r="S22" s="668"/>
      <c r="T22" s="667"/>
      <c r="U22" s="668"/>
      <c r="V22" s="667"/>
      <c r="W22" s="668"/>
      <c r="X22" s="1265"/>
      <c r="Y22" s="339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96"/>
      <c r="Q24" s="530"/>
      <c r="R24" s="664"/>
      <c r="S24" s="665"/>
      <c r="T24" s="664"/>
      <c r="U24" s="665"/>
      <c r="V24" s="664"/>
      <c r="W24" s="665"/>
      <c r="X24" s="666"/>
      <c r="Y24" s="339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96"/>
      <c r="Q26" s="530"/>
      <c r="R26" s="664"/>
      <c r="S26" s="665"/>
      <c r="T26" s="664"/>
      <c r="U26" s="665"/>
      <c r="V26" s="664"/>
      <c r="W26" s="665"/>
      <c r="X26" s="666"/>
      <c r="Y26" s="339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96"/>
      <c r="Q29" s="1263"/>
      <c r="R29" s="667"/>
      <c r="S29" s="668"/>
      <c r="T29" s="667"/>
      <c r="U29" s="668"/>
      <c r="V29" s="667"/>
      <c r="W29" s="668"/>
      <c r="X29" s="1265"/>
      <c r="Y29" s="339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5"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93" t="str">
        <f>A41</f>
        <v>成交单价</v>
      </c>
      <c r="Q41" s="3393"/>
      <c r="R41" s="3394">
        <f>E41</f>
        <v>0</v>
      </c>
      <c r="S41" s="3394"/>
      <c r="T41" s="3394">
        <f>G41</f>
        <v>0</v>
      </c>
      <c r="U41" s="3394"/>
      <c r="V41" s="3394">
        <f>I41</f>
        <v>0</v>
      </c>
      <c r="W41" s="3394"/>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3" t="str">
        <f>A42</f>
        <v>比较价值（元/平方米）</v>
      </c>
      <c r="Q42" s="3393"/>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90" t="str">
        <f>A43</f>
        <v>估价对象XX用房的比较价值（楼面单价，元/平方米）</v>
      </c>
      <c r="Q43" s="3391"/>
      <c r="R43" s="3438" t="e">
        <f>ROUND(IF(D42="简单平均",AVERAGE(R42:W42),R42*F42+T42*H42+V42*J42),0)</f>
        <v>#DIV/0!</v>
      </c>
      <c r="S43" s="3438"/>
      <c r="T43" s="3438"/>
      <c r="U43" s="3438"/>
      <c r="V43" s="3438"/>
      <c r="W43" s="343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8" t="s">
        <v>1887</v>
      </c>
      <c r="H50" s="343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80.38</v>
      </c>
      <c r="F51" s="611" t="e">
        <f t="shared" ref="F51:F60" si="15">ROUND(B51*E51/10000,0)</f>
        <v>#DIV/0!</v>
      </c>
      <c r="G51" s="3404"/>
      <c r="H51" s="339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SUMIF(修正!A59:A70,H56,修正!E59:E70)</f>
        <v>0.2</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SUMIF(修正!A59:A70,H57,修正!F59:F70)</f>
        <v>0.2</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SUMIF(修正!A59:A70,H60,修正!G59:G70)</f>
        <v>0.1</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f ca="1">SUMIF(B6:B13,"&lt;&gt;#ref!",B6:B13)</f>
        <v>49</v>
      </c>
      <c r="C2" s="1984" t="s">
        <v>2074</v>
      </c>
      <c r="D2" s="1984" t="s">
        <v>2075</v>
      </c>
      <c r="E2" s="2398">
        <f ca="1">SUMIF(E6:E13,"&lt;&gt;#ref!",E6:E13)</f>
        <v>80.38</v>
      </c>
      <c r="F2" s="2544"/>
      <c r="G2" s="2544"/>
      <c r="H2" s="2544"/>
      <c r="I2" s="2544"/>
      <c r="J2" s="2544"/>
      <c r="K2" s="2544"/>
      <c r="L2" s="2544"/>
      <c r="M2" s="2544"/>
      <c r="N2" s="2544"/>
      <c r="O2" s="2544"/>
      <c r="P2" s="2544"/>
    </row>
    <row r="3" spans="1:16" ht="15.5">
      <c r="A3" s="1984" t="s">
        <v>2076</v>
      </c>
      <c r="B3" s="2388">
        <f ca="1">ROUND(B2*10000/E2,0)</f>
        <v>6096</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f ca="1">SUMIF(INDIRECT("'"&amp;A6&amp;"'"&amp;"!A:A"),"总价",INDIRECT("'"&amp;A6&amp;"'"&amp;"!B:B"))</f>
        <v>49</v>
      </c>
      <c r="C6" s="1984" t="s">
        <v>2074</v>
      </c>
      <c r="D6" s="2544"/>
      <c r="E6" s="2398">
        <f ca="1">SUMIF(INDIRECT("'"&amp;A6&amp;"'"&amp;"!C:C"),"建筑面积",INDIRECT("'"&amp;A6&amp;"'"&amp;"!D:D"))</f>
        <v>80.38</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7"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2" sqref="K22"/>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107.8065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13412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513276</v>
      </c>
      <c r="D5" s="203" t="s">
        <v>1469</v>
      </c>
      <c r="E5" s="204" t="s">
        <v>1470</v>
      </c>
      <c r="F5" s="204" t="s">
        <v>1471</v>
      </c>
      <c r="G5" s="205"/>
    </row>
    <row r="6" spans="1:8" s="206" customFormat="1" ht="13.5" customHeight="1">
      <c r="A6" s="732" t="s">
        <v>1472</v>
      </c>
      <c r="B6" s="207" t="s">
        <v>1473</v>
      </c>
      <c r="C6" s="208">
        <f>ROUND(基准地价修正!D33*基准地价修正!C33,0)</f>
        <v>491845</v>
      </c>
      <c r="D6" s="209"/>
      <c r="E6" s="210"/>
      <c r="F6" s="210"/>
      <c r="G6" s="211"/>
    </row>
    <row r="7" spans="1:8" s="206" customFormat="1" ht="13.5" customHeight="1">
      <c r="A7" s="732" t="s">
        <v>1474</v>
      </c>
      <c r="B7" s="207" t="s">
        <v>1475</v>
      </c>
      <c r="C7" s="212">
        <f>ROUND(C6*F7,0)</f>
        <v>15001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6430</v>
      </c>
      <c r="D8" s="214"/>
      <c r="E8" s="212"/>
      <c r="F8" s="213"/>
      <c r="G8" s="1714" t="s">
        <v>3456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6430</v>
      </c>
      <c r="D10" s="795">
        <f ca="1">IF(B1="",'数据-汇总表'!E6,IF(INDIRECT("'数据-取费表'!c"&amp;$G$1)="住宅",INDIRECT("'数据-取费表'!s"&amp;$G$1),INDIRECT("'数据-取费表'!k"&amp;$G$1)+INDIRECT("'数据-取费表'!s"&amp;$G$1)))</f>
        <v>80.38</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80.38</v>
      </c>
      <c r="E19" s="203">
        <f>'数据-取费表'!B31</f>
        <v>200</v>
      </c>
      <c r="F19" s="223"/>
      <c r="G19" s="1714" t="s">
        <v>3457</v>
      </c>
    </row>
    <row r="20" spans="1:7" s="206" customFormat="1" ht="13.5" customHeight="1">
      <c r="A20" s="247" t="s">
        <v>1574</v>
      </c>
      <c r="B20" s="202" t="s">
        <v>1575</v>
      </c>
      <c r="C20" s="224">
        <f ca="1">ROUND((C5+C19)*F20,0)</f>
        <v>10266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32955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32634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78531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78531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687930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360102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321520</v>
      </c>
      <c r="D34" s="209"/>
      <c r="E34" s="212"/>
      <c r="F34" s="249"/>
      <c r="G34" s="211"/>
    </row>
    <row r="35" spans="1:7" ht="13.5" customHeight="1">
      <c r="A35" s="734" t="s">
        <v>351</v>
      </c>
      <c r="B35" s="207" t="s">
        <v>1527</v>
      </c>
      <c r="C35" s="212">
        <f ca="1">ROUND(C34*F35,0)</f>
        <v>16076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16076</v>
      </c>
      <c r="D37" s="209">
        <f ca="1">D19</f>
        <v>80.38</v>
      </c>
      <c r="E37" s="241">
        <f>'数据-取费表'!B35</f>
        <v>200</v>
      </c>
      <c r="F37" s="251"/>
      <c r="G37" s="253"/>
    </row>
    <row r="38" spans="1:7" ht="13.5" customHeight="1">
      <c r="A38" s="734" t="s">
        <v>354</v>
      </c>
      <c r="B38" s="207" t="s">
        <v>1533</v>
      </c>
      <c r="C38" s="212">
        <f ca="1">ROUND(C34*F38,0)</f>
        <v>6430</v>
      </c>
      <c r="D38" s="212"/>
      <c r="E38" s="212"/>
      <c r="F38" s="251">
        <f>'数据-取费表'!B36</f>
        <v>0.02</v>
      </c>
      <c r="G38" s="211" t="s">
        <v>1528</v>
      </c>
    </row>
    <row r="39" spans="1:7" s="206" customFormat="1" ht="13.5" customHeight="1">
      <c r="A39" s="247" t="s">
        <v>1534</v>
      </c>
      <c r="B39" s="202" t="s">
        <v>1535</v>
      </c>
      <c r="C39" s="224">
        <f ca="1">ROUND(C33*F20,0)</f>
        <v>7202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11496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11271</v>
      </c>
      <c r="D42" s="230"/>
      <c r="E42" s="230"/>
      <c r="F42" s="231"/>
      <c r="G42" s="3361" t="s">
        <v>1591</v>
      </c>
    </row>
    <row r="43" spans="1:7" ht="13.5" customHeight="1">
      <c r="A43" s="734" t="s">
        <v>347</v>
      </c>
      <c r="B43" s="207" t="s">
        <v>1545</v>
      </c>
      <c r="C43" s="230">
        <f ca="1">ROUND(IF('数据-取费表'!B22&lt;=1,C39*F22*'数据-取费表'!B20/2,C39*(POWER((1+F22),'数据-取费表'!B20/2)-1)),0)</f>
        <v>225</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55096</v>
      </c>
      <c r="D45" s="227">
        <f ca="1">C47</f>
        <v>3.0000000000000001E-3</v>
      </c>
      <c r="E45" s="228" t="s">
        <v>1539</v>
      </c>
      <c r="F45" s="238">
        <f ca="1">F27</f>
        <v>0.15</v>
      </c>
      <c r="G45" s="239" t="s">
        <v>1548</v>
      </c>
    </row>
    <row r="46" spans="1:7" s="206" customFormat="1" ht="13.5" customHeight="1">
      <c r="A46" s="734" t="s">
        <v>346</v>
      </c>
      <c r="B46" s="240" t="s">
        <v>1549</v>
      </c>
      <c r="C46" s="241">
        <f ca="1">ROUND((C33+C39)*F27,0)</f>
        <v>55096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470042</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390135</v>
      </c>
      <c r="D51" s="224"/>
      <c r="E51" s="224"/>
      <c r="F51" s="256"/>
      <c r="G51" s="226" t="s">
        <v>1560</v>
      </c>
    </row>
    <row r="52" spans="1:7" s="200" customFormat="1" ht="16.5" thickBot="1">
      <c r="A52" s="257" t="s">
        <v>1561</v>
      </c>
      <c r="B52" s="258"/>
      <c r="C52" s="259">
        <f ca="1">C31+C51</f>
        <v>1078065</v>
      </c>
      <c r="D52" s="258"/>
      <c r="E52" s="258"/>
      <c r="F52" s="258"/>
      <c r="G52" s="260"/>
    </row>
    <row r="55" spans="1:7" ht="15.5">
      <c r="B55" s="262" t="s">
        <v>1562</v>
      </c>
      <c r="C55" s="263"/>
    </row>
    <row r="56" spans="1:7" ht="13">
      <c r="B56" s="265" t="s">
        <v>802</v>
      </c>
      <c r="C56" s="267">
        <f ca="1">1-C57</f>
        <v>0.63800000000000001</v>
      </c>
    </row>
    <row r="57" spans="1:7" ht="13">
      <c r="B57" s="265" t="s">
        <v>803</v>
      </c>
      <c r="C57" s="266">
        <f ca="1">ROUND(C51/C52,3)</f>
        <v>0.36199999999999999</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80.38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49</v>
      </c>
      <c r="C2" s="1846" t="s">
        <v>1935</v>
      </c>
      <c r="D2" s="162" t="s">
        <v>1936</v>
      </c>
      <c r="E2" s="3120"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9435</v>
      </c>
      <c r="U2" s="1130"/>
      <c r="V2" s="3063">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6096</v>
      </c>
      <c r="C3" s="1846" t="s">
        <v>1941</v>
      </c>
      <c r="D3" s="162" t="s">
        <v>1942</v>
      </c>
      <c r="E3" s="3118" t="s">
        <v>3409</v>
      </c>
      <c r="F3" s="1848" t="s">
        <v>3450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7272</v>
      </c>
      <c r="U3" s="1130"/>
      <c r="V3" s="3063">
        <f t="shared" ref="V3:V16" si="1">ROUND(T3*U3/10000,0)</f>
        <v>0</v>
      </c>
      <c r="W3" s="1133"/>
      <c r="X3" s="1133"/>
      <c r="Y3" s="1133"/>
      <c r="Z3" s="1133"/>
      <c r="AA3" s="1133"/>
      <c r="AB3" s="1133"/>
      <c r="AC3" s="1134"/>
      <c r="AD3" s="1135"/>
      <c r="AE3" s="1135"/>
      <c r="AF3" s="1135"/>
      <c r="AG3" s="1135"/>
      <c r="AH3" s="1135"/>
      <c r="AI3" s="1135"/>
      <c r="AJ3" s="1136"/>
    </row>
    <row r="4" spans="1:36" ht="15.5">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5932</v>
      </c>
      <c r="U4" s="1130"/>
      <c r="V4" s="3063">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5036</v>
      </c>
      <c r="U5" s="1130"/>
      <c r="V5" s="3063">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4588</v>
      </c>
      <c r="U6" s="1130"/>
      <c r="V6" s="3063">
        <f t="shared" si="1"/>
        <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2</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63">
        <f t="shared" si="0"/>
        <v>0</v>
      </c>
      <c r="U8" s="1130"/>
      <c r="V8" s="3063">
        <f t="shared" si="1"/>
        <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56"/>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v>1</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61" t="s">
        <v>3254</v>
      </c>
      <c r="B20" s="159" t="s">
        <v>1994</v>
      </c>
      <c r="C20" s="3031">
        <f>ROUND(IF(F21="与级别开发程度一致",0,(G21-E21)/C21),0)</f>
        <v>0</v>
      </c>
      <c r="D20" s="3046" t="s">
        <v>1998</v>
      </c>
      <c r="E20" s="3047"/>
      <c r="F20" s="3467" t="s">
        <v>1995</v>
      </c>
      <c r="G20" s="346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5.5" thickBot="1">
      <c r="A21" s="3462"/>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3451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45950</v>
      </c>
      <c r="H23" s="3048" t="s">
        <v>3452</v>
      </c>
      <c r="I23" s="3049" t="str">
        <f>IF(H23="季度增幅（自定义）",SUMIF(N25:N28,E2,O25:O28),"")</f>
        <v/>
      </c>
      <c r="J23" s="3141" t="s">
        <v>3453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0.85429999999999995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29.65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1.0599000000000001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49</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6119</v>
      </c>
      <c r="D33" s="1940">
        <f>'数据-汇总表'!E19</f>
        <v>80.38</v>
      </c>
      <c r="E33" s="727">
        <f>ROUND(C33*D33/10000,0)</f>
        <v>49</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1530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5"/>
      <c r="B37" s="1955" t="s">
        <v>2036</v>
      </c>
      <c r="C37" s="167">
        <f>ROUND(D5*C22*C23*C24*C28*F37,0)</f>
        <v>3060</v>
      </c>
      <c r="D37" s="1940"/>
      <c r="E37" s="163">
        <f>ROUND(C37*D37/10000,0)</f>
        <v>0</v>
      </c>
      <c r="F37" s="163">
        <f>SUMIF(修正!A59:A70,G2,修正!B59:B70)</f>
        <v>0.5</v>
      </c>
      <c r="G37" s="163">
        <f>ROUND(IF(E2="工业",C37*$M$42,C37*$M$41),0)</f>
        <v>765</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6"/>
      <c r="B38" s="1884" t="s">
        <v>2037</v>
      </c>
      <c r="C38" s="167">
        <f>ROUND(D5*C22*C23*C24*C28*F38,0)</f>
        <v>1224</v>
      </c>
      <c r="D38" s="1940"/>
      <c r="E38" s="163">
        <f t="shared" ref="E38:E42" si="4">ROUND(C38*D38/10000,0)</f>
        <v>0</v>
      </c>
      <c r="F38" s="163">
        <f>SUMIF(修正!A59:A70,G2,修正!C59:C70)</f>
        <v>0.2</v>
      </c>
      <c r="G38" s="163">
        <f>ROUND(IF(E2="工业",C38*$M$42,C38*$M$41),0)</f>
        <v>306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6"/>
      <c r="B39" s="1884" t="s">
        <v>3257</v>
      </c>
      <c r="C39" s="167">
        <f>ROUND(D5*C22*C23*C24*C28*F39,0)</f>
        <v>1224</v>
      </c>
      <c r="D39" s="1940"/>
      <c r="E39" s="163">
        <f t="shared" si="4"/>
        <v>0</v>
      </c>
      <c r="F39" s="163">
        <f>SUMIF(修正!A59:A70,G2,修正!D59:D70)</f>
        <v>0.2</v>
      </c>
      <c r="G39" s="163">
        <f>ROUND(IF(E2="工业",C39*$M$42,C39*$M$41),0)</f>
        <v>306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1224</v>
      </c>
      <c r="D40" s="1940"/>
      <c r="E40" s="163">
        <f t="shared" si="4"/>
        <v>0</v>
      </c>
      <c r="F40" s="167">
        <f>SUMIF(修正!A59:A70,G2,修正!E59:E70)</f>
        <v>0.2</v>
      </c>
      <c r="G40" s="163">
        <f>ROUND(IF(E2="工业",C40*$M$42,C40*$M$41),0)</f>
        <v>306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1.0599000000000001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3454</v>
      </c>
      <c r="D61" s="1002">
        <f t="shared" ref="D61:D69" si="12">SUMIF($J$60:$N$60,C61,J61:N61)</f>
        <v>1.38E-2</v>
      </c>
      <c r="E61" s="702">
        <f>ROUND(SUM(D61:D69),4)</f>
        <v>5.9900000000000002E-2</v>
      </c>
      <c r="F61" s="1675">
        <f>IF(E2="办公",SUMIF(L1:L12,G2,N1:N12),"——")</f>
        <v>0.111</v>
      </c>
      <c r="G61" s="1000">
        <v>1.38E-2</v>
      </c>
      <c r="H61" s="1003">
        <f t="shared" ref="H61:H69" si="13">IFERROR(ROUNDDOWN($F$61*I61/2,4),"——")</f>
        <v>1.38E-2</v>
      </c>
      <c r="I61" s="3068">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3454</v>
      </c>
      <c r="D62" s="1002">
        <f t="shared" si="12"/>
        <v>1.44E-2</v>
      </c>
      <c r="E62" s="703"/>
      <c r="F62" s="1675"/>
      <c r="G62" s="1000">
        <v>1.44E-2</v>
      </c>
      <c r="H62" s="1003">
        <f t="shared" si="13"/>
        <v>1.44E-2</v>
      </c>
      <c r="I62" s="3068">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t="s">
        <v>3454</v>
      </c>
      <c r="D63" s="1002">
        <f t="shared" si="12"/>
        <v>6.1000000000000004E-3</v>
      </c>
      <c r="E63" s="703"/>
      <c r="F63" s="1675"/>
      <c r="G63" s="1000">
        <v>6.1000000000000004E-3</v>
      </c>
      <c r="H63" s="1003">
        <f t="shared" si="13"/>
        <v>6.1000000000000004E-3</v>
      </c>
      <c r="I63" s="3068">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3454</v>
      </c>
      <c r="D64" s="1002">
        <f t="shared" si="12"/>
        <v>2.7000000000000001E-3</v>
      </c>
      <c r="E64" s="703"/>
      <c r="F64" s="1675"/>
      <c r="G64" s="1000">
        <v>2.7000000000000001E-3</v>
      </c>
      <c r="H64" s="1003">
        <f t="shared" si="13"/>
        <v>2.7000000000000001E-3</v>
      </c>
      <c r="I64" s="3068">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3454</v>
      </c>
      <c r="D65" s="1002">
        <f t="shared" si="12"/>
        <v>2.7000000000000001E-3</v>
      </c>
      <c r="E65" s="703"/>
      <c r="F65" s="1675"/>
      <c r="G65" s="1000">
        <v>2.7000000000000001E-3</v>
      </c>
      <c r="H65" s="1003">
        <f t="shared" si="13"/>
        <v>2.7000000000000001E-3</v>
      </c>
      <c r="I65" s="3068">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3454</v>
      </c>
      <c r="D66" s="1002">
        <f t="shared" si="12"/>
        <v>3.3E-3</v>
      </c>
      <c r="E66" s="703"/>
      <c r="F66" s="1675"/>
      <c r="G66" s="1000">
        <v>3.3E-3</v>
      </c>
      <c r="H66" s="1003">
        <f t="shared" si="13"/>
        <v>3.3E-3</v>
      </c>
      <c r="I66" s="3068">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3454</v>
      </c>
      <c r="D67" s="1002">
        <f t="shared" si="12"/>
        <v>3.3E-3</v>
      </c>
      <c r="E67" s="703"/>
      <c r="F67" s="1675"/>
      <c r="G67" s="1000">
        <v>3.3E-3</v>
      </c>
      <c r="H67" s="1003">
        <f t="shared" si="13"/>
        <v>3.3E-3</v>
      </c>
      <c r="I67" s="3068">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3455</v>
      </c>
      <c r="D68" s="1002">
        <f t="shared" si="12"/>
        <v>9.7999999999999997E-3</v>
      </c>
      <c r="E68" s="703"/>
      <c r="F68" s="1675"/>
      <c r="G68" s="1000">
        <v>4.8999999999999998E-3</v>
      </c>
      <c r="H68" s="1003">
        <f t="shared" si="13"/>
        <v>4.8999999999999998E-3</v>
      </c>
      <c r="I68" s="3068">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3454</v>
      </c>
      <c r="D69" s="1002">
        <f t="shared" si="12"/>
        <v>3.8E-3</v>
      </c>
      <c r="E69" s="704"/>
      <c r="F69" s="1675"/>
      <c r="G69" s="1000">
        <v>3.8E-3</v>
      </c>
      <c r="H69" s="1003">
        <f t="shared" si="13"/>
        <v>3.8E-3</v>
      </c>
      <c r="I69" s="3069">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63" t="s">
        <v>3292</v>
      </c>
      <c r="B103" s="3463"/>
      <c r="C103" s="3463"/>
      <c r="D103" s="3463"/>
      <c r="E103" s="3463"/>
      <c r="F103" s="3463"/>
      <c r="G103" s="3463"/>
      <c r="H103" s="3463"/>
      <c r="I103" s="3463"/>
      <c r="J103" s="3463"/>
      <c r="K103" s="1667"/>
      <c r="L103" s="1667"/>
      <c r="M103" s="1667"/>
      <c r="N103" s="1667"/>
    </row>
    <row r="104" spans="1:14" ht="13">
      <c r="A104" s="3464" t="s">
        <v>3293</v>
      </c>
      <c r="B104" s="3464" t="s">
        <v>3294</v>
      </c>
      <c r="C104" s="3090" t="s">
        <v>3295</v>
      </c>
      <c r="D104" s="3091"/>
      <c r="E104" s="3091"/>
      <c r="F104" s="3091"/>
      <c r="G104" s="3091"/>
      <c r="H104" s="3091"/>
      <c r="I104" s="3091"/>
      <c r="J104" s="3092"/>
      <c r="K104" s="3093"/>
      <c r="L104" s="3093"/>
      <c r="M104" s="3093"/>
      <c r="N104" s="3093"/>
    </row>
    <row r="105" spans="1:14" ht="13">
      <c r="A105" s="3464"/>
      <c r="B105" s="3464"/>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0"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51"/>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53" t="s">
        <v>3309</v>
      </c>
      <c r="B113" s="3453"/>
      <c r="C113" s="3453"/>
      <c r="D113" s="3453"/>
      <c r="E113" s="3453"/>
      <c r="F113" s="3453"/>
      <c r="G113" s="3453"/>
      <c r="H113" s="3453"/>
      <c r="I113" s="3453"/>
      <c r="J113" s="345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2</v>
      </c>
      <c r="C116" s="3099" t="s">
        <v>3311</v>
      </c>
      <c r="D116" s="3100">
        <f>SUMPRODUCT((A118:A122=F116)*(B117:M117=H116)*B118:M122)</f>
        <v>0.80159999999999998</v>
      </c>
      <c r="E116" s="162" t="s">
        <v>3312</v>
      </c>
      <c r="F116" s="3101" t="str">
        <f>E2</f>
        <v>办公</v>
      </c>
      <c r="G116" s="162" t="s">
        <v>3313</v>
      </c>
      <c r="H116" s="3101" t="str">
        <f>G2</f>
        <v>八级</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ht="13">
      <c r="A119" s="3057" t="s">
        <v>3327</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ht="13">
      <c r="A120" s="3057" t="s">
        <v>3328</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3329</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ht="13">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9"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0" t="s">
        <v>2607</v>
      </c>
      <c r="B20" s="3473" t="s">
        <v>2628</v>
      </c>
      <c r="C20" s="3168" t="s">
        <v>2439</v>
      </c>
      <c r="D20" s="3168"/>
      <c r="E20" s="2844">
        <v>1</v>
      </c>
      <c r="F20" s="2845" t="s">
        <v>2440</v>
      </c>
      <c r="G20" s="2845"/>
    </row>
    <row r="21" spans="1:13" ht="19.5" customHeight="1">
      <c r="A21" s="3481"/>
      <c r="B21" s="3469"/>
      <c r="C21" s="2857" t="s">
        <v>2441</v>
      </c>
      <c r="D21" s="2857"/>
      <c r="E21" s="2848">
        <v>1</v>
      </c>
      <c r="F21" s="2845" t="s">
        <v>2442</v>
      </c>
      <c r="G21" s="2845"/>
    </row>
    <row r="22" spans="1:13" ht="19.5" customHeight="1">
      <c r="A22" s="3481"/>
      <c r="B22" s="3469"/>
      <c r="C22" s="2857" t="s">
        <v>2443</v>
      </c>
      <c r="D22" s="2857"/>
      <c r="E22" s="2848">
        <v>0.9</v>
      </c>
      <c r="F22" s="2845" t="s">
        <v>2444</v>
      </c>
      <c r="G22" s="2845"/>
    </row>
    <row r="23" spans="1:13" ht="19.5" customHeight="1">
      <c r="A23" s="3481"/>
      <c r="B23" s="3469"/>
      <c r="C23" s="2857" t="s">
        <v>2445</v>
      </c>
      <c r="D23" s="2857"/>
      <c r="E23" s="2848">
        <v>0.9</v>
      </c>
      <c r="F23" s="2845" t="s">
        <v>2446</v>
      </c>
      <c r="G23" s="2845"/>
    </row>
    <row r="24" spans="1:13" ht="19.5" customHeight="1">
      <c r="A24" s="3481"/>
      <c r="B24" s="3469"/>
      <c r="C24" s="2857" t="s">
        <v>2447</v>
      </c>
      <c r="D24" s="2857"/>
      <c r="E24" s="2848">
        <v>0.8</v>
      </c>
      <c r="F24" s="2845" t="s">
        <v>2448</v>
      </c>
      <c r="G24" s="2845"/>
    </row>
    <row r="25" spans="1:13" ht="19.5" customHeight="1">
      <c r="A25" s="3481"/>
      <c r="B25" s="3469"/>
      <c r="C25" s="2857" t="s">
        <v>2449</v>
      </c>
      <c r="D25" s="2857"/>
      <c r="E25" s="2848">
        <v>0.8</v>
      </c>
      <c r="F25" s="2845"/>
      <c r="G25" s="2845"/>
    </row>
    <row r="26" spans="1:13" ht="19.5" customHeight="1">
      <c r="A26" s="3481"/>
      <c r="B26" s="3469"/>
      <c r="C26" s="2857" t="s">
        <v>3407</v>
      </c>
      <c r="D26" s="2857"/>
      <c r="E26" s="2848">
        <v>0.43</v>
      </c>
      <c r="F26" s="2845"/>
      <c r="G26" s="2845"/>
    </row>
    <row r="27" spans="1:13" ht="19.5" customHeight="1" thickBot="1">
      <c r="A27" s="3482"/>
      <c r="B27" s="3474"/>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75" t="s">
        <v>2631</v>
      </c>
      <c r="B29" s="3478" t="s">
        <v>2612</v>
      </c>
      <c r="C29" s="2842" t="s">
        <v>2452</v>
      </c>
      <c r="D29" s="2843"/>
      <c r="E29" s="2844">
        <v>1</v>
      </c>
      <c r="F29" s="2845" t="s">
        <v>2453</v>
      </c>
      <c r="G29" s="2845"/>
    </row>
    <row r="30" spans="1:13" ht="19.5" customHeight="1">
      <c r="A30" s="3476"/>
      <c r="B30" s="3472"/>
      <c r="C30" s="2846" t="s">
        <v>2454</v>
      </c>
      <c r="D30" s="2847"/>
      <c r="E30" s="2848">
        <v>1</v>
      </c>
      <c r="F30" s="2845" t="s">
        <v>2455</v>
      </c>
      <c r="G30" s="2845"/>
    </row>
    <row r="31" spans="1:13" ht="19.5" customHeight="1">
      <c r="A31" s="3476"/>
      <c r="B31" s="3472"/>
      <c r="C31" s="2846" t="s">
        <v>2456</v>
      </c>
      <c r="D31" s="2847"/>
      <c r="E31" s="2848">
        <v>0.8</v>
      </c>
      <c r="F31" s="2845" t="s">
        <v>2457</v>
      </c>
      <c r="G31" s="2845"/>
    </row>
    <row r="32" spans="1:13" ht="19.5" customHeight="1">
      <c r="A32" s="3476"/>
      <c r="B32" s="3472"/>
      <c r="C32" s="2846" t="s">
        <v>2458</v>
      </c>
      <c r="D32" s="2847"/>
      <c r="E32" s="2848">
        <v>0.8</v>
      </c>
      <c r="F32" s="2845" t="s">
        <v>2459</v>
      </c>
      <c r="G32" s="2845"/>
    </row>
    <row r="33" spans="1:7" ht="19.5" customHeight="1">
      <c r="A33" s="3476"/>
      <c r="B33" s="3472"/>
      <c r="C33" s="2846" t="s">
        <v>2460</v>
      </c>
      <c r="D33" s="2847"/>
      <c r="E33" s="2848">
        <v>0.8</v>
      </c>
      <c r="F33" s="2845" t="s">
        <v>2461</v>
      </c>
      <c r="G33" s="2845"/>
    </row>
    <row r="34" spans="1:7" ht="19.5" customHeight="1">
      <c r="A34" s="3476"/>
      <c r="B34" s="3472"/>
      <c r="C34" s="2846" t="s">
        <v>2462</v>
      </c>
      <c r="D34" s="2847"/>
      <c r="E34" s="2848">
        <v>0.7</v>
      </c>
      <c r="F34" s="2845" t="s">
        <v>2463</v>
      </c>
      <c r="G34" s="2845"/>
    </row>
    <row r="35" spans="1:7" ht="19.5" customHeight="1">
      <c r="A35" s="3476"/>
      <c r="B35" s="3472"/>
      <c r="C35" s="2846" t="s">
        <v>2464</v>
      </c>
      <c r="D35" s="2847"/>
      <c r="E35" s="2848">
        <v>0.8</v>
      </c>
      <c r="F35" s="2845" t="s">
        <v>2465</v>
      </c>
      <c r="G35" s="2845"/>
    </row>
    <row r="36" spans="1:7" ht="19.5" customHeight="1">
      <c r="A36" s="3476"/>
      <c r="B36" s="3472"/>
      <c r="C36" s="2846" t="s">
        <v>2466</v>
      </c>
      <c r="D36" s="2847"/>
      <c r="E36" s="2848">
        <v>0.6</v>
      </c>
      <c r="F36" s="2845" t="s">
        <v>2467</v>
      </c>
      <c r="G36" s="2845"/>
    </row>
    <row r="37" spans="1:7" ht="19.5" customHeight="1">
      <c r="A37" s="3476"/>
      <c r="B37" s="3472"/>
      <c r="C37" s="2846" t="s">
        <v>2468</v>
      </c>
      <c r="D37" s="2847"/>
      <c r="E37" s="2848">
        <v>0.2</v>
      </c>
      <c r="F37" s="2845" t="s">
        <v>2469</v>
      </c>
      <c r="G37" s="2845"/>
    </row>
    <row r="38" spans="1:7" ht="19.5" customHeight="1">
      <c r="A38" s="3476"/>
      <c r="B38" s="3472"/>
      <c r="C38" s="2846" t="s">
        <v>2470</v>
      </c>
      <c r="D38" s="2847"/>
      <c r="E38" s="2848">
        <v>0.2</v>
      </c>
      <c r="F38" s="2845" t="s">
        <v>2471</v>
      </c>
      <c r="G38" s="2845"/>
    </row>
    <row r="39" spans="1:7" ht="19.5" customHeight="1">
      <c r="A39" s="3476"/>
      <c r="B39" s="3470" t="s">
        <v>2632</v>
      </c>
      <c r="C39" s="2846" t="s">
        <v>2472</v>
      </c>
      <c r="D39" s="2847"/>
      <c r="E39" s="2848">
        <v>0.6</v>
      </c>
      <c r="F39" s="2845" t="s">
        <v>2473</v>
      </c>
      <c r="G39" s="2845"/>
    </row>
    <row r="40" spans="1:7" ht="19.5" customHeight="1">
      <c r="A40" s="3476"/>
      <c r="B40" s="3472"/>
      <c r="C40" s="2846" t="s">
        <v>2474</v>
      </c>
      <c r="D40" s="2847"/>
      <c r="E40" s="2848">
        <v>0.6</v>
      </c>
      <c r="F40" s="2845" t="s">
        <v>2475</v>
      </c>
      <c r="G40" s="2845"/>
    </row>
    <row r="41" spans="1:7" ht="19.5" customHeight="1" thickBot="1">
      <c r="A41" s="3477"/>
      <c r="B41" s="3479"/>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0" t="s">
        <v>2610</v>
      </c>
      <c r="B43" s="3478" t="s">
        <v>2634</v>
      </c>
      <c r="C43" s="2842" t="s">
        <v>2479</v>
      </c>
      <c r="D43" s="2843"/>
      <c r="E43" s="2844">
        <v>1</v>
      </c>
      <c r="F43" s="2845" t="s">
        <v>2480</v>
      </c>
      <c r="G43" s="2845"/>
    </row>
    <row r="44" spans="1:7" ht="19.5" customHeight="1">
      <c r="A44" s="3481"/>
      <c r="B44" s="3472"/>
      <c r="C44" s="2846" t="s">
        <v>2481</v>
      </c>
      <c r="D44" s="2847"/>
      <c r="E44" s="2848">
        <v>1</v>
      </c>
      <c r="F44" s="2845" t="s">
        <v>2482</v>
      </c>
      <c r="G44" s="2845"/>
    </row>
    <row r="45" spans="1:7" ht="19.5" customHeight="1">
      <c r="A45" s="3481"/>
      <c r="B45" s="3471"/>
      <c r="C45" s="2846" t="s">
        <v>2483</v>
      </c>
      <c r="D45" s="2847"/>
      <c r="E45" s="2848">
        <v>1.5</v>
      </c>
      <c r="F45" s="2845" t="s">
        <v>2484</v>
      </c>
      <c r="G45" s="2845"/>
    </row>
    <row r="46" spans="1:7" ht="19.5" customHeight="1">
      <c r="A46" s="3481"/>
      <c r="B46" s="2857" t="s">
        <v>2635</v>
      </c>
      <c r="C46" s="2846" t="s">
        <v>2636</v>
      </c>
      <c r="D46" s="2847"/>
      <c r="E46" s="2848">
        <v>2</v>
      </c>
      <c r="F46" s="2845" t="s">
        <v>2485</v>
      </c>
      <c r="G46" s="2845"/>
    </row>
    <row r="47" spans="1:7" ht="19.5" customHeight="1">
      <c r="A47" s="3481"/>
      <c r="B47" s="3470" t="s">
        <v>2637</v>
      </c>
      <c r="C47" s="2846" t="s">
        <v>2486</v>
      </c>
      <c r="D47" s="2847"/>
      <c r="E47" s="2848">
        <v>1</v>
      </c>
      <c r="F47" s="2845" t="s">
        <v>2487</v>
      </c>
      <c r="G47" s="2845"/>
    </row>
    <row r="48" spans="1:7" ht="19.5" customHeight="1">
      <c r="A48" s="3481"/>
      <c r="B48" s="3472"/>
      <c r="C48" s="2846" t="s">
        <v>2488</v>
      </c>
      <c r="D48" s="2847"/>
      <c r="E48" s="2848">
        <v>1</v>
      </c>
      <c r="F48" s="2845" t="s">
        <v>2489</v>
      </c>
      <c r="G48" s="2845"/>
    </row>
    <row r="49" spans="1:7" ht="19.5" customHeight="1">
      <c r="A49" s="3481"/>
      <c r="B49" s="3472"/>
      <c r="C49" s="2846" t="s">
        <v>2490</v>
      </c>
      <c r="D49" s="2847"/>
      <c r="E49" s="2848">
        <v>1</v>
      </c>
      <c r="F49" s="2845" t="s">
        <v>2491</v>
      </c>
      <c r="G49" s="2845"/>
    </row>
    <row r="50" spans="1:7" ht="19.5" customHeight="1">
      <c r="A50" s="3481"/>
      <c r="B50" s="3472"/>
      <c r="C50" s="2846" t="s">
        <v>2492</v>
      </c>
      <c r="D50" s="2847"/>
      <c r="E50" s="2848">
        <v>1</v>
      </c>
      <c r="F50" s="2845" t="s">
        <v>2493</v>
      </c>
      <c r="G50" s="2845"/>
    </row>
    <row r="51" spans="1:7" ht="19.5" customHeight="1">
      <c r="A51" s="3481"/>
      <c r="B51" s="3472"/>
      <c r="C51" s="2846" t="s">
        <v>2494</v>
      </c>
      <c r="D51" s="2847"/>
      <c r="E51" s="2848">
        <v>1</v>
      </c>
      <c r="F51" s="2845" t="s">
        <v>2495</v>
      </c>
      <c r="G51" s="2845"/>
    </row>
    <row r="52" spans="1:7" ht="19.5" customHeight="1">
      <c r="A52" s="3481"/>
      <c r="B52" s="3472"/>
      <c r="C52" s="2846" t="s">
        <v>2496</v>
      </c>
      <c r="D52" s="2847"/>
      <c r="E52" s="2848">
        <v>1</v>
      </c>
      <c r="F52" s="2845" t="s">
        <v>2497</v>
      </c>
      <c r="G52" s="2845"/>
    </row>
    <row r="53" spans="1:7" ht="19.5" customHeight="1" thickBot="1">
      <c r="A53" s="3482"/>
      <c r="B53" s="3479"/>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0" t="s">
        <v>2651</v>
      </c>
      <c r="C75" s="2831" t="s">
        <v>2652</v>
      </c>
      <c r="D75" s="2831" t="s">
        <v>2653</v>
      </c>
      <c r="E75" s="2857">
        <v>0.2</v>
      </c>
      <c r="F75" s="2857">
        <v>25</v>
      </c>
    </row>
    <row r="76" spans="1:7" ht="26">
      <c r="A76" s="2857">
        <v>2</v>
      </c>
      <c r="B76" s="3472"/>
      <c r="C76" s="2831" t="s">
        <v>2654</v>
      </c>
      <c r="D76" s="2831" t="s">
        <v>2655</v>
      </c>
      <c r="E76" s="2857">
        <v>0.2</v>
      </c>
      <c r="F76" s="2857">
        <v>25</v>
      </c>
    </row>
    <row r="77" spans="1:7" ht="26">
      <c r="A77" s="2857">
        <v>3</v>
      </c>
      <c r="B77" s="3472"/>
      <c r="C77" s="2831" t="s">
        <v>2656</v>
      </c>
      <c r="D77" s="2831" t="s">
        <v>2657</v>
      </c>
      <c r="E77" s="2857">
        <v>0.2</v>
      </c>
      <c r="F77" s="2857">
        <v>25</v>
      </c>
    </row>
    <row r="78" spans="1:7" ht="14">
      <c r="A78" s="2857">
        <v>4</v>
      </c>
      <c r="B78" s="3472"/>
      <c r="C78" s="2831" t="s">
        <v>2658</v>
      </c>
      <c r="D78" s="2831" t="s">
        <v>2659</v>
      </c>
      <c r="E78" s="2857">
        <v>0.15</v>
      </c>
      <c r="F78" s="2857">
        <v>20</v>
      </c>
    </row>
    <row r="79" spans="1:7" ht="26">
      <c r="A79" s="2857">
        <v>5</v>
      </c>
      <c r="B79" s="3472"/>
      <c r="C79" s="2831" t="s">
        <v>2660</v>
      </c>
      <c r="D79" s="2831" t="s">
        <v>2661</v>
      </c>
      <c r="E79" s="2857">
        <v>0.15</v>
      </c>
      <c r="F79" s="2857">
        <v>20</v>
      </c>
    </row>
    <row r="80" spans="1:7" ht="26">
      <c r="A80" s="2857">
        <v>6</v>
      </c>
      <c r="B80" s="3472"/>
      <c r="C80" s="2831" t="s">
        <v>2662</v>
      </c>
      <c r="D80" s="2831" t="s">
        <v>2663</v>
      </c>
      <c r="E80" s="2857">
        <v>0.15</v>
      </c>
      <c r="F80" s="2857">
        <v>20</v>
      </c>
    </row>
    <row r="81" spans="1:6" ht="26">
      <c r="A81" s="2857">
        <v>7</v>
      </c>
      <c r="B81" s="3472"/>
      <c r="C81" s="2831" t="s">
        <v>2664</v>
      </c>
      <c r="D81" s="2831" t="s">
        <v>2665</v>
      </c>
      <c r="E81" s="2857">
        <v>0.15</v>
      </c>
      <c r="F81" s="2857">
        <v>20</v>
      </c>
    </row>
    <row r="82" spans="1:6" ht="26">
      <c r="A82" s="2857">
        <v>8</v>
      </c>
      <c r="B82" s="3472"/>
      <c r="C82" s="2831" t="s">
        <v>2666</v>
      </c>
      <c r="D82" s="2831" t="s">
        <v>2667</v>
      </c>
      <c r="E82" s="2857">
        <v>0.1</v>
      </c>
      <c r="F82" s="2857">
        <v>15</v>
      </c>
    </row>
    <row r="83" spans="1:6" ht="26">
      <c r="A83" s="2857">
        <v>9</v>
      </c>
      <c r="B83" s="3472"/>
      <c r="C83" s="2831" t="s">
        <v>2668</v>
      </c>
      <c r="D83" s="2831" t="s">
        <v>2669</v>
      </c>
      <c r="E83" s="2857">
        <v>0.1</v>
      </c>
      <c r="F83" s="2857">
        <v>15</v>
      </c>
    </row>
    <row r="84" spans="1:6" ht="26">
      <c r="A84" s="2857">
        <v>10</v>
      </c>
      <c r="B84" s="3472"/>
      <c r="C84" s="2831" t="s">
        <v>2670</v>
      </c>
      <c r="D84" s="2831" t="s">
        <v>2671</v>
      </c>
      <c r="E84" s="2857">
        <v>0.1</v>
      </c>
      <c r="F84" s="2857">
        <v>15</v>
      </c>
    </row>
    <row r="85" spans="1:6" ht="26">
      <c r="A85" s="2857">
        <v>11</v>
      </c>
      <c r="B85" s="3472"/>
      <c r="C85" s="2831" t="s">
        <v>2672</v>
      </c>
      <c r="D85" s="2831" t="s">
        <v>2673</v>
      </c>
      <c r="E85" s="2857">
        <v>0.1</v>
      </c>
      <c r="F85" s="2857">
        <v>15</v>
      </c>
    </row>
    <row r="86" spans="1:6" ht="26">
      <c r="A86" s="2857">
        <v>12</v>
      </c>
      <c r="B86" s="3472"/>
      <c r="C86" s="2831" t="s">
        <v>2674</v>
      </c>
      <c r="D86" s="2831" t="s">
        <v>2675</v>
      </c>
      <c r="E86" s="2857">
        <v>0.1</v>
      </c>
      <c r="F86" s="2857">
        <v>15</v>
      </c>
    </row>
    <row r="87" spans="1:6" ht="14">
      <c r="A87" s="2857">
        <v>13</v>
      </c>
      <c r="B87" s="3472"/>
      <c r="C87" s="2831" t="s">
        <v>2676</v>
      </c>
      <c r="D87" s="2831" t="s">
        <v>2677</v>
      </c>
      <c r="E87" s="2857">
        <v>0.1</v>
      </c>
      <c r="F87" s="2857">
        <v>15</v>
      </c>
    </row>
    <row r="88" spans="1:6" ht="14">
      <c r="A88" s="2857">
        <v>14</v>
      </c>
      <c r="B88" s="3472"/>
      <c r="C88" s="2831" t="s">
        <v>2678</v>
      </c>
      <c r="D88" s="2831" t="s">
        <v>2679</v>
      </c>
      <c r="E88" s="2857">
        <v>0.1</v>
      </c>
      <c r="F88" s="2857">
        <v>15</v>
      </c>
    </row>
    <row r="89" spans="1:6" ht="14">
      <c r="A89" s="2857">
        <v>15</v>
      </c>
      <c r="B89" s="3472"/>
      <c r="C89" s="2831" t="s">
        <v>2680</v>
      </c>
      <c r="D89" s="2831" t="s">
        <v>2681</v>
      </c>
      <c r="E89" s="2857">
        <v>0.1</v>
      </c>
      <c r="F89" s="2857">
        <v>15</v>
      </c>
    </row>
    <row r="90" spans="1:6" ht="26">
      <c r="A90" s="2857">
        <v>16</v>
      </c>
      <c r="B90" s="3472"/>
      <c r="C90" s="2831" t="s">
        <v>2682</v>
      </c>
      <c r="D90" s="2831" t="s">
        <v>2683</v>
      </c>
      <c r="E90" s="2857">
        <v>0.1</v>
      </c>
      <c r="F90" s="2857">
        <v>15</v>
      </c>
    </row>
    <row r="91" spans="1:6" ht="26">
      <c r="A91" s="2857">
        <v>17</v>
      </c>
      <c r="B91" s="3471"/>
      <c r="C91" s="2831" t="s">
        <v>2684</v>
      </c>
      <c r="D91" s="2831" t="s">
        <v>2685</v>
      </c>
      <c r="E91" s="2857">
        <v>0.1</v>
      </c>
      <c r="F91" s="2857">
        <v>15</v>
      </c>
    </row>
    <row r="92" spans="1:6" ht="14">
      <c r="A92" s="2857">
        <v>18</v>
      </c>
      <c r="B92" s="3470" t="s">
        <v>2686</v>
      </c>
      <c r="C92" s="2831" t="s">
        <v>2687</v>
      </c>
      <c r="D92" s="2831" t="s">
        <v>2688</v>
      </c>
      <c r="E92" s="2857">
        <v>0.2</v>
      </c>
      <c r="F92" s="2857">
        <v>25</v>
      </c>
    </row>
    <row r="93" spans="1:6" ht="26">
      <c r="A93" s="2857">
        <v>19</v>
      </c>
      <c r="B93" s="3472"/>
      <c r="C93" s="2831" t="s">
        <v>2689</v>
      </c>
      <c r="D93" s="2831" t="s">
        <v>2690</v>
      </c>
      <c r="E93" s="2857">
        <v>0.2</v>
      </c>
      <c r="F93" s="2857">
        <v>25</v>
      </c>
    </row>
    <row r="94" spans="1:6" ht="14">
      <c r="A94" s="2857">
        <v>20</v>
      </c>
      <c r="B94" s="3472"/>
      <c r="C94" s="2831" t="s">
        <v>2691</v>
      </c>
      <c r="D94" s="2831" t="s">
        <v>2692</v>
      </c>
      <c r="E94" s="2857">
        <v>0.15</v>
      </c>
      <c r="F94" s="2857">
        <v>20</v>
      </c>
    </row>
    <row r="95" spans="1:6" ht="26">
      <c r="A95" s="2857">
        <v>21</v>
      </c>
      <c r="B95" s="3472"/>
      <c r="C95" s="2831" t="s">
        <v>2693</v>
      </c>
      <c r="D95" s="2831" t="s">
        <v>2694</v>
      </c>
      <c r="E95" s="2857">
        <v>0.15</v>
      </c>
      <c r="F95" s="2857">
        <v>20</v>
      </c>
    </row>
    <row r="96" spans="1:6" ht="26">
      <c r="A96" s="2857">
        <v>22</v>
      </c>
      <c r="B96" s="3472"/>
      <c r="C96" s="2831" t="s">
        <v>2695</v>
      </c>
      <c r="D96" s="2831" t="s">
        <v>2696</v>
      </c>
      <c r="E96" s="2857">
        <v>0.15</v>
      </c>
      <c r="F96" s="2857">
        <v>20</v>
      </c>
    </row>
    <row r="97" spans="1:6" ht="39">
      <c r="A97" s="2857">
        <v>23</v>
      </c>
      <c r="B97" s="3472"/>
      <c r="C97" s="2831" t="s">
        <v>2697</v>
      </c>
      <c r="D97" s="2831" t="s">
        <v>2698</v>
      </c>
      <c r="E97" s="2857">
        <v>0.15</v>
      </c>
      <c r="F97" s="2857">
        <v>20</v>
      </c>
    </row>
    <row r="98" spans="1:6" ht="14">
      <c r="A98" s="2857">
        <v>24</v>
      </c>
      <c r="B98" s="3472"/>
      <c r="C98" s="2831" t="s">
        <v>2699</v>
      </c>
      <c r="D98" s="2831" t="s">
        <v>2700</v>
      </c>
      <c r="E98" s="2857">
        <v>0.1</v>
      </c>
      <c r="F98" s="2857">
        <v>15</v>
      </c>
    </row>
    <row r="99" spans="1:6" ht="26">
      <c r="A99" s="2857">
        <v>25</v>
      </c>
      <c r="B99" s="3472"/>
      <c r="C99" s="2831" t="s">
        <v>2701</v>
      </c>
      <c r="D99" s="2831" t="s">
        <v>2702</v>
      </c>
      <c r="E99" s="2857">
        <v>0.1</v>
      </c>
      <c r="F99" s="2857">
        <v>15</v>
      </c>
    </row>
    <row r="100" spans="1:6" ht="26">
      <c r="A100" s="2857">
        <v>26</v>
      </c>
      <c r="B100" s="3472"/>
      <c r="C100" s="2831" t="s">
        <v>2703</v>
      </c>
      <c r="D100" s="2831" t="s">
        <v>2704</v>
      </c>
      <c r="E100" s="2857">
        <v>0.1</v>
      </c>
      <c r="F100" s="2857">
        <v>15</v>
      </c>
    </row>
    <row r="101" spans="1:6" ht="26">
      <c r="A101" s="2857">
        <v>27</v>
      </c>
      <c r="B101" s="3472"/>
      <c r="C101" s="2831" t="s">
        <v>2705</v>
      </c>
      <c r="D101" s="2831" t="s">
        <v>2706</v>
      </c>
      <c r="E101" s="2857">
        <v>0.1</v>
      </c>
      <c r="F101" s="2857">
        <v>15</v>
      </c>
    </row>
    <row r="102" spans="1:6" ht="26">
      <c r="A102" s="2857">
        <v>28</v>
      </c>
      <c r="B102" s="3472"/>
      <c r="C102" s="2831" t="s">
        <v>2707</v>
      </c>
      <c r="D102" s="2831" t="s">
        <v>2708</v>
      </c>
      <c r="E102" s="2857">
        <v>0.1</v>
      </c>
      <c r="F102" s="2857">
        <v>15</v>
      </c>
    </row>
    <row r="103" spans="1:6" ht="26">
      <c r="A103" s="2857">
        <v>29</v>
      </c>
      <c r="B103" s="3472"/>
      <c r="C103" s="2831" t="s">
        <v>2709</v>
      </c>
      <c r="D103" s="2831" t="s">
        <v>2710</v>
      </c>
      <c r="E103" s="2857">
        <v>0.1</v>
      </c>
      <c r="F103" s="2857">
        <v>15</v>
      </c>
    </row>
    <row r="104" spans="1:6" ht="26">
      <c r="A104" s="2857">
        <v>30</v>
      </c>
      <c r="B104" s="3472"/>
      <c r="C104" s="2831" t="s">
        <v>2711</v>
      </c>
      <c r="D104" s="2831" t="s">
        <v>2712</v>
      </c>
      <c r="E104" s="2857">
        <v>0.1</v>
      </c>
      <c r="F104" s="2857">
        <v>15</v>
      </c>
    </row>
    <row r="105" spans="1:6" ht="26">
      <c r="A105" s="2857">
        <v>31</v>
      </c>
      <c r="B105" s="3472"/>
      <c r="C105" s="2831" t="s">
        <v>2713</v>
      </c>
      <c r="D105" s="2831" t="s">
        <v>2714</v>
      </c>
      <c r="E105" s="2857">
        <v>0.1</v>
      </c>
      <c r="F105" s="2857">
        <v>15</v>
      </c>
    </row>
    <row r="106" spans="1:6" ht="26">
      <c r="A106" s="2857">
        <v>32</v>
      </c>
      <c r="B106" s="3472"/>
      <c r="C106" s="2831" t="s">
        <v>2715</v>
      </c>
      <c r="D106" s="2831" t="s">
        <v>2716</v>
      </c>
      <c r="E106" s="2857">
        <v>0.1</v>
      </c>
      <c r="F106" s="2857">
        <v>15</v>
      </c>
    </row>
    <row r="107" spans="1:6" ht="26">
      <c r="A107" s="2857">
        <v>33</v>
      </c>
      <c r="B107" s="3472"/>
      <c r="C107" s="2831" t="s">
        <v>2717</v>
      </c>
      <c r="D107" s="2831" t="s">
        <v>2718</v>
      </c>
      <c r="E107" s="2857">
        <v>0.1</v>
      </c>
      <c r="F107" s="2857">
        <v>15</v>
      </c>
    </row>
    <row r="108" spans="1:6" ht="26">
      <c r="A108" s="2857">
        <v>34</v>
      </c>
      <c r="B108" s="3471"/>
      <c r="C108" s="2831" t="s">
        <v>2719</v>
      </c>
      <c r="D108" s="2831" t="s">
        <v>2720</v>
      </c>
      <c r="E108" s="2857">
        <v>0.1</v>
      </c>
      <c r="F108" s="2857">
        <v>15</v>
      </c>
    </row>
    <row r="109" spans="1:6" ht="26">
      <c r="A109" s="2857">
        <v>35</v>
      </c>
      <c r="B109" s="3470" t="s">
        <v>2721</v>
      </c>
      <c r="C109" s="2857" t="s">
        <v>2722</v>
      </c>
      <c r="D109" s="2831" t="s">
        <v>2723</v>
      </c>
      <c r="E109" s="2857">
        <v>0.15</v>
      </c>
      <c r="F109" s="2857">
        <v>20</v>
      </c>
    </row>
    <row r="110" spans="1:6" ht="26">
      <c r="A110" s="2857">
        <v>36</v>
      </c>
      <c r="B110" s="3472"/>
      <c r="C110" s="2857" t="s">
        <v>2724</v>
      </c>
      <c r="D110" s="2831" t="s">
        <v>2725</v>
      </c>
      <c r="E110" s="2857">
        <v>0.15</v>
      </c>
      <c r="F110" s="2857">
        <v>20</v>
      </c>
    </row>
    <row r="111" spans="1:6" ht="26">
      <c r="A111" s="2857">
        <v>37</v>
      </c>
      <c r="B111" s="3472"/>
      <c r="C111" s="2857" t="s">
        <v>2726</v>
      </c>
      <c r="D111" s="2831" t="s">
        <v>2727</v>
      </c>
      <c r="E111" s="2857">
        <v>0.15</v>
      </c>
      <c r="F111" s="2857">
        <v>20</v>
      </c>
    </row>
    <row r="112" spans="1:6" ht="14">
      <c r="A112" s="2857">
        <v>38</v>
      </c>
      <c r="B112" s="3472"/>
      <c r="C112" s="2857" t="s">
        <v>2728</v>
      </c>
      <c r="D112" s="2831" t="s">
        <v>2729</v>
      </c>
      <c r="E112" s="2857">
        <v>0.1</v>
      </c>
      <c r="F112" s="2857">
        <v>15</v>
      </c>
    </row>
    <row r="113" spans="1:6" ht="26">
      <c r="A113" s="2857">
        <v>39</v>
      </c>
      <c r="B113" s="3472"/>
      <c r="C113" s="2857" t="s">
        <v>2730</v>
      </c>
      <c r="D113" s="2831" t="s">
        <v>2731</v>
      </c>
      <c r="E113" s="2857">
        <v>0.1</v>
      </c>
      <c r="F113" s="2857">
        <v>15</v>
      </c>
    </row>
    <row r="114" spans="1:6" ht="26">
      <c r="A114" s="2857">
        <v>40</v>
      </c>
      <c r="B114" s="3471"/>
      <c r="C114" s="2857" t="s">
        <v>2732</v>
      </c>
      <c r="D114" s="2831" t="s">
        <v>2733</v>
      </c>
      <c r="E114" s="2857">
        <v>0.1</v>
      </c>
      <c r="F114" s="2857">
        <v>15</v>
      </c>
    </row>
    <row r="115" spans="1:6" ht="26">
      <c r="A115" s="2857">
        <v>41</v>
      </c>
      <c r="B115" s="3469" t="s">
        <v>2734</v>
      </c>
      <c r="C115" s="2857" t="s">
        <v>2735</v>
      </c>
      <c r="D115" s="2831" t="s">
        <v>2736</v>
      </c>
      <c r="E115" s="2857">
        <v>0.1</v>
      </c>
      <c r="F115" s="2857">
        <v>15</v>
      </c>
    </row>
    <row r="116" spans="1:6" ht="14">
      <c r="A116" s="2857">
        <v>42</v>
      </c>
      <c r="B116" s="3469"/>
      <c r="C116" s="2857" t="s">
        <v>2737</v>
      </c>
      <c r="D116" s="2831" t="s">
        <v>2738</v>
      </c>
      <c r="E116" s="2857">
        <v>0.1</v>
      </c>
      <c r="F116" s="2857">
        <v>15</v>
      </c>
    </row>
    <row r="117" spans="1:6" ht="26">
      <c r="A117" s="2857">
        <v>43</v>
      </c>
      <c r="B117" s="3469"/>
      <c r="C117" s="2857" t="s">
        <v>2739</v>
      </c>
      <c r="D117" s="2831" t="s">
        <v>2740</v>
      </c>
      <c r="E117" s="2857">
        <v>0.1</v>
      </c>
      <c r="F117" s="2857">
        <v>15</v>
      </c>
    </row>
    <row r="118" spans="1:6" ht="26">
      <c r="A118" s="2857">
        <v>44</v>
      </c>
      <c r="B118" s="3470" t="s">
        <v>2741</v>
      </c>
      <c r="C118" s="2857" t="s">
        <v>2742</v>
      </c>
      <c r="D118" s="2831" t="s">
        <v>2743</v>
      </c>
      <c r="E118" s="2857">
        <v>0.1</v>
      </c>
      <c r="F118" s="2857">
        <v>15</v>
      </c>
    </row>
    <row r="119" spans="1:6" ht="26">
      <c r="A119" s="2857">
        <v>45</v>
      </c>
      <c r="B119" s="3471"/>
      <c r="C119" s="2831" t="s">
        <v>2744</v>
      </c>
      <c r="D119" s="2831" t="s">
        <v>2745</v>
      </c>
      <c r="E119" s="2857">
        <v>0.1</v>
      </c>
      <c r="F119" s="2857">
        <v>15</v>
      </c>
    </row>
    <row r="120" spans="1:6" ht="26">
      <c r="A120" s="2857">
        <v>46</v>
      </c>
      <c r="B120" s="3470" t="s">
        <v>2746</v>
      </c>
      <c r="C120" s="2857" t="s">
        <v>2747</v>
      </c>
      <c r="D120" s="2831" t="s">
        <v>2748</v>
      </c>
      <c r="E120" s="2857">
        <v>0.1</v>
      </c>
      <c r="F120" s="2857">
        <v>15</v>
      </c>
    </row>
    <row r="121" spans="1:6" ht="26">
      <c r="A121" s="2857">
        <v>47</v>
      </c>
      <c r="B121" s="3471"/>
      <c r="C121" s="2857" t="s">
        <v>2749</v>
      </c>
      <c r="D121" s="2831" t="s">
        <v>2750</v>
      </c>
      <c r="E121" s="2857">
        <v>0.1</v>
      </c>
      <c r="F121" s="2857">
        <v>15</v>
      </c>
    </row>
    <row r="122" spans="1:6" ht="26">
      <c r="A122" s="2857">
        <v>48</v>
      </c>
      <c r="B122" s="3470" t="s">
        <v>2751</v>
      </c>
      <c r="C122" s="2857" t="s">
        <v>2752</v>
      </c>
      <c r="D122" s="2831" t="s">
        <v>2753</v>
      </c>
      <c r="E122" s="2857">
        <v>0.1</v>
      </c>
      <c r="F122" s="2857">
        <v>15</v>
      </c>
    </row>
    <row r="123" spans="1:6" ht="14">
      <c r="A123" s="2857">
        <v>49</v>
      </c>
      <c r="B123" s="3471"/>
      <c r="C123" s="2857" t="s">
        <v>2754</v>
      </c>
      <c r="D123" s="2831" t="s">
        <v>2755</v>
      </c>
      <c r="E123" s="2857">
        <v>0.1</v>
      </c>
      <c r="F123" s="2857">
        <v>15</v>
      </c>
    </row>
    <row r="124" spans="1:6" ht="26">
      <c r="A124" s="2857">
        <v>50</v>
      </c>
      <c r="B124" s="3469" t="s">
        <v>2756</v>
      </c>
      <c r="C124" s="2857" t="s">
        <v>2757</v>
      </c>
      <c r="D124" s="2831" t="s">
        <v>2758</v>
      </c>
      <c r="E124" s="2857">
        <v>0.1</v>
      </c>
      <c r="F124" s="2857">
        <v>15</v>
      </c>
    </row>
    <row r="125" spans="1:6" ht="26">
      <c r="A125" s="2857">
        <v>51</v>
      </c>
      <c r="B125" s="3469"/>
      <c r="C125" s="2857" t="s">
        <v>2759</v>
      </c>
      <c r="D125" s="2831" t="s">
        <v>2760</v>
      </c>
      <c r="E125" s="2857">
        <v>0.1</v>
      </c>
      <c r="F125" s="2857">
        <v>15</v>
      </c>
    </row>
    <row r="126" spans="1:6" ht="26">
      <c r="A126" s="2857">
        <v>52</v>
      </c>
      <c r="B126" s="3469" t="s">
        <v>2761</v>
      </c>
      <c r="C126" s="2857" t="s">
        <v>2762</v>
      </c>
      <c r="D126" s="2831" t="s">
        <v>2763</v>
      </c>
      <c r="E126" s="2857">
        <v>0.1</v>
      </c>
      <c r="F126" s="2857">
        <v>15</v>
      </c>
    </row>
    <row r="127" spans="1:6" ht="26">
      <c r="A127" s="2857">
        <v>53</v>
      </c>
      <c r="B127" s="3469"/>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69" t="s">
        <v>2769</v>
      </c>
      <c r="C129" s="2857" t="s">
        <v>2770</v>
      </c>
      <c r="D129" s="2831" t="s">
        <v>2771</v>
      </c>
      <c r="E129" s="2857">
        <v>0.1</v>
      </c>
      <c r="F129" s="2857">
        <v>15</v>
      </c>
    </row>
    <row r="130" spans="1:6" ht="14">
      <c r="A130" s="2857">
        <v>56</v>
      </c>
      <c r="B130" s="3469"/>
      <c r="C130" s="2857" t="s">
        <v>2772</v>
      </c>
      <c r="D130" s="2831" t="s">
        <v>2773</v>
      </c>
      <c r="E130" s="2857">
        <v>0.1</v>
      </c>
      <c r="F130" s="2857">
        <v>15</v>
      </c>
    </row>
    <row r="131" spans="1:6" ht="26">
      <c r="A131" s="2857">
        <v>57</v>
      </c>
      <c r="B131" s="3469"/>
      <c r="C131" s="2857" t="s">
        <v>2774</v>
      </c>
      <c r="D131" s="2831" t="s">
        <v>2775</v>
      </c>
      <c r="E131" s="2857">
        <v>0.1</v>
      </c>
      <c r="F131" s="2857">
        <v>15</v>
      </c>
    </row>
    <row r="132" spans="1:6" ht="26">
      <c r="A132" s="2857">
        <v>58</v>
      </c>
      <c r="B132" s="3469" t="s">
        <v>2776</v>
      </c>
      <c r="C132" s="2857" t="s">
        <v>2777</v>
      </c>
      <c r="D132" s="2831" t="s">
        <v>2778</v>
      </c>
      <c r="E132" s="2857">
        <v>0.1</v>
      </c>
      <c r="F132" s="2857">
        <v>15</v>
      </c>
    </row>
    <row r="133" spans="1:6" ht="26">
      <c r="A133" s="2857">
        <v>59</v>
      </c>
      <c r="B133" s="3469"/>
      <c r="C133" s="2857" t="s">
        <v>2779</v>
      </c>
      <c r="D133" s="2831" t="s">
        <v>2780</v>
      </c>
      <c r="E133" s="2857">
        <v>0.1</v>
      </c>
      <c r="F133" s="2857">
        <v>15</v>
      </c>
    </row>
    <row r="134" spans="1:6" ht="26">
      <c r="A134" s="2857">
        <v>60</v>
      </c>
      <c r="B134" s="3470" t="s">
        <v>2781</v>
      </c>
      <c r="C134" s="2857" t="s">
        <v>2782</v>
      </c>
      <c r="D134" s="2831" t="s">
        <v>2783</v>
      </c>
      <c r="E134" s="2857">
        <v>0.1</v>
      </c>
      <c r="F134" s="2857">
        <v>15</v>
      </c>
    </row>
    <row r="135" spans="1:6" ht="26">
      <c r="A135" s="2857">
        <v>61</v>
      </c>
      <c r="B135" s="3471"/>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69" t="s">
        <v>2789</v>
      </c>
      <c r="C137" s="2857" t="s">
        <v>2790</v>
      </c>
      <c r="D137" s="2831" t="s">
        <v>2791</v>
      </c>
      <c r="E137" s="2857">
        <v>0.1</v>
      </c>
      <c r="F137" s="2857">
        <v>15</v>
      </c>
    </row>
    <row r="138" spans="1:6" ht="14">
      <c r="A138" s="2857">
        <v>64</v>
      </c>
      <c r="B138" s="3469"/>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0.9103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3442025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80.38</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80.38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80.38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49</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21"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83" t="s">
        <v>3181</v>
      </c>
      <c r="B1" s="3483"/>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92.45</v>
      </c>
    </row>
    <row r="6" spans="1:5" ht="15.5">
      <c r="B6" s="3181"/>
      <c r="C6" s="1392" t="s">
        <v>911</v>
      </c>
      <c r="D6" s="797" t="str">
        <f ca="1">NUMBERSTRING(INT(D5*10000),2)&amp;"元整"</f>
        <v>玖拾贰万肆仟伍佰元整</v>
      </c>
    </row>
    <row r="7" spans="1:5" ht="15.5">
      <c r="B7" s="3186"/>
      <c r="C7" s="1393" t="s">
        <v>912</v>
      </c>
      <c r="D7" s="798">
        <f ca="1">结果表!H102</f>
        <v>11501</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92.45</v>
      </c>
    </row>
    <row r="14" spans="1:5" ht="15.5">
      <c r="B14" s="3181"/>
      <c r="C14" s="1392" t="s">
        <v>911</v>
      </c>
      <c r="D14" s="797" t="str">
        <f ca="1">NUMBERSTRING(INT(D13*10000),2)&amp;"元整"</f>
        <v>玖拾贰万肆仟伍佰元整</v>
      </c>
    </row>
    <row r="15" spans="1:5" ht="15.5">
      <c r="B15" s="3186"/>
      <c r="C15" s="1393" t="s">
        <v>921</v>
      </c>
      <c r="D15" s="806">
        <f ca="1">结果表!H108</f>
        <v>11501</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29.65</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69.402900000000002</v>
      </c>
      <c r="C2" s="1289" t="s">
        <v>879</v>
      </c>
      <c r="D2" s="1375">
        <f ca="1">C40+J29+L46</f>
        <v>694029</v>
      </c>
      <c r="E2" s="1295" t="s">
        <v>880</v>
      </c>
      <c r="F2" s="1296"/>
      <c r="G2" s="2478"/>
      <c r="H2" s="2468"/>
      <c r="I2" s="2468"/>
      <c r="J2" s="2468"/>
      <c r="K2" s="2469"/>
      <c r="L2" s="2468"/>
      <c r="M2" s="2468"/>
    </row>
    <row r="3" spans="1:37" ht="18" customHeight="1" thickBot="1">
      <c r="A3" s="1297" t="s">
        <v>881</v>
      </c>
      <c r="B3" s="1298">
        <f ca="1">IF(ISERROR(D2/F43),0,ROUND(D2/F43,0))</f>
        <v>8634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43254</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43200</v>
      </c>
      <c r="D6" s="147" t="s">
        <v>2106</v>
      </c>
      <c r="E6" s="294" t="s">
        <v>696</v>
      </c>
      <c r="F6" s="295">
        <f ca="1">INDIRECT("'数据-取费表'!u"&amp;$G$1)</f>
        <v>4000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3446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390135</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321520</v>
      </c>
      <c r="D14" s="1257" t="s">
        <v>708</v>
      </c>
      <c r="E14" s="1255"/>
      <c r="F14" s="311"/>
      <c r="G14" s="1292"/>
      <c r="H14" s="928" t="s">
        <v>398</v>
      </c>
      <c r="I14" s="294" t="s">
        <v>709</v>
      </c>
      <c r="J14" s="21">
        <f ca="1">C29</f>
        <v>470042</v>
      </c>
      <c r="K14" s="12"/>
      <c r="L14" s="759"/>
      <c r="M14" s="760"/>
    </row>
    <row r="15" spans="1:37" s="1304" customFormat="1" ht="18" customHeight="1" thickBot="1">
      <c r="A15" s="928" t="s">
        <v>399</v>
      </c>
      <c r="B15" s="294" t="s">
        <v>710</v>
      </c>
      <c r="C15" s="21">
        <f ca="1">ROUND(C14*F15,0)</f>
        <v>16076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2350</v>
      </c>
      <c r="K16" s="1024" t="s">
        <v>715</v>
      </c>
      <c r="L16" s="1025"/>
      <c r="M16" s="1009"/>
    </row>
    <row r="17" spans="1:37" s="1304" customFormat="1" ht="18" customHeight="1">
      <c r="A17" s="928" t="s">
        <v>681</v>
      </c>
      <c r="B17" s="294" t="s">
        <v>716</v>
      </c>
      <c r="C17" s="21">
        <f ca="1">ROUND(F17*(F43+INDIRECT("'数据-取费表'!S"&amp;$G$1)),0)</f>
        <v>16076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6430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360102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7202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2350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11496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-2350</v>
      </c>
      <c r="K25" s="1032" t="s">
        <v>753</v>
      </c>
      <c r="L25" s="1033"/>
      <c r="M25" s="1034"/>
    </row>
    <row r="26" spans="1:37" ht="18" customHeight="1">
      <c r="A26" s="928" t="s">
        <v>397</v>
      </c>
      <c r="B26" s="294" t="s">
        <v>754</v>
      </c>
      <c r="C26" s="21">
        <f ca="1">ROUND((C19+C20)*F26,0)</f>
        <v>55096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470042</v>
      </c>
      <c r="D29" s="1029"/>
      <c r="E29" s="1027"/>
      <c r="F29" s="1030"/>
      <c r="G29" s="1303"/>
      <c r="H29" s="325" t="s">
        <v>396</v>
      </c>
      <c r="I29" s="326" t="s">
        <v>768</v>
      </c>
      <c r="J29" s="327">
        <f ca="1">ROUND(J26/(1+F40)^F41,0)</f>
        <v>0</v>
      </c>
      <c r="K29" s="328" t="s">
        <v>769</v>
      </c>
      <c r="L29" s="329"/>
      <c r="M29" s="330">
        <f ca="1">INDIRECT("'数据-取费表'!k"&amp;$G$1)</f>
        <v>80.38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6053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2880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2350</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390</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433</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37201</v>
      </c>
      <c r="D39" s="1032" t="s">
        <v>773</v>
      </c>
      <c r="E39" s="1033"/>
      <c r="F39" s="1034"/>
      <c r="G39" s="1292"/>
      <c r="H39" s="2473"/>
      <c r="I39" s="1305"/>
      <c r="J39" s="1306"/>
      <c r="K39" s="2471"/>
      <c r="L39" s="2473"/>
      <c r="M39" s="2473"/>
    </row>
    <row r="40" spans="1:18" ht="18" customHeight="1">
      <c r="A40" s="291" t="s">
        <v>395</v>
      </c>
      <c r="B40" s="292" t="s">
        <v>774</v>
      </c>
      <c r="C40" s="293">
        <f ca="1">ROUND(C39*(1-((1+F42)/(1+F40))^F41)/(F40-F42),0)</f>
        <v>672003</v>
      </c>
      <c r="D40" s="316" t="s">
        <v>758</v>
      </c>
      <c r="E40" s="294" t="s">
        <v>759</v>
      </c>
      <c r="F40" s="304">
        <f ca="1">INDIRECT("'数据-取费表'!I"&amp;$G$1)</f>
        <v>5.5E-2</v>
      </c>
      <c r="G40" s="1292"/>
      <c r="H40" s="1366">
        <f ca="1">C39/C5</f>
        <v>0.86005918527766223</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29.65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8360</v>
      </c>
      <c r="D43" s="328" t="s">
        <v>777</v>
      </c>
      <c r="E43" s="329" t="s">
        <v>778</v>
      </c>
      <c r="F43" s="330">
        <f ca="1">INDIRECT("'数据-取费表'!k"&amp;$G$1)</f>
        <v>80.38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-71.163600000000002</v>
      </c>
      <c r="D45" s="3130" t="s">
        <v>3351</v>
      </c>
      <c r="E45" s="1307"/>
      <c r="F45" s="1307"/>
      <c r="O45" s="1310" t="s">
        <v>808</v>
      </c>
      <c r="P45" s="1366"/>
      <c r="Q45" s="1366"/>
      <c r="R45" s="1366"/>
    </row>
    <row r="46" spans="1:18" s="1292" customFormat="1" ht="14" thickBot="1">
      <c r="A46" s="1311" t="s">
        <v>809</v>
      </c>
      <c r="C46" s="1312">
        <f ca="1">ROUND(C45,0)</f>
        <v>-71</v>
      </c>
      <c r="D46" s="1313" t="str">
        <f>C2</f>
        <v>万元</v>
      </c>
      <c r="I46" s="1314" t="s">
        <v>810</v>
      </c>
      <c r="J46" s="1315"/>
      <c r="K46" s="1316"/>
      <c r="L46" s="1317">
        <f ca="1">IF(M47="住宅",0,IF(L48&gt;J51,L60,J60))</f>
        <v>22026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3447</v>
      </c>
      <c r="K47" s="1323" t="s">
        <v>816</v>
      </c>
      <c r="L47" s="1324">
        <f ca="1">INDIRECT("'数据-取费表'!d"&amp;$G$1)</f>
        <v>50</v>
      </c>
      <c r="M47" s="1288" t="str">
        <f>IF(ISNUMBER(FIND("住宅",C1)),"住宅","非住宅")</f>
        <v>非住宅</v>
      </c>
      <c r="O47" s="1325" t="s">
        <v>403</v>
      </c>
      <c r="P47" s="1326" t="s">
        <v>817</v>
      </c>
      <c r="Q47" s="1327">
        <f ca="1">C40+J29</f>
        <v>672003</v>
      </c>
      <c r="R47" s="1327" t="s">
        <v>818</v>
      </c>
    </row>
    <row r="48" spans="1:18" s="1292" customFormat="1" ht="43.5" thickBot="1">
      <c r="A48" s="1047" t="s">
        <v>438</v>
      </c>
      <c r="B48" s="292" t="s">
        <v>692</v>
      </c>
      <c r="C48" s="1268">
        <f ca="1">C49+C53+C55</f>
        <v>0</v>
      </c>
      <c r="D48" s="1049"/>
      <c r="E48" s="1050"/>
      <c r="F48" s="908"/>
      <c r="G48" s="681"/>
      <c r="H48" s="682"/>
      <c r="I48" s="1328" t="s">
        <v>819</v>
      </c>
      <c r="J48" s="1329" t="s">
        <v>3448</v>
      </c>
      <c r="K48" s="1330" t="s">
        <v>820</v>
      </c>
      <c r="L48" s="1331">
        <f ca="1">INDIRECT("'数据-取费表'!f"&amp;$G$1)</f>
        <v>29.65</v>
      </c>
      <c r="O48" s="1325" t="s">
        <v>404</v>
      </c>
      <c r="P48" s="1326" t="s">
        <v>821</v>
      </c>
      <c r="Q48" s="1327">
        <f ca="1">J60</f>
        <v>22026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'数据-取费表'!L18</f>
        <v>2015</v>
      </c>
      <c r="K49" s="1330" t="s">
        <v>824</v>
      </c>
      <c r="L49" s="1333"/>
      <c r="O49" s="1334" t="s">
        <v>405</v>
      </c>
      <c r="P49" s="1326" t="s">
        <v>825</v>
      </c>
      <c r="Q49" s="1327">
        <f ca="1">C29</f>
        <v>470042</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180579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29.65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29.65</v>
      </c>
      <c r="K53" s="3364" t="s">
        <v>837</v>
      </c>
      <c r="L53" s="3365"/>
      <c r="O53" s="1325" t="s">
        <v>409</v>
      </c>
      <c r="P53" s="1326" t="s">
        <v>838</v>
      </c>
      <c r="Q53" s="1327">
        <f ca="1">Q47+Q48</f>
        <v>694029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0.33900000000000002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390135</v>
      </c>
      <c r="D56" s="1352"/>
      <c r="E56" s="1353"/>
      <c r="F56" s="1345"/>
      <c r="I56" s="1354" t="s">
        <v>842</v>
      </c>
      <c r="J56" s="1355" t="s">
        <v>3449</v>
      </c>
      <c r="K56" s="1328" t="s">
        <v>843</v>
      </c>
      <c r="L56" s="1331" t="str">
        <f ca="1">IF(L48&lt;J51,"——",L48-J51)</f>
        <v>——</v>
      </c>
      <c r="O56" s="1325" t="s">
        <v>403</v>
      </c>
      <c r="P56" s="1326" t="s">
        <v>817</v>
      </c>
      <c r="Q56" s="1327">
        <f ca="1">C40+J29</f>
        <v>672003</v>
      </c>
      <c r="R56" s="1327" t="s">
        <v>818</v>
      </c>
    </row>
    <row r="57" spans="1:18" s="1292" customFormat="1" ht="26.5" thickBot="1">
      <c r="A57" s="1356"/>
      <c r="B57" s="896" t="s">
        <v>767</v>
      </c>
      <c r="C57" s="230">
        <f ca="1">C29</f>
        <v>470042</v>
      </c>
      <c r="D57" s="1357"/>
      <c r="E57" s="1358"/>
      <c r="F57" s="1359"/>
      <c r="I57" s="1360" t="s">
        <v>844</v>
      </c>
      <c r="J57" s="1361">
        <f ca="1">IF(OR(M47="住宅",J51&lt;L48,J56="是"),"——",J51-L48)</f>
        <v>20.350000000000001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2740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188017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22026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672003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2350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390</v>
      </c>
      <c r="D65" s="910" t="s">
        <v>743</v>
      </c>
      <c r="E65" s="896" t="s">
        <v>744</v>
      </c>
      <c r="F65" s="321">
        <f t="shared" ca="1" si="0"/>
        <v>1E-3</v>
      </c>
      <c r="I65" s="1367" t="s">
        <v>867</v>
      </c>
      <c r="J65" s="610">
        <v>40</v>
      </c>
      <c r="K65" s="610">
        <v>30</v>
      </c>
      <c r="L65" s="610">
        <v>50</v>
      </c>
      <c r="M65" s="1369">
        <v>0.02</v>
      </c>
      <c r="O65" s="1325" t="s">
        <v>403</v>
      </c>
      <c r="P65" s="1326" t="s">
        <v>868</v>
      </c>
      <c r="Q65" s="1327">
        <f ca="1">C40+J29</f>
        <v>672003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-2740</v>
      </c>
      <c r="D67" s="909" t="s">
        <v>753</v>
      </c>
      <c r="E67" s="914"/>
      <c r="F67" s="915"/>
      <c r="O67" s="1334" t="s">
        <v>405</v>
      </c>
      <c r="P67" s="1326" t="s">
        <v>850</v>
      </c>
      <c r="Q67" s="1370">
        <f ca="1">L51</f>
        <v>180579</v>
      </c>
      <c r="R67" s="1327" t="s">
        <v>870</v>
      </c>
    </row>
    <row r="68" spans="1:18" s="1292" customFormat="1" ht="16" thickBot="1">
      <c r="A68" s="893" t="s">
        <v>395</v>
      </c>
      <c r="B68" s="894" t="s">
        <v>774</v>
      </c>
      <c r="C68" s="293">
        <f ca="1">ROUND(C67*(1-((1+F70)/(1+F68))^F69)/(F68-F70),0)</f>
        <v>-39633</v>
      </c>
      <c r="D68" s="911" t="s">
        <v>758</v>
      </c>
      <c r="E68" s="896" t="s">
        <v>759</v>
      </c>
      <c r="F68" s="304">
        <f ca="1">F40</f>
        <v>5.5E-2</v>
      </c>
      <c r="O68" s="1334" t="s">
        <v>406</v>
      </c>
      <c r="P68" s="1371" t="s">
        <v>871</v>
      </c>
      <c r="Q68" s="1327">
        <f ca="1">ROUND(Q69-Q70*Q71,0)</f>
        <v>9892</v>
      </c>
      <c r="R68" s="1327" t="s">
        <v>414</v>
      </c>
    </row>
    <row r="69" spans="1:18" s="1292" customFormat="1" ht="13.5" thickBot="1">
      <c r="A69" s="897"/>
      <c r="B69" s="898"/>
      <c r="C69" s="298"/>
      <c r="D69" s="916" t="s">
        <v>762</v>
      </c>
      <c r="E69" s="896" t="s">
        <v>763</v>
      </c>
      <c r="F69" s="324">
        <f ca="1">F41</f>
        <v>29.65</v>
      </c>
      <c r="O69" s="1334" t="s">
        <v>411</v>
      </c>
      <c r="P69" s="1371" t="s">
        <v>872</v>
      </c>
      <c r="Q69" s="1327">
        <f ca="1">C39</f>
        <v>37201</v>
      </c>
      <c r="R69" s="1327" t="s">
        <v>818</v>
      </c>
    </row>
    <row r="70" spans="1:18" s="1292" customFormat="1" ht="13.5" thickBot="1">
      <c r="A70" s="900"/>
      <c r="B70" s="901"/>
      <c r="C70" s="302"/>
      <c r="D70" s="912"/>
      <c r="E70" s="896" t="s">
        <v>766</v>
      </c>
      <c r="F70" s="991"/>
      <c r="O70" s="1334" t="s">
        <v>412</v>
      </c>
      <c r="P70" s="1371" t="s">
        <v>873</v>
      </c>
      <c r="Q70" s="1327">
        <f ca="1">C13</f>
        <v>390135</v>
      </c>
      <c r="R70" s="1327" t="s">
        <v>818</v>
      </c>
    </row>
    <row r="71" spans="1:18" s="1292" customFormat="1" ht="13.5" thickBot="1">
      <c r="A71" s="917" t="s">
        <v>396</v>
      </c>
      <c r="B71" s="918" t="s">
        <v>776</v>
      </c>
      <c r="C71" s="327">
        <f ca="1">ROUND(C68/F71,0)</f>
        <v>-493</v>
      </c>
      <c r="D71" s="919" t="s">
        <v>777</v>
      </c>
      <c r="E71" s="920" t="s">
        <v>778</v>
      </c>
      <c r="F71" s="330">
        <f ca="1">F43</f>
        <v>80.38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27309</v>
      </c>
      <c r="D75" s="1292"/>
      <c r="E75" s="1292"/>
      <c r="F75" s="1292"/>
      <c r="K75" s="1309"/>
      <c r="L75" s="1292"/>
      <c r="O75" s="1325" t="s">
        <v>409</v>
      </c>
      <c r="P75" s="1326" t="s">
        <v>838</v>
      </c>
      <c r="Q75" s="1327">
        <f ca="1">Q65+Q66</f>
        <v>672003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0.26600000000000001</v>
      </c>
    </row>
    <row r="80" spans="1:18" ht="13">
      <c r="B80" s="331" t="s">
        <v>800</v>
      </c>
      <c r="C80" s="266">
        <f ca="1">ROUND(C75/C39,3)</f>
        <v>0.73399999999999999</v>
      </c>
    </row>
    <row r="81" spans="2:3" ht="13.5">
      <c r="B81" s="262" t="s">
        <v>801</v>
      </c>
      <c r="C81" s="230"/>
    </row>
    <row r="82" spans="2:3" ht="13">
      <c r="B82" s="265" t="s">
        <v>802</v>
      </c>
      <c r="C82" s="267">
        <f ca="1">1-C83</f>
        <v>0.41900000000000004</v>
      </c>
    </row>
    <row r="83" spans="2:3" ht="13">
      <c r="B83" s="265" t="s">
        <v>803</v>
      </c>
      <c r="C83" s="266">
        <f ca="1">ROUND(C13/C40,3)</f>
        <v>0.58099999999999996</v>
      </c>
    </row>
  </sheetData>
  <sheetProtection password="CEE9" sheet="1" objects="1" scenarios="1" formatCells="0" formatColumns="0" formatRows="0"/>
  <mergeCells count="3">
    <mergeCell ref="B6:B9"/>
    <mergeCell ref="I6:I9"/>
    <mergeCell ref="K53:L53"/>
  </mergeCells>
  <phoneticPr fontId="140"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80.38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8" t="s">
        <v>1770</v>
      </c>
      <c r="D4" s="3409"/>
      <c r="E4" s="3410" t="s">
        <v>1771</v>
      </c>
      <c r="F4" s="3411"/>
      <c r="G4" s="3408" t="s">
        <v>1772</v>
      </c>
      <c r="H4" s="3409"/>
      <c r="I4" s="3408" t="s">
        <v>1773</v>
      </c>
      <c r="J4" s="3409"/>
      <c r="K4" s="537" t="s">
        <v>1774</v>
      </c>
      <c r="L4" s="2486"/>
      <c r="M4" s="2487"/>
      <c r="N4" s="2487"/>
      <c r="O4" s="2487"/>
      <c r="P4" s="3492" t="s">
        <v>1775</v>
      </c>
      <c r="Q4" s="3493"/>
      <c r="R4" s="3496" t="s">
        <v>1771</v>
      </c>
      <c r="S4" s="3497"/>
      <c r="T4" s="3496" t="s">
        <v>1772</v>
      </c>
      <c r="U4" s="3497"/>
      <c r="V4" s="3498" t="s">
        <v>1773</v>
      </c>
      <c r="W4" s="3498"/>
      <c r="X4" s="1809"/>
      <c r="Y4" s="3496" t="s">
        <v>1775</v>
      </c>
      <c r="Z4" s="3497"/>
      <c r="AA4" s="3500" t="s">
        <v>1771</v>
      </c>
      <c r="AB4" s="3500" t="s">
        <v>1772</v>
      </c>
      <c r="AC4" s="3489" t="s">
        <v>1773</v>
      </c>
    </row>
    <row r="5" spans="1:29">
      <c r="A5" s="348"/>
      <c r="B5" s="349"/>
      <c r="C5" s="3426" t="s">
        <v>1673</v>
      </c>
      <c r="D5" s="3427"/>
      <c r="E5" s="3433" t="s">
        <v>1674</v>
      </c>
      <c r="F5" s="3434"/>
      <c r="G5" s="3426" t="s">
        <v>1675</v>
      </c>
      <c r="H5" s="3427"/>
      <c r="I5" s="3426" t="s">
        <v>1676</v>
      </c>
      <c r="J5" s="3427"/>
      <c r="K5" s="537"/>
      <c r="L5" s="2486"/>
      <c r="M5" s="2487"/>
      <c r="N5" s="2487"/>
      <c r="O5" s="2487"/>
      <c r="P5" s="3494"/>
      <c r="Q5" s="3415"/>
      <c r="R5" s="3420"/>
      <c r="S5" s="3421"/>
      <c r="T5" s="3420"/>
      <c r="U5" s="3421"/>
      <c r="V5" s="3394"/>
      <c r="W5" s="3394"/>
      <c r="X5" s="1265"/>
      <c r="Y5" s="3420"/>
      <c r="Z5" s="3421"/>
      <c r="AA5" s="3406"/>
      <c r="AB5" s="3406"/>
      <c r="AC5" s="3490"/>
    </row>
    <row r="6" spans="1:29" ht="15" thickBot="1">
      <c r="A6" s="350"/>
      <c r="B6" s="351"/>
      <c r="C6" s="3424" t="s">
        <v>1677</v>
      </c>
      <c r="D6" s="3425"/>
      <c r="E6" s="3431" t="s">
        <v>1677</v>
      </c>
      <c r="F6" s="3432"/>
      <c r="G6" s="3424" t="s">
        <v>1677</v>
      </c>
      <c r="H6" s="3425"/>
      <c r="I6" s="3424" t="s">
        <v>1677</v>
      </c>
      <c r="J6" s="3425"/>
      <c r="K6" s="537" t="s">
        <v>1678</v>
      </c>
      <c r="L6" s="2486"/>
      <c r="M6" s="2487"/>
      <c r="N6" s="2487"/>
      <c r="O6" s="2487"/>
      <c r="P6" s="3495"/>
      <c r="Q6" s="3417"/>
      <c r="R6" s="3420"/>
      <c r="S6" s="3421"/>
      <c r="T6" s="3422"/>
      <c r="U6" s="3423"/>
      <c r="V6" s="3394"/>
      <c r="W6" s="3394"/>
      <c r="X6" s="1265"/>
      <c r="Y6" s="3422"/>
      <c r="Z6" s="3423"/>
      <c r="AA6" s="3407"/>
      <c r="AB6" s="3407"/>
      <c r="AC6" s="3491"/>
    </row>
    <row r="7" spans="1:29" s="102" customFormat="1" ht="14.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8"/>
      <c r="M7" s="2440"/>
      <c r="N7" s="2440"/>
      <c r="O7" s="2440"/>
      <c r="P7" s="3499" t="s">
        <v>1680</v>
      </c>
      <c r="Q7" s="3430"/>
      <c r="R7" s="664" t="s">
        <v>14</v>
      </c>
      <c r="S7" s="665">
        <f t="shared" ref="S7:S15" si="0">F7</f>
        <v>0</v>
      </c>
      <c r="T7" s="664" t="s">
        <v>14</v>
      </c>
      <c r="U7" s="665">
        <f t="shared" ref="U7:U15" si="1">H7</f>
        <v>0</v>
      </c>
      <c r="V7" s="664" t="s">
        <v>14</v>
      </c>
      <c r="W7" s="665">
        <f t="shared" ref="W7:W15" si="2">J7</f>
        <v>0</v>
      </c>
      <c r="X7" s="666"/>
      <c r="Y7" s="3428" t="s">
        <v>1680</v>
      </c>
      <c r="Z7" s="3429"/>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99" t="s">
        <v>1683</v>
      </c>
      <c r="Q8" s="3429"/>
      <c r="R8" s="664" t="s">
        <v>14</v>
      </c>
      <c r="S8" s="665">
        <f t="shared" si="0"/>
        <v>100</v>
      </c>
      <c r="T8" s="664" t="s">
        <v>14</v>
      </c>
      <c r="U8" s="665">
        <f t="shared" si="1"/>
        <v>100</v>
      </c>
      <c r="V8" s="664" t="s">
        <v>14</v>
      </c>
      <c r="W8" s="665">
        <f t="shared" si="2"/>
        <v>100</v>
      </c>
      <c r="X8" s="666"/>
      <c r="Y8" s="3428" t="s">
        <v>1683</v>
      </c>
      <c r="Z8" s="342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4"/>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4"/>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4"/>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03"/>
      <c r="Q16" s="1263"/>
      <c r="R16" s="667"/>
      <c r="S16" s="668"/>
      <c r="T16" s="667"/>
      <c r="U16" s="668"/>
      <c r="V16" s="667"/>
      <c r="W16" s="668"/>
      <c r="X16" s="1265"/>
      <c r="Y16" s="3396"/>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03"/>
      <c r="Q18" s="1263"/>
      <c r="R18" s="667"/>
      <c r="S18" s="668"/>
      <c r="T18" s="667"/>
      <c r="U18" s="668"/>
      <c r="V18" s="667"/>
      <c r="W18" s="668"/>
      <c r="X18" s="1265"/>
      <c r="Y18" s="339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03"/>
      <c r="Q20" s="1263"/>
      <c r="R20" s="667"/>
      <c r="S20" s="668"/>
      <c r="T20" s="667"/>
      <c r="U20" s="668"/>
      <c r="V20" s="667"/>
      <c r="W20" s="668"/>
      <c r="X20" s="1265"/>
      <c r="Y20" s="339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03"/>
      <c r="Q22" s="1263"/>
      <c r="R22" s="667"/>
      <c r="S22" s="668"/>
      <c r="T22" s="667"/>
      <c r="U22" s="668"/>
      <c r="V22" s="667"/>
      <c r="W22" s="668"/>
      <c r="X22" s="1265"/>
      <c r="Y22" s="3396"/>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03"/>
      <c r="Q24" s="1263"/>
      <c r="R24" s="667"/>
      <c r="S24" s="668"/>
      <c r="T24" s="667"/>
      <c r="U24" s="668"/>
      <c r="V24" s="667"/>
      <c r="W24" s="668"/>
      <c r="X24" s="1265"/>
      <c r="Y24" s="339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03"/>
      <c r="Q26" s="1263"/>
      <c r="R26" s="667"/>
      <c r="S26" s="668"/>
      <c r="T26" s="667"/>
      <c r="U26" s="668"/>
      <c r="V26" s="667"/>
      <c r="W26" s="668"/>
      <c r="X26" s="1265"/>
      <c r="Y26" s="3396"/>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8"/>
      <c r="Q37" s="1263" t="str">
        <f t="shared" si="11"/>
        <v>成新度</v>
      </c>
      <c r="R37" s="667" t="s">
        <v>14</v>
      </c>
      <c r="S37" s="668" t="e">
        <f t="shared" si="12"/>
        <v>#N/A</v>
      </c>
      <c r="T37" s="667" t="s">
        <v>14</v>
      </c>
      <c r="U37" s="668" t="e">
        <f t="shared" si="13"/>
        <v>#N/A</v>
      </c>
      <c r="V37" s="667" t="s">
        <v>14</v>
      </c>
      <c r="W37" s="668" t="e">
        <f t="shared" si="14"/>
        <v>#N/A</v>
      </c>
      <c r="X37" s="1265"/>
      <c r="Y37" s="3400"/>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404" t="str">
        <f>A48</f>
        <v>成交单价（元/平方米）</v>
      </c>
      <c r="Q48" s="3393"/>
      <c r="R48" s="3394">
        <f>E48</f>
        <v>0</v>
      </c>
      <c r="S48" s="3394"/>
      <c r="T48" s="3394">
        <f>G48</f>
        <v>0</v>
      </c>
      <c r="U48" s="3394"/>
      <c r="V48" s="3394">
        <f>I48</f>
        <v>0</v>
      </c>
      <c r="W48" s="3394"/>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7B21-86D3-4020-BB36-65F89DE0EB1C}">
  <sheetPr>
    <tabColor rgb="FF7030A0"/>
  </sheetPr>
  <dimension ref="Q2:U19"/>
  <sheetViews>
    <sheetView workbookViewId="0">
      <selection activeCell="Q3" sqref="Q3"/>
    </sheetView>
  </sheetViews>
  <sheetFormatPr defaultRowHeight="14"/>
  <cols>
    <col min="18" max="18" width="12.7265625" customWidth="1"/>
  </cols>
  <sheetData>
    <row r="2" spans="17:21">
      <c r="Q2" s="1405" t="s">
        <v>3465</v>
      </c>
    </row>
    <row r="4" spans="17:21">
      <c r="Q4" s="1405" t="s">
        <v>3445</v>
      </c>
    </row>
    <row r="7" spans="17:21">
      <c r="Q7" s="1405" t="s">
        <v>3434</v>
      </c>
      <c r="R7">
        <v>14701035918</v>
      </c>
    </row>
    <row r="8" spans="17:21">
      <c r="Q8" s="1405" t="s">
        <v>3435</v>
      </c>
    </row>
    <row r="11" spans="17:21">
      <c r="Q11" s="1405" t="s">
        <v>3436</v>
      </c>
      <c r="R11" s="1405" t="s">
        <v>3387</v>
      </c>
      <c r="S11" s="1405" t="s">
        <v>3388</v>
      </c>
    </row>
    <row r="12" spans="17:21">
      <c r="Q12" s="1405" t="s">
        <v>3437</v>
      </c>
      <c r="R12">
        <v>73</v>
      </c>
      <c r="S12">
        <v>17000</v>
      </c>
      <c r="T12" s="1405" t="s">
        <v>3438</v>
      </c>
      <c r="U12" s="1405" t="s">
        <v>3439</v>
      </c>
    </row>
    <row r="14" spans="17:21">
      <c r="Q14" s="1405" t="s">
        <v>3440</v>
      </c>
      <c r="R14" s="1405" t="s">
        <v>3441</v>
      </c>
    </row>
    <row r="17" spans="17:19">
      <c r="Q17" s="1405" t="s">
        <v>3442</v>
      </c>
    </row>
    <row r="18" spans="17:19">
      <c r="Q18" s="1405" t="s">
        <v>3437</v>
      </c>
      <c r="R18" s="1405" t="s">
        <v>3443</v>
      </c>
      <c r="S18" s="1405"/>
    </row>
    <row r="19" spans="17:19">
      <c r="R19" s="1405" t="s">
        <v>3444</v>
      </c>
    </row>
  </sheetData>
  <phoneticPr fontId="13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45950</v>
      </c>
      <c r="B1" s="2929" t="s">
        <v>3376</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1" t="s">
        <v>2827</v>
      </c>
      <c r="S29" s="3502"/>
      <c r="T29" s="3502"/>
      <c r="U29" s="3502"/>
      <c r="V29" s="3502"/>
      <c r="W29" s="3502"/>
      <c r="X29" s="2896"/>
      <c r="Y29" s="3501" t="s">
        <v>2828</v>
      </c>
      <c r="Z29" s="3502"/>
      <c r="AA29" s="3502"/>
      <c r="AB29" s="3502"/>
      <c r="AC29" s="3502"/>
      <c r="AD29" s="3502"/>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4" t="s">
        <v>2839</v>
      </c>
      <c r="B1" s="3514"/>
      <c r="C1" s="3514"/>
      <c r="D1" s="3514"/>
      <c r="E1" s="3514"/>
      <c r="F1" s="3514"/>
      <c r="G1" s="351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3"/>
      <c r="B3" s="3193"/>
      <c r="C3" s="3193"/>
      <c r="D3" s="801" t="s">
        <v>925</v>
      </c>
      <c r="E3" s="801" t="s">
        <v>931</v>
      </c>
      <c r="F3" s="801" t="s">
        <v>925</v>
      </c>
      <c r="G3" s="801" t="s">
        <v>926</v>
      </c>
      <c r="H3" s="801" t="s">
        <v>925</v>
      </c>
      <c r="I3" s="801" t="s">
        <v>926</v>
      </c>
    </row>
    <row r="4" spans="1:9" ht="46.5">
      <c r="A4" s="1403" t="str">
        <f>项目基本情况!S2</f>
        <v>北京市平谷区府前西街18号院1号楼14层2单元1406房地产</v>
      </c>
      <c r="B4" s="801">
        <f>项目基本情况!C17</f>
        <v>80.38</v>
      </c>
      <c r="C4" s="801">
        <f>项目基本情况!C18</f>
        <v>0</v>
      </c>
      <c r="D4" s="801">
        <f>结果表!D118</f>
        <v>0</v>
      </c>
      <c r="E4" s="801">
        <f>结果表!E118</f>
        <v>0</v>
      </c>
      <c r="F4" s="801">
        <f>结果表!F118</f>
        <v>0</v>
      </c>
      <c r="G4" s="801">
        <f>结果表!G118</f>
        <v>0</v>
      </c>
      <c r="H4" s="801">
        <f ca="1">结果表!H118</f>
        <v>92.45</v>
      </c>
      <c r="I4" s="801">
        <f ca="1">结果表!I118</f>
        <v>11501</v>
      </c>
    </row>
    <row r="5" spans="1:9" ht="30" customHeight="1">
      <c r="A5" s="3193" t="s">
        <v>927</v>
      </c>
      <c r="B5" s="3193"/>
      <c r="C5" s="3193"/>
      <c r="D5" s="3193" t="str">
        <f>结果表!D119</f>
        <v>零元整</v>
      </c>
      <c r="E5" s="3193"/>
      <c r="F5" s="3193" t="str">
        <f>结果表!F119</f>
        <v>零元整</v>
      </c>
      <c r="G5" s="3193"/>
      <c r="H5" s="3193" t="str">
        <f ca="1">结果表!H119</f>
        <v>玖拾贰万肆仟伍佰元整</v>
      </c>
      <c r="I5" s="3193"/>
    </row>
    <row r="6" spans="1:9" ht="15.5">
      <c r="A6" s="3192" t="str">
        <f>结果表!A120</f>
        <v>估价师知悉的法定优先受偿款</v>
      </c>
      <c r="B6" s="3192"/>
      <c r="C6" s="3192"/>
      <c r="D6" s="3192">
        <f>结果表!D120</f>
        <v>0</v>
      </c>
      <c r="E6" s="3192"/>
      <c r="F6" s="3192"/>
      <c r="G6" s="3192"/>
      <c r="H6" s="3192"/>
      <c r="I6" s="3192"/>
    </row>
    <row r="7" spans="1:9" ht="15.5">
      <c r="A7" s="3193" t="s">
        <v>927</v>
      </c>
      <c r="B7" s="3193"/>
      <c r="C7" s="3193"/>
      <c r="D7" s="3194" t="str">
        <f>结果表!D121</f>
        <v>零元整</v>
      </c>
      <c r="E7" s="3195"/>
      <c r="F7" s="3195"/>
      <c r="G7" s="3195"/>
      <c r="H7" s="3195"/>
      <c r="I7" s="3196"/>
    </row>
    <row r="8" spans="1:9" ht="15.5">
      <c r="A8" s="3192" t="str">
        <f>结果表!A122</f>
        <v>房地产抵押价值</v>
      </c>
      <c r="B8" s="3192"/>
      <c r="C8" s="3192"/>
      <c r="D8" s="3192">
        <f ca="1">结果表!D122</f>
        <v>92.45</v>
      </c>
      <c r="E8" s="3192"/>
      <c r="F8" s="3192"/>
      <c r="G8" s="3192"/>
      <c r="H8" s="3192"/>
      <c r="I8" s="3192"/>
    </row>
    <row r="9" spans="1:9" ht="15.5">
      <c r="A9" s="3193" t="s">
        <v>927</v>
      </c>
      <c r="B9" s="3193"/>
      <c r="C9" s="3193"/>
      <c r="D9" s="3193" t="str">
        <f ca="1">结果表!D123</f>
        <v>玖拾贰万肆仟伍佰元整</v>
      </c>
      <c r="E9" s="3193"/>
      <c r="F9" s="3193"/>
      <c r="G9" s="3193"/>
      <c r="H9" s="3193"/>
      <c r="I9" s="3193"/>
    </row>
    <row r="10" spans="1:9" ht="15.5">
      <c r="A10" s="3192" t="str">
        <f>结果表!A124</f>
        <v/>
      </c>
      <c r="B10" s="3192"/>
      <c r="C10" s="3192"/>
      <c r="D10" s="3192" t="str">
        <f>结果表!D124</f>
        <v>——</v>
      </c>
      <c r="E10" s="3192"/>
      <c r="F10" s="3192"/>
      <c r="G10" s="3192"/>
      <c r="H10" s="3192"/>
      <c r="I10" s="3192"/>
    </row>
    <row r="11" spans="1:9" ht="15.5">
      <c r="A11" s="3193" t="s">
        <v>927</v>
      </c>
      <c r="B11" s="3193"/>
      <c r="C11" s="3193"/>
      <c r="D11" s="3193" t="e">
        <f>结果表!D125</f>
        <v>#VALUE!</v>
      </c>
      <c r="E11" s="3193"/>
      <c r="F11" s="3193"/>
      <c r="G11" s="3193"/>
      <c r="H11" s="3193"/>
      <c r="I11" s="3193"/>
    </row>
    <row r="12" spans="1:9" ht="15.5">
      <c r="A12" s="3192" t="str">
        <f>结果表!A126</f>
        <v/>
      </c>
      <c r="B12" s="3192"/>
      <c r="C12" s="3192"/>
      <c r="D12" s="3192" t="str">
        <f>结果表!D126</f>
        <v>——</v>
      </c>
      <c r="E12" s="3192"/>
      <c r="F12" s="3192"/>
      <c r="G12" s="3192"/>
      <c r="H12" s="3192"/>
      <c r="I12" s="3192"/>
    </row>
    <row r="13" spans="1:9" ht="16" thickBot="1">
      <c r="A13" s="3190" t="s">
        <v>927</v>
      </c>
      <c r="B13" s="3190"/>
      <c r="C13" s="3190"/>
      <c r="D13" s="3190" t="e">
        <f>结果表!D127</f>
        <v>#VALUE!</v>
      </c>
      <c r="E13" s="3190"/>
      <c r="F13" s="3190"/>
      <c r="G13" s="3190"/>
      <c r="H13" s="3190"/>
      <c r="I13" s="3190"/>
    </row>
    <row r="14" spans="1:9" ht="14.5" thickTop="1">
      <c r="A14" s="3191" t="s">
        <v>932</v>
      </c>
      <c r="B14" s="3191"/>
      <c r="C14" s="3191"/>
      <c r="D14" s="3191"/>
      <c r="E14" s="3191"/>
      <c r="F14" s="3191"/>
      <c r="G14" s="3191"/>
      <c r="H14" s="3191"/>
      <c r="I14" s="319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5" t="s">
        <v>949</v>
      </c>
      <c r="B1" s="3205"/>
      <c r="C1" s="3205"/>
      <c r="D1" s="3205"/>
    </row>
    <row r="2" spans="1:4" ht="18">
      <c r="A2" s="3206" t="s">
        <v>933</v>
      </c>
      <c r="B2" s="3206"/>
      <c r="C2" s="3206"/>
      <c r="D2" s="320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7" t="s">
        <v>942</v>
      </c>
      <c r="B11" s="3199"/>
      <c r="C11" s="3199"/>
      <c r="D11" s="3199"/>
    </row>
    <row r="12" spans="1:4" ht="15.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收益法 (元)</vt:lpstr>
      <vt:lpstr>比较法-办公</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2025-10-28T03:53:00Z</dcterms:modified>
</cp:coreProperties>
</file>