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30" windowWidth="19440" windowHeight="13110" tabRatio="885" firstSheet="14"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面积清单" sheetId="63" r:id="rId13"/>
    <sheet name="估价对象房地状况" sheetId="20" r:id="rId14"/>
    <sheet name="系统读取表" sheetId="62" r:id="rId15"/>
    <sheet name="结果表 (1修多)" sheetId="57"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2" sheetId="64" r:id="rId38"/>
    <sheet name="Sheet1" sheetId="65" r:id="rId39"/>
    <sheet name="结果表" sheetId="9" r:id="rId40"/>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3">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39">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77" i="9" l="1"/>
  <c r="C74" i="9"/>
  <c r="C66" i="9"/>
  <c r="J25" i="65"/>
  <c r="J26" i="65"/>
  <c r="J24" i="65"/>
  <c r="F34" i="65" l="1"/>
  <c r="F33" i="65"/>
  <c r="F32" i="65"/>
  <c r="D6" i="65" l="1"/>
  <c r="D7" i="65"/>
  <c r="D8" i="65"/>
  <c r="D9" i="65"/>
  <c r="D10" i="65"/>
  <c r="D11" i="65"/>
  <c r="D12" i="65"/>
  <c r="D13" i="65"/>
  <c r="D14" i="65"/>
  <c r="D15" i="65"/>
  <c r="D16" i="65"/>
  <c r="D17" i="65"/>
  <c r="D18" i="65"/>
  <c r="D19" i="65"/>
  <c r="D20" i="65"/>
  <c r="D5" i="65"/>
  <c r="C68" i="57" l="1"/>
  <c r="F7" i="31"/>
  <c r="E7" i="31"/>
  <c r="D7" i="31"/>
  <c r="C7" i="31"/>
  <c r="F6" i="31"/>
  <c r="E6" i="31"/>
  <c r="D6" i="31"/>
  <c r="C6" i="31"/>
  <c r="I48" i="34"/>
  <c r="G48" i="34"/>
  <c r="E48" i="34"/>
  <c r="G51" i="34"/>
  <c r="D14" i="57"/>
  <c r="E20" i="1" l="1"/>
  <c r="C37" i="34" s="1"/>
  <c r="J4" i="63" l="1"/>
  <c r="J5" i="63"/>
  <c r="J6" i="63"/>
  <c r="J7" i="63"/>
  <c r="J8" i="63"/>
  <c r="J9" i="63"/>
  <c r="J10" i="63"/>
  <c r="J11" i="63"/>
  <c r="J12" i="63"/>
  <c r="J13" i="63"/>
  <c r="J14" i="63"/>
  <c r="J15" i="63"/>
  <c r="J16" i="63"/>
  <c r="J17" i="63"/>
  <c r="J18" i="63"/>
  <c r="J3" i="63"/>
  <c r="B29" i="31" l="1"/>
  <c r="B30" i="31"/>
  <c r="B31" i="31"/>
  <c r="B32" i="31"/>
  <c r="B33" i="31"/>
  <c r="B34" i="31"/>
  <c r="B35" i="31"/>
  <c r="B36" i="31"/>
  <c r="B37" i="31"/>
  <c r="B38" i="31"/>
  <c r="B39" i="31"/>
  <c r="B40" i="31"/>
  <c r="B41" i="31"/>
  <c r="B42" i="31"/>
  <c r="B28" i="31"/>
  <c r="A28" i="31"/>
  <c r="A29" i="31"/>
  <c r="A30" i="31"/>
  <c r="A31" i="31"/>
  <c r="A32" i="31"/>
  <c r="A33" i="31"/>
  <c r="A34" i="31"/>
  <c r="A35" i="31"/>
  <c r="A36" i="31"/>
  <c r="A37" i="31"/>
  <c r="A38" i="31"/>
  <c r="A39" i="31"/>
  <c r="A40" i="31"/>
  <c r="A41" i="31"/>
  <c r="A42" i="31"/>
  <c r="A27" i="31"/>
  <c r="J53" i="15"/>
  <c r="C34" i="34"/>
  <c r="E5" i="1"/>
  <c r="C19" i="63"/>
  <c r="J19" i="63" s="1"/>
  <c r="C12" i="4" l="1"/>
  <c r="AH5" i="59"/>
  <c r="AG5" i="59"/>
  <c r="AE5" i="59"/>
  <c r="AF5" i="59" s="1"/>
  <c r="AD5" i="59"/>
  <c r="Q5" i="59"/>
  <c r="P5" i="59"/>
  <c r="O5" i="59"/>
  <c r="N5" i="59"/>
  <c r="AH6" i="59" l="1"/>
  <c r="AG6" i="59"/>
  <c r="AE6" i="59"/>
  <c r="AF6" i="59" s="1"/>
  <c r="AD6" i="59"/>
  <c r="Q6" i="59"/>
  <c r="P6" i="59"/>
  <c r="O6" i="59"/>
  <c r="N6" i="59"/>
  <c r="E20" i="43" l="1"/>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AH19" i="59"/>
  <c r="AG19" i="59"/>
  <c r="AE19" i="59"/>
  <c r="AF19" i="59" s="1"/>
  <c r="AD19" i="59"/>
  <c r="AH20" i="59"/>
  <c r="AG20" i="59"/>
  <c r="AE20" i="59"/>
  <c r="AF20" i="59" s="1"/>
  <c r="AD20" i="59"/>
  <c r="Q20" i="59"/>
  <c r="P20" i="59"/>
  <c r="O20" i="59"/>
  <c r="C20" i="59" s="1"/>
  <c r="N20" i="59"/>
  <c r="Q21" i="59"/>
  <c r="P21" i="59"/>
  <c r="O21" i="59"/>
  <c r="N21" i="59"/>
  <c r="D21" i="59"/>
  <c r="E20" i="59"/>
  <c r="E19" i="59" s="1"/>
  <c r="E18" i="59" s="1"/>
  <c r="E17" i="59" s="1"/>
  <c r="E16" i="59" s="1"/>
  <c r="E15" i="59" s="1"/>
  <c r="E14" i="59" s="1"/>
  <c r="E13" i="59" s="1"/>
  <c r="E12" i="59" s="1"/>
  <c r="F20" i="59"/>
  <c r="F19" i="59" s="1"/>
  <c r="F18" i="59" s="1"/>
  <c r="A2" i="50"/>
  <c r="K60" i="15"/>
  <c r="P59" i="15" s="1"/>
  <c r="P72" i="15"/>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B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5" i="59"/>
  <c r="F84" i="59"/>
  <c r="F83" i="59" s="1"/>
  <c r="F82" i="59" s="1"/>
  <c r="E84" i="59"/>
  <c r="E83" i="59" s="1"/>
  <c r="E82" i="59" s="1"/>
  <c r="C84" i="59"/>
  <c r="D84" i="59" s="1"/>
  <c r="B84" i="59"/>
  <c r="B83" i="59" s="1"/>
  <c r="B82" i="59"/>
  <c r="D81" i="59"/>
  <c r="F80" i="59"/>
  <c r="F79" i="59" s="1"/>
  <c r="F78" i="59" s="1"/>
  <c r="E80" i="59"/>
  <c r="E79" i="59"/>
  <c r="E78" i="59" s="1"/>
  <c r="C80" i="59"/>
  <c r="D80" i="59" s="1"/>
  <c r="B80" i="59"/>
  <c r="B79" i="59" s="1"/>
  <c r="B78" i="59" s="1"/>
  <c r="D77" i="59"/>
  <c r="Q76" i="59"/>
  <c r="P76" i="59"/>
  <c r="O76" i="59"/>
  <c r="N76" i="59"/>
  <c r="F76" i="59"/>
  <c r="V76" i="59" s="1"/>
  <c r="E76" i="59"/>
  <c r="U76" i="59" s="1"/>
  <c r="C76" i="59"/>
  <c r="T76" i="59" s="1"/>
  <c r="B76" i="59"/>
  <c r="S76" i="59" s="1"/>
  <c r="Q75" i="59"/>
  <c r="P75" i="59"/>
  <c r="O75" i="59"/>
  <c r="N75" i="59"/>
  <c r="B75" i="59"/>
  <c r="B74" i="59" s="1"/>
  <c r="Q74" i="59"/>
  <c r="P74" i="59"/>
  <c r="O74" i="59"/>
  <c r="N74" i="59"/>
  <c r="Q73" i="59"/>
  <c r="P73" i="59"/>
  <c r="O73" i="59"/>
  <c r="N73" i="59"/>
  <c r="D73" i="59"/>
  <c r="Q72" i="59"/>
  <c r="P72" i="59"/>
  <c r="O72" i="59"/>
  <c r="N72" i="59"/>
  <c r="F72" i="59"/>
  <c r="V72" i="59" s="1"/>
  <c r="E72" i="59"/>
  <c r="U72" i="59" s="1"/>
  <c r="C72" i="59"/>
  <c r="T72" i="59" s="1"/>
  <c r="B72" i="59"/>
  <c r="S72" i="59" s="1"/>
  <c r="Q71" i="59"/>
  <c r="P71" i="59"/>
  <c r="O71" i="59"/>
  <c r="N71" i="59"/>
  <c r="B71" i="59"/>
  <c r="B70" i="59" s="1"/>
  <c r="Q70" i="59"/>
  <c r="P70" i="59"/>
  <c r="O70" i="59"/>
  <c r="N70" i="59"/>
  <c r="Q69" i="59"/>
  <c r="P69" i="59"/>
  <c r="O69" i="59"/>
  <c r="N69" i="59"/>
  <c r="D69" i="59"/>
  <c r="Q68" i="59"/>
  <c r="P68" i="59"/>
  <c r="O68" i="59"/>
  <c r="N68" i="59"/>
  <c r="F68" i="59"/>
  <c r="V68" i="59" s="1"/>
  <c r="E68" i="59"/>
  <c r="C68" i="59"/>
  <c r="D68" i="59" s="1"/>
  <c r="B68" i="59"/>
  <c r="S68" i="59" s="1"/>
  <c r="Q67" i="59"/>
  <c r="P67" i="59"/>
  <c r="O67" i="59"/>
  <c r="N67" i="59"/>
  <c r="Q66" i="59"/>
  <c r="P66" i="59"/>
  <c r="O66" i="59"/>
  <c r="N66" i="59"/>
  <c r="Q65" i="59"/>
  <c r="P65" i="59"/>
  <c r="O65" i="59"/>
  <c r="N65" i="59"/>
  <c r="D65" i="59"/>
  <c r="F64" i="59"/>
  <c r="V64" i="59" s="1"/>
  <c r="E64" i="59"/>
  <c r="U64" i="59" s="1"/>
  <c r="C64" i="59"/>
  <c r="B64" i="59"/>
  <c r="S64" i="59" s="1"/>
  <c r="D61" i="59"/>
  <c r="Q60" i="59"/>
  <c r="P60" i="59"/>
  <c r="O60" i="59"/>
  <c r="N60" i="59"/>
  <c r="Q59" i="59"/>
  <c r="P59" i="59"/>
  <c r="O59" i="59"/>
  <c r="N59" i="59"/>
  <c r="Q58" i="59"/>
  <c r="P58" i="59"/>
  <c r="O58" i="59"/>
  <c r="N58" i="59"/>
  <c r="Q57" i="59"/>
  <c r="F58" i="59" s="1"/>
  <c r="F59" i="59" s="1"/>
  <c r="F60" i="59" s="1"/>
  <c r="V60" i="59" s="1"/>
  <c r="P57" i="59"/>
  <c r="E58" i="59" s="1"/>
  <c r="E59" i="59" s="1"/>
  <c r="E60" i="59" s="1"/>
  <c r="U60" i="59" s="1"/>
  <c r="O57" i="59"/>
  <c r="C58" i="59" s="1"/>
  <c r="D58" i="59" s="1"/>
  <c r="N57" i="59"/>
  <c r="B58" i="59" s="1"/>
  <c r="B59" i="59" s="1"/>
  <c r="B60" i="59" s="1"/>
  <c r="S60" i="59" s="1"/>
  <c r="D57" i="59"/>
  <c r="Q56" i="59"/>
  <c r="P56" i="59"/>
  <c r="O56" i="59"/>
  <c r="N56" i="59"/>
  <c r="Q55" i="59"/>
  <c r="P55" i="59"/>
  <c r="O55" i="59"/>
  <c r="N55" i="59"/>
  <c r="Q54" i="59"/>
  <c r="P54" i="59"/>
  <c r="O54" i="59"/>
  <c r="N54" i="59"/>
  <c r="Q53" i="59"/>
  <c r="F54" i="59" s="1"/>
  <c r="F55" i="59" s="1"/>
  <c r="F56" i="59" s="1"/>
  <c r="V56" i="59" s="1"/>
  <c r="P53" i="59"/>
  <c r="E54" i="59" s="1"/>
  <c r="O53" i="59"/>
  <c r="C54" i="59" s="1"/>
  <c r="D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O49" i="59"/>
  <c r="C50" i="59" s="1"/>
  <c r="D50" i="59" s="1"/>
  <c r="N49" i="59"/>
  <c r="B50" i="59" s="1"/>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c r="D46"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C39" i="59" s="1"/>
  <c r="N37" i="59"/>
  <c r="B38" i="59"/>
  <c r="B39" i="59" s="1"/>
  <c r="B40" i="59" s="1"/>
  <c r="S40" i="59" s="1"/>
  <c r="D37" i="59"/>
  <c r="Q36" i="59"/>
  <c r="P36" i="59"/>
  <c r="O36" i="59"/>
  <c r="N36" i="59"/>
  <c r="Q35" i="59"/>
  <c r="P35" i="59"/>
  <c r="AA35" i="59"/>
  <c r="O35" i="59"/>
  <c r="Y35" i="59"/>
  <c r="Z35" i="59" s="1"/>
  <c r="N35" i="59"/>
  <c r="Z34" i="59"/>
  <c r="Q34" i="59"/>
  <c r="P34" i="59"/>
  <c r="AA34" i="59" s="1"/>
  <c r="O34" i="59"/>
  <c r="Y34" i="59" s="1"/>
  <c r="N34" i="59"/>
  <c r="Q33" i="59"/>
  <c r="P33" i="59"/>
  <c r="O33" i="59"/>
  <c r="Y33" i="59" s="1"/>
  <c r="Z33" i="59" s="1"/>
  <c r="C34" i="59"/>
  <c r="C35" i="59" s="1"/>
  <c r="N33" i="59"/>
  <c r="B34" i="59"/>
  <c r="B35" i="59" s="1"/>
  <c r="B36" i="59" s="1"/>
  <c r="S36" i="59" s="1"/>
  <c r="D33" i="59"/>
  <c r="Q32" i="59"/>
  <c r="P32" i="59"/>
  <c r="O32" i="59"/>
  <c r="Y32" i="59" s="1"/>
  <c r="Z32" i="59" s="1"/>
  <c r="N32" i="59"/>
  <c r="Q31" i="59"/>
  <c r="P31" i="59"/>
  <c r="O31" i="59"/>
  <c r="Y31" i="59" s="1"/>
  <c r="Z31" i="59" s="1"/>
  <c r="N31" i="59"/>
  <c r="Q30" i="59"/>
  <c r="P30" i="59"/>
  <c r="O30" i="59"/>
  <c r="Y30" i="59" s="1"/>
  <c r="Z30" i="59" s="1"/>
  <c r="N30" i="59"/>
  <c r="Q29" i="59"/>
  <c r="P29" i="59"/>
  <c r="O29" i="59"/>
  <c r="Y29" i="59" s="1"/>
  <c r="Z29" i="59" s="1"/>
  <c r="N29" i="59"/>
  <c r="B30" i="59" s="1"/>
  <c r="B31" i="59" s="1"/>
  <c r="B32" i="59" s="1"/>
  <c r="S32" i="59" s="1"/>
  <c r="D29" i="59"/>
  <c r="Q28" i="59"/>
  <c r="P28" i="59"/>
  <c r="AA28" i="59" s="1"/>
  <c r="O28" i="59"/>
  <c r="N28" i="59"/>
  <c r="X28" i="59" s="1"/>
  <c r="Q27" i="59"/>
  <c r="P27" i="59"/>
  <c r="AA27" i="59" s="1"/>
  <c r="O27" i="59"/>
  <c r="N27" i="59"/>
  <c r="X27" i="59" s="1"/>
  <c r="Q26" i="59"/>
  <c r="P26" i="59"/>
  <c r="AA26" i="59" s="1"/>
  <c r="O26" i="59"/>
  <c r="N26" i="59"/>
  <c r="X26" i="59" s="1"/>
  <c r="Q25" i="59"/>
  <c r="P25" i="59"/>
  <c r="AA25" i="59" s="1"/>
  <c r="O25" i="59"/>
  <c r="N25" i="59"/>
  <c r="D25" i="59"/>
  <c r="O24" i="59"/>
  <c r="N24" i="59"/>
  <c r="C24" i="59"/>
  <c r="T24" i="59" s="1"/>
  <c r="Y24" i="59"/>
  <c r="Z24" i="59" s="1"/>
  <c r="B24" i="59"/>
  <c r="B23" i="59" s="1"/>
  <c r="B22" i="59" s="1"/>
  <c r="X22" i="59"/>
  <c r="D34" i="59"/>
  <c r="C47" i="59"/>
  <c r="C48" i="59" s="1"/>
  <c r="P24" i="59"/>
  <c r="E55" i="59"/>
  <c r="E56" i="59" s="1"/>
  <c r="U56" i="59" s="1"/>
  <c r="U68" i="59"/>
  <c r="E67" i="59"/>
  <c r="E66" i="59"/>
  <c r="Q24" i="59"/>
  <c r="C51" i="59"/>
  <c r="D51" i="59" s="1"/>
  <c r="C55" i="59"/>
  <c r="D55" i="59" s="1"/>
  <c r="C59" i="59"/>
  <c r="D59" i="59" s="1"/>
  <c r="T64" i="59"/>
  <c r="O64" i="59"/>
  <c r="D64" i="59"/>
  <c r="C63" i="59"/>
  <c r="C62" i="59" s="1"/>
  <c r="C67" i="59"/>
  <c r="C66" i="59" s="1"/>
  <c r="D66" i="59" s="1"/>
  <c r="Q64" i="59"/>
  <c r="C71" i="59"/>
  <c r="D71" i="59" s="1"/>
  <c r="E75" i="59"/>
  <c r="E74" i="59" s="1"/>
  <c r="C79" i="59"/>
  <c r="C78" i="59" s="1"/>
  <c r="D78" i="59" s="1"/>
  <c r="F24" i="59"/>
  <c r="F23" i="59" s="1"/>
  <c r="F22" i="59" s="1"/>
  <c r="AB23" i="59"/>
  <c r="E24" i="59"/>
  <c r="E23" i="59" s="1"/>
  <c r="E22" i="59" s="1"/>
  <c r="AA3" i="59"/>
  <c r="D24" i="59"/>
  <c r="D79" i="59"/>
  <c r="C70" i="59"/>
  <c r="D70" i="59" s="1"/>
  <c r="D47" i="59"/>
  <c r="C60" i="59"/>
  <c r="D60" i="59" s="1"/>
  <c r="C56" i="59"/>
  <c r="D56" i="59" s="1"/>
  <c r="C52" i="59"/>
  <c r="D52" i="59" s="1"/>
  <c r="V24" i="59"/>
  <c r="T60" i="59"/>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c r="F21" i="33"/>
  <c r="AA21" i="33" s="1"/>
  <c r="C21" i="33"/>
  <c r="Q21" i="21"/>
  <c r="Z21" i="21" s="1"/>
  <c r="D83" i="21"/>
  <c r="E83" i="21" s="1"/>
  <c r="F21" i="21"/>
  <c r="AA21" i="21" s="1"/>
  <c r="C21" i="21"/>
  <c r="G20" i="20"/>
  <c r="B86" i="43" s="1"/>
  <c r="C22" i="20"/>
  <c r="B66" i="43" s="1"/>
  <c r="AB25" i="40"/>
  <c r="S25" i="40"/>
  <c r="S18" i="36"/>
  <c r="W18" i="35"/>
  <c r="U18" i="35"/>
  <c r="S18" i="35"/>
  <c r="U21" i="37"/>
  <c r="S21" i="34"/>
  <c r="U21" i="33"/>
  <c r="S21" i="33"/>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s="1"/>
  <c r="E15" i="58"/>
  <c r="I14" i="58"/>
  <c r="I13" i="58"/>
  <c r="I12" i="58"/>
  <c r="I9" i="58"/>
  <c r="I8" i="58"/>
  <c r="I7" i="58"/>
  <c r="I6" i="58"/>
  <c r="I5" i="58"/>
  <c r="I4" i="58"/>
  <c r="I3" i="58"/>
  <c r="G57" i="40"/>
  <c r="C57" i="40" s="1"/>
  <c r="G56" i="40"/>
  <c r="C56" i="40" s="1"/>
  <c r="B21" i="50"/>
  <c r="B42" i="50" s="1"/>
  <c r="D1" i="43"/>
  <c r="F113" i="43"/>
  <c r="N99" i="43"/>
  <c r="N108" i="43" s="1"/>
  <c r="M99" i="43"/>
  <c r="M108" i="43" s="1"/>
  <c r="L99" i="43"/>
  <c r="L108" i="43" s="1"/>
  <c r="K99" i="43"/>
  <c r="J99" i="43"/>
  <c r="J108" i="43" s="1"/>
  <c r="I99" i="43"/>
  <c r="I108" i="43" s="1"/>
  <c r="H99" i="43"/>
  <c r="H108" i="43" s="1"/>
  <c r="G99" i="43"/>
  <c r="G108" i="43" s="1"/>
  <c r="F99" i="43"/>
  <c r="F108" i="43" s="1"/>
  <c r="E99" i="43"/>
  <c r="E108" i="43" s="1"/>
  <c r="D99" i="43"/>
  <c r="D108" i="43" s="1"/>
  <c r="C99" i="43"/>
  <c r="D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V27" i="31"/>
  <c r="D115" i="57"/>
  <c r="D114" i="57"/>
  <c r="D113" i="57"/>
  <c r="I110" i="57"/>
  <c r="I109" i="57"/>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A18" i="54" s="1"/>
  <c r="B15" i="60" s="1"/>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3" i="31"/>
  <c r="R44" i="31"/>
  <c r="R45" i="31"/>
  <c r="S45" i="31" s="1"/>
  <c r="R46" i="31"/>
  <c r="R47" i="31"/>
  <c r="T47" i="31" s="1"/>
  <c r="R48" i="31"/>
  <c r="R49" i="31"/>
  <c r="S49" i="31" s="1"/>
  <c r="R50" i="31"/>
  <c r="R51" i="31"/>
  <c r="T51" i="31" s="1"/>
  <c r="R52" i="31"/>
  <c r="R53" i="31"/>
  <c r="S53" i="31" s="1"/>
  <c r="R54" i="31"/>
  <c r="R55" i="31"/>
  <c r="T55" i="31" s="1"/>
  <c r="R56" i="31"/>
  <c r="R57" i="31"/>
  <c r="S57" i="31" s="1"/>
  <c r="R58" i="31"/>
  <c r="R59" i="31"/>
  <c r="T59" i="31" s="1"/>
  <c r="R60" i="31"/>
  <c r="T60" i="31" s="1"/>
  <c r="R61" i="31"/>
  <c r="T61" i="31" s="1"/>
  <c r="R62" i="31"/>
  <c r="R63" i="31"/>
  <c r="T63" i="31" s="1"/>
  <c r="R64" i="31"/>
  <c r="T64" i="31" s="1"/>
  <c r="R65" i="31"/>
  <c r="T65" i="31" s="1"/>
  <c r="R66" i="31"/>
  <c r="R67" i="31"/>
  <c r="T67" i="31" s="1"/>
  <c r="R68" i="31"/>
  <c r="T68" i="31" s="1"/>
  <c r="R69" i="31"/>
  <c r="T69" i="31" s="1"/>
  <c r="R70" i="31"/>
  <c r="R71" i="31"/>
  <c r="T71" i="31" s="1"/>
  <c r="R72" i="31"/>
  <c r="T72" i="31" s="1"/>
  <c r="R73" i="31"/>
  <c r="T73" i="31" s="1"/>
  <c r="R74" i="31"/>
  <c r="R75" i="31"/>
  <c r="T75" i="31" s="1"/>
  <c r="R76" i="31"/>
  <c r="R77" i="31"/>
  <c r="T77" i="31" s="1"/>
  <c r="R78" i="31"/>
  <c r="R79" i="31"/>
  <c r="T79" i="31" s="1"/>
  <c r="R80" i="31"/>
  <c r="R81" i="31"/>
  <c r="R82" i="31"/>
  <c r="T82" i="31" s="1"/>
  <c r="R83" i="31"/>
  <c r="T83" i="31" s="1"/>
  <c r="R84" i="31"/>
  <c r="T84" i="31" s="1"/>
  <c r="R85" i="31"/>
  <c r="T85" i="31" s="1"/>
  <c r="R86" i="31"/>
  <c r="T86" i="31" s="1"/>
  <c r="R87" i="31"/>
  <c r="T87" i="31" s="1"/>
  <c r="R88" i="31"/>
  <c r="T88" i="31" s="1"/>
  <c r="R89" i="31"/>
  <c r="R90" i="31"/>
  <c r="T90" i="31" s="1"/>
  <c r="R91" i="31"/>
  <c r="T91" i="31" s="1"/>
  <c r="R92" i="31"/>
  <c r="T92" i="31" s="1"/>
  <c r="R93" i="31"/>
  <c r="T93" i="31" s="1"/>
  <c r="R94" i="31"/>
  <c r="T94" i="31" s="1"/>
  <c r="R95" i="31"/>
  <c r="T95" i="31" s="1"/>
  <c r="R96" i="31"/>
  <c r="T96" i="31" s="1"/>
  <c r="R97" i="31"/>
  <c r="R98" i="31"/>
  <c r="T98" i="31" s="1"/>
  <c r="R99" i="31"/>
  <c r="T99" i="31" s="1"/>
  <c r="R100" i="31"/>
  <c r="T100" i="31" s="1"/>
  <c r="R101" i="31"/>
  <c r="T101" i="31" s="1"/>
  <c r="R102" i="31"/>
  <c r="T102" i="31" s="1"/>
  <c r="R103" i="31"/>
  <c r="T103" i="31" s="1"/>
  <c r="R104" i="31"/>
  <c r="T104" i="31" s="1"/>
  <c r="R105" i="31"/>
  <c r="R106" i="31"/>
  <c r="T106" i="31" s="1"/>
  <c r="R107" i="31"/>
  <c r="T107" i="31" s="1"/>
  <c r="R108" i="31"/>
  <c r="T108" i="31" s="1"/>
  <c r="R109" i="31"/>
  <c r="T109" i="31" s="1"/>
  <c r="R110" i="31"/>
  <c r="T110" i="31" s="1"/>
  <c r="R111" i="31"/>
  <c r="T111" i="31" s="1"/>
  <c r="R112" i="31"/>
  <c r="T112" i="31" s="1"/>
  <c r="R113" i="3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R132" i="31"/>
  <c r="T132" i="31" s="1"/>
  <c r="R133" i="31"/>
  <c r="T133" i="31" s="1"/>
  <c r="R134" i="31"/>
  <c r="R135" i="31"/>
  <c r="T135" i="31" s="1"/>
  <c r="R136" i="31"/>
  <c r="T136" i="31" s="1"/>
  <c r="R137" i="31"/>
  <c r="T137" i="31" s="1"/>
  <c r="R138" i="31"/>
  <c r="R139" i="31"/>
  <c r="R140" i="31"/>
  <c r="T140" i="31" s="1"/>
  <c r="R141" i="31"/>
  <c r="T141" i="31" s="1"/>
  <c r="R142" i="31"/>
  <c r="R143" i="31"/>
  <c r="T143" i="31" s="1"/>
  <c r="R144" i="31"/>
  <c r="T144" i="31" s="1"/>
  <c r="R145" i="31"/>
  <c r="T145" i="31" s="1"/>
  <c r="R146" i="31"/>
  <c r="R147" i="31"/>
  <c r="R148" i="31"/>
  <c r="T148" i="31" s="1"/>
  <c r="R149" i="31"/>
  <c r="T149" i="31" s="1"/>
  <c r="R150" i="31"/>
  <c r="R151" i="31"/>
  <c r="T151" i="31" s="1"/>
  <c r="R152" i="31"/>
  <c r="T152" i="31" s="1"/>
  <c r="R153" i="31"/>
  <c r="T153" i="31" s="1"/>
  <c r="R154" i="31"/>
  <c r="R155" i="31"/>
  <c r="R156" i="31"/>
  <c r="T156" i="31" s="1"/>
  <c r="R157" i="31"/>
  <c r="T157" i="31" s="1"/>
  <c r="R158" i="31"/>
  <c r="R159" i="31"/>
  <c r="T159" i="31" s="1"/>
  <c r="R160" i="31"/>
  <c r="T160" i="31" s="1"/>
  <c r="R161" i="31"/>
  <c r="T161" i="31" s="1"/>
  <c r="R162" i="31"/>
  <c r="R163" i="31"/>
  <c r="R164" i="31"/>
  <c r="T164" i="31" s="1"/>
  <c r="R165" i="31"/>
  <c r="T165" i="31" s="1"/>
  <c r="R166" i="31"/>
  <c r="R167" i="31"/>
  <c r="T167" i="31" s="1"/>
  <c r="R168" i="31"/>
  <c r="T168" i="31" s="1"/>
  <c r="R169" i="31"/>
  <c r="T169" i="31" s="1"/>
  <c r="R170" i="31"/>
  <c r="R171" i="31"/>
  <c r="R172" i="31"/>
  <c r="T172" i="31" s="1"/>
  <c r="R173" i="31"/>
  <c r="T173" i="31" s="1"/>
  <c r="R174" i="31"/>
  <c r="R175" i="31"/>
  <c r="T175" i="31" s="1"/>
  <c r="R176" i="31"/>
  <c r="T176" i="31" s="1"/>
  <c r="R177" i="31"/>
  <c r="T177" i="31" s="1"/>
  <c r="R178" i="31"/>
  <c r="R179" i="31"/>
  <c r="R180" i="31"/>
  <c r="T180" i="31" s="1"/>
  <c r="R181" i="31"/>
  <c r="T181" i="31" s="1"/>
  <c r="R182" i="31"/>
  <c r="R183" i="31"/>
  <c r="T183" i="31" s="1"/>
  <c r="R184" i="31"/>
  <c r="T184" i="31" s="1"/>
  <c r="R185" i="31"/>
  <c r="T185" i="31" s="1"/>
  <c r="R186" i="31"/>
  <c r="R187" i="31"/>
  <c r="R188" i="31"/>
  <c r="T188" i="31" s="1"/>
  <c r="R189" i="31"/>
  <c r="T189" i="31" s="1"/>
  <c r="R190" i="31"/>
  <c r="R191" i="31"/>
  <c r="T191" i="31" s="1"/>
  <c r="R192" i="31"/>
  <c r="T192" i="31" s="1"/>
  <c r="R193" i="31"/>
  <c r="T193" i="31" s="1"/>
  <c r="R194" i="31"/>
  <c r="R195" i="31"/>
  <c r="R196" i="31"/>
  <c r="T196" i="31" s="1"/>
  <c r="R197" i="31"/>
  <c r="T197" i="31" s="1"/>
  <c r="R198" i="31"/>
  <c r="R199" i="31"/>
  <c r="T199" i="31" s="1"/>
  <c r="R200" i="31"/>
  <c r="T200" i="31" s="1"/>
  <c r="R201" i="31"/>
  <c r="T201" i="31" s="1"/>
  <c r="R202" i="31"/>
  <c r="R203" i="31"/>
  <c r="R204" i="31"/>
  <c r="T204" i="31" s="1"/>
  <c r="R205" i="31"/>
  <c r="T205" i="31" s="1"/>
  <c r="R206" i="31"/>
  <c r="R207" i="31"/>
  <c r="T207" i="31" s="1"/>
  <c r="R208" i="31"/>
  <c r="T208" i="31" s="1"/>
  <c r="R209" i="31"/>
  <c r="T209" i="31" s="1"/>
  <c r="R210" i="31"/>
  <c r="R211" i="31"/>
  <c r="R212" i="31"/>
  <c r="T212" i="31" s="1"/>
  <c r="R213" i="31"/>
  <c r="T213" i="31" s="1"/>
  <c r="R214" i="31"/>
  <c r="R215" i="31"/>
  <c r="T215" i="31" s="1"/>
  <c r="R216" i="31"/>
  <c r="T216" i="31" s="1"/>
  <c r="R217" i="31"/>
  <c r="T217" i="31" s="1"/>
  <c r="R218" i="31"/>
  <c r="R219" i="31"/>
  <c r="R220" i="31"/>
  <c r="T220" i="31" s="1"/>
  <c r="R221" i="31"/>
  <c r="T221" i="31" s="1"/>
  <c r="R222" i="31"/>
  <c r="R223" i="31"/>
  <c r="T223" i="31" s="1"/>
  <c r="R224" i="31"/>
  <c r="T224" i="31" s="1"/>
  <c r="R225" i="31"/>
  <c r="T225" i="31" s="1"/>
  <c r="R226" i="31"/>
  <c r="R227" i="31"/>
  <c r="T227" i="31" s="1"/>
  <c r="R228" i="31"/>
  <c r="R229" i="31"/>
  <c r="R230" i="31"/>
  <c r="R231" i="31"/>
  <c r="T231" i="31" s="1"/>
  <c r="R232" i="31"/>
  <c r="R233" i="31"/>
  <c r="R234" i="31"/>
  <c r="R235" i="31"/>
  <c r="T235" i="31" s="1"/>
  <c r="R236" i="31"/>
  <c r="R237" i="31"/>
  <c r="R238" i="31"/>
  <c r="R239" i="31"/>
  <c r="T239" i="31" s="1"/>
  <c r="R240" i="31"/>
  <c r="R241" i="31"/>
  <c r="R242" i="31"/>
  <c r="R243" i="31"/>
  <c r="T243" i="31" s="1"/>
  <c r="R244" i="31"/>
  <c r="R245" i="31"/>
  <c r="R246" i="31"/>
  <c r="R247" i="31"/>
  <c r="T247" i="31" s="1"/>
  <c r="R248" i="31"/>
  <c r="R249" i="31"/>
  <c r="R250" i="31"/>
  <c r="R251" i="31"/>
  <c r="T251" i="31" s="1"/>
  <c r="R252" i="31"/>
  <c r="R253" i="31"/>
  <c r="R254" i="31"/>
  <c r="R255" i="31"/>
  <c r="T255" i="31" s="1"/>
  <c r="R256" i="31"/>
  <c r="R257" i="31"/>
  <c r="R258" i="31"/>
  <c r="R259" i="31"/>
  <c r="S259" i="31" s="1"/>
  <c r="R260" i="31"/>
  <c r="T260" i="31" s="1"/>
  <c r="R261" i="31"/>
  <c r="R262" i="31"/>
  <c r="R263" i="31"/>
  <c r="S263" i="31" s="1"/>
  <c r="R264" i="31"/>
  <c r="R265" i="31"/>
  <c r="R266" i="31"/>
  <c r="T266" i="31" s="1"/>
  <c r="R267" i="31"/>
  <c r="S267" i="31" s="1"/>
  <c r="R268" i="31"/>
  <c r="R269" i="31"/>
  <c r="R270" i="31"/>
  <c r="R271" i="31"/>
  <c r="S271" i="31" s="1"/>
  <c r="R272" i="31"/>
  <c r="T272" i="31" s="1"/>
  <c r="R273" i="31"/>
  <c r="R274" i="31"/>
  <c r="R275" i="31"/>
  <c r="S275" i="31" s="1"/>
  <c r="R276" i="31"/>
  <c r="T276" i="31" s="1"/>
  <c r="R277" i="31"/>
  <c r="R278" i="31"/>
  <c r="R279" i="31"/>
  <c r="S279" i="31" s="1"/>
  <c r="R280" i="31"/>
  <c r="R281" i="31"/>
  <c r="R282" i="31"/>
  <c r="T282" i="31" s="1"/>
  <c r="R283" i="31"/>
  <c r="S283" i="31" s="1"/>
  <c r="R284" i="31"/>
  <c r="R285" i="31"/>
  <c r="R286" i="31"/>
  <c r="R287" i="31"/>
  <c r="S287" i="31" s="1"/>
  <c r="R288" i="31"/>
  <c r="T288" i="31" s="1"/>
  <c r="R289" i="31"/>
  <c r="R290" i="31"/>
  <c r="R291" i="31"/>
  <c r="S291" i="31" s="1"/>
  <c r="R292" i="31"/>
  <c r="T292" i="31" s="1"/>
  <c r="R293" i="31"/>
  <c r="R294" i="31"/>
  <c r="R295" i="31"/>
  <c r="S295" i="31" s="1"/>
  <c r="R296" i="31"/>
  <c r="R297" i="31"/>
  <c r="R298" i="31"/>
  <c r="T298" i="31" s="1"/>
  <c r="R299" i="31"/>
  <c r="S299" i="31" s="1"/>
  <c r="R300" i="31"/>
  <c r="R301" i="31"/>
  <c r="R302" i="31"/>
  <c r="R303" i="31"/>
  <c r="S303" i="31" s="1"/>
  <c r="R304" i="31"/>
  <c r="T304" i="31" s="1"/>
  <c r="R305" i="31"/>
  <c r="R306" i="31"/>
  <c r="R307" i="31"/>
  <c r="S307" i="31" s="1"/>
  <c r="R308" i="31"/>
  <c r="T308" i="31" s="1"/>
  <c r="R309" i="31"/>
  <c r="R310" i="31"/>
  <c r="R311" i="31"/>
  <c r="S311" i="31" s="1"/>
  <c r="R312" i="31"/>
  <c r="R313" i="31"/>
  <c r="R314" i="31"/>
  <c r="T314" i="31" s="1"/>
  <c r="R315" i="31"/>
  <c r="S315" i="31" s="1"/>
  <c r="R316" i="31"/>
  <c r="R317" i="31"/>
  <c r="R318" i="31"/>
  <c r="R319" i="31"/>
  <c r="S319" i="31" s="1"/>
  <c r="R320" i="31"/>
  <c r="T320" i="31" s="1"/>
  <c r="R321" i="31"/>
  <c r="R322" i="31"/>
  <c r="R323" i="31"/>
  <c r="S323" i="31" s="1"/>
  <c r="R324" i="31"/>
  <c r="R325" i="31"/>
  <c r="T325" i="31" s="1"/>
  <c r="R326" i="31"/>
  <c r="R327" i="31"/>
  <c r="R328" i="31"/>
  <c r="T328" i="31" s="1"/>
  <c r="R329" i="31"/>
  <c r="T329" i="31" s="1"/>
  <c r="R330" i="31"/>
  <c r="R331" i="31"/>
  <c r="T331" i="31" s="1"/>
  <c r="R332" i="31"/>
  <c r="R333" i="31"/>
  <c r="T333" i="31" s="1"/>
  <c r="R334" i="31"/>
  <c r="T334" i="31" s="1"/>
  <c r="R335" i="31"/>
  <c r="R336" i="31"/>
  <c r="R337" i="31"/>
  <c r="T337" i="31" s="1"/>
  <c r="R338" i="31"/>
  <c r="T338" i="31" s="1"/>
  <c r="R339" i="31"/>
  <c r="T339" i="31" s="1"/>
  <c r="R340" i="31"/>
  <c r="R341" i="31"/>
  <c r="T341" i="31" s="1"/>
  <c r="R342" i="31"/>
  <c r="R343" i="31"/>
  <c r="R344" i="31"/>
  <c r="T344" i="31" s="1"/>
  <c r="R345" i="31"/>
  <c r="T345" i="31" s="1"/>
  <c r="R346" i="31"/>
  <c r="R347" i="31"/>
  <c r="T347" i="31" s="1"/>
  <c r="R348" i="31"/>
  <c r="R349" i="31"/>
  <c r="T349" i="31" s="1"/>
  <c r="R350" i="31"/>
  <c r="T350" i="31" s="1"/>
  <c r="R351" i="31"/>
  <c r="R352" i="31"/>
  <c r="R353" i="31"/>
  <c r="T353" i="31" s="1"/>
  <c r="R354" i="31"/>
  <c r="T354" i="31" s="1"/>
  <c r="R355" i="31"/>
  <c r="T355" i="31" s="1"/>
  <c r="R356" i="31"/>
  <c r="R357" i="31"/>
  <c r="T357" i="31" s="1"/>
  <c r="R358" i="31"/>
  <c r="R359" i="31"/>
  <c r="R360" i="31"/>
  <c r="T360" i="31" s="1"/>
  <c r="R361" i="31"/>
  <c r="T361" i="31" s="1"/>
  <c r="R362" i="31"/>
  <c r="R363" i="31"/>
  <c r="T363" i="31" s="1"/>
  <c r="R364" i="31"/>
  <c r="R365" i="31"/>
  <c r="T365" i="31" s="1"/>
  <c r="R366" i="31"/>
  <c r="T366" i="31" s="1"/>
  <c r="R367" i="31"/>
  <c r="R368" i="31"/>
  <c r="R369" i="31"/>
  <c r="T369" i="31" s="1"/>
  <c r="R370" i="31"/>
  <c r="T370" i="31" s="1"/>
  <c r="R371" i="31"/>
  <c r="T371" i="31" s="1"/>
  <c r="R372" i="31"/>
  <c r="R373" i="31"/>
  <c r="T373" i="31" s="1"/>
  <c r="R374" i="31"/>
  <c r="R375" i="31"/>
  <c r="R376" i="31"/>
  <c r="T376" i="31" s="1"/>
  <c r="R377" i="31"/>
  <c r="T377" i="31" s="1"/>
  <c r="R378" i="31"/>
  <c r="R379" i="31"/>
  <c r="T379" i="31" s="1"/>
  <c r="R380" i="31"/>
  <c r="R381" i="31"/>
  <c r="T381" i="31" s="1"/>
  <c r="R382" i="31"/>
  <c r="T382" i="31" s="1"/>
  <c r="R383" i="31"/>
  <c r="R384" i="31"/>
  <c r="R385" i="31"/>
  <c r="T385" i="31" s="1"/>
  <c r="R386" i="31"/>
  <c r="T386" i="31" s="1"/>
  <c r="R387" i="31"/>
  <c r="T387" i="31" s="1"/>
  <c r="R388" i="31"/>
  <c r="R389" i="31"/>
  <c r="T389" i="31" s="1"/>
  <c r="R390" i="31"/>
  <c r="R391" i="31"/>
  <c r="R392" i="31"/>
  <c r="T392" i="31" s="1"/>
  <c r="R393" i="31"/>
  <c r="T393" i="31" s="1"/>
  <c r="R394" i="31"/>
  <c r="R395" i="31"/>
  <c r="T395" i="31" s="1"/>
  <c r="R396" i="31"/>
  <c r="R397" i="31"/>
  <c r="T397" i="31" s="1"/>
  <c r="R398" i="31"/>
  <c r="T398" i="31" s="1"/>
  <c r="R399" i="31"/>
  <c r="R400" i="31"/>
  <c r="R401" i="31"/>
  <c r="T401" i="31" s="1"/>
  <c r="R402" i="31"/>
  <c r="T402" i="31" s="1"/>
  <c r="R403" i="31"/>
  <c r="T403" i="31" s="1"/>
  <c r="R404" i="31"/>
  <c r="R405" i="31"/>
  <c r="T405" i="31" s="1"/>
  <c r="R406" i="31"/>
  <c r="R407" i="31"/>
  <c r="R408" i="31"/>
  <c r="T408" i="31" s="1"/>
  <c r="R409" i="31"/>
  <c r="T409" i="31" s="1"/>
  <c r="R410" i="31"/>
  <c r="R411" i="31"/>
  <c r="T411" i="31" s="1"/>
  <c r="R412" i="31"/>
  <c r="R413" i="31"/>
  <c r="T413" i="31" s="1"/>
  <c r="R414" i="31"/>
  <c r="T414" i="31" s="1"/>
  <c r="R415" i="31"/>
  <c r="R416" i="31"/>
  <c r="R417" i="31"/>
  <c r="T417" i="31" s="1"/>
  <c r="R418" i="31"/>
  <c r="T418" i="31" s="1"/>
  <c r="R419" i="31"/>
  <c r="T419" i="31" s="1"/>
  <c r="R420" i="31"/>
  <c r="R421" i="31"/>
  <c r="T421" i="31" s="1"/>
  <c r="R422" i="31"/>
  <c r="R423" i="31"/>
  <c r="R424" i="31"/>
  <c r="T424" i="31" s="1"/>
  <c r="R425" i="31"/>
  <c r="T425" i="31" s="1"/>
  <c r="R426" i="31"/>
  <c r="T426" i="31" s="1"/>
  <c r="R427" i="31"/>
  <c r="T427" i="31" s="1"/>
  <c r="R428" i="31"/>
  <c r="R429" i="31"/>
  <c r="R430" i="31"/>
  <c r="R431" i="31"/>
  <c r="T431" i="31" s="1"/>
  <c r="R432" i="31"/>
  <c r="T432" i="31" s="1"/>
  <c r="R433" i="31"/>
  <c r="T433" i="31" s="1"/>
  <c r="R434" i="31"/>
  <c r="R435" i="31"/>
  <c r="T435" i="31" s="1"/>
  <c r="R436" i="31"/>
  <c r="T436" i="31" s="1"/>
  <c r="R437" i="31"/>
  <c r="R438" i="31"/>
  <c r="R439" i="31"/>
  <c r="T439" i="31" s="1"/>
  <c r="R440" i="31"/>
  <c r="R441" i="31"/>
  <c r="T441" i="31" s="1"/>
  <c r="R442" i="31"/>
  <c r="R443" i="31"/>
  <c r="T443" i="31" s="1"/>
  <c r="R444" i="31"/>
  <c r="T444" i="31" s="1"/>
  <c r="R445" i="3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R458" i="31"/>
  <c r="R459" i="31"/>
  <c r="T459" i="31" s="1"/>
  <c r="R460" i="31"/>
  <c r="R461" i="31"/>
  <c r="T461" i="31" s="1"/>
  <c r="R462" i="31"/>
  <c r="R463" i="31"/>
  <c r="T463" i="31" s="1"/>
  <c r="R464" i="31"/>
  <c r="T464" i="31" s="1"/>
  <c r="R465" i="31"/>
  <c r="R466" i="31"/>
  <c r="R467" i="31"/>
  <c r="T467" i="31" s="1"/>
  <c r="R468" i="31"/>
  <c r="R469" i="31"/>
  <c r="T469" i="31" s="1"/>
  <c r="R470" i="31"/>
  <c r="R471" i="31"/>
  <c r="T471" i="31" s="1"/>
  <c r="R472" i="31"/>
  <c r="R473" i="31"/>
  <c r="T473" i="31" s="1"/>
  <c r="R474" i="31"/>
  <c r="R475" i="31"/>
  <c r="T475" i="31" s="1"/>
  <c r="R476" i="31"/>
  <c r="R477" i="31"/>
  <c r="T477" i="31" s="1"/>
  <c r="R478" i="31"/>
  <c r="R479" i="31"/>
  <c r="T479" i="31" s="1"/>
  <c r="R480" i="31"/>
  <c r="R481" i="31"/>
  <c r="T481" i="31" s="1"/>
  <c r="R482" i="31"/>
  <c r="R483" i="31"/>
  <c r="R484" i="31"/>
  <c r="R485" i="31"/>
  <c r="T485" i="31" s="1"/>
  <c r="R486" i="31"/>
  <c r="R487" i="31"/>
  <c r="T487" i="31" s="1"/>
  <c r="R488" i="31"/>
  <c r="R489" i="31"/>
  <c r="T489" i="31" s="1"/>
  <c r="R490" i="31"/>
  <c r="R491" i="31"/>
  <c r="T491" i="31" s="1"/>
  <c r="R492" i="31"/>
  <c r="R493" i="31"/>
  <c r="T493" i="31" s="1"/>
  <c r="R494" i="31"/>
  <c r="R495" i="31"/>
  <c r="T495" i="31" s="1"/>
  <c r="R496" i="31"/>
  <c r="R497" i="31"/>
  <c r="T497" i="31" s="1"/>
  <c r="R498" i="31"/>
  <c r="R499" i="31"/>
  <c r="R500" i="31"/>
  <c r="R501" i="31"/>
  <c r="T501" i="31" s="1"/>
  <c r="R502" i="31"/>
  <c r="T502" i="31" s="1"/>
  <c r="R503" i="31"/>
  <c r="R504" i="31"/>
  <c r="T504" i="31" s="1"/>
  <c r="R505" i="3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E28" i="31"/>
  <c r="L5" i="31"/>
  <c r="K5" i="31"/>
  <c r="J5" i="31"/>
  <c r="I5" i="31"/>
  <c r="H5" i="31"/>
  <c r="G5" i="31"/>
  <c r="F5" i="31"/>
  <c r="E5" i="31"/>
  <c r="D5" i="31"/>
  <c r="C5" i="31"/>
  <c r="S424" i="31"/>
  <c r="S418" i="31"/>
  <c r="S414" i="31"/>
  <c r="S408" i="31"/>
  <c r="S402" i="31"/>
  <c r="S398" i="31"/>
  <c r="S392" i="31"/>
  <c r="S386" i="31"/>
  <c r="S382" i="31"/>
  <c r="S376" i="31"/>
  <c r="S370" i="31"/>
  <c r="S366" i="31"/>
  <c r="S360" i="31"/>
  <c r="S354" i="31"/>
  <c r="S350" i="31"/>
  <c r="S344" i="31"/>
  <c r="S338" i="31"/>
  <c r="S334" i="31"/>
  <c r="S328" i="31"/>
  <c r="S426" i="31"/>
  <c r="S320" i="31"/>
  <c r="S314" i="31"/>
  <c r="S308" i="31"/>
  <c r="S304" i="31"/>
  <c r="S298" i="31"/>
  <c r="S292" i="31"/>
  <c r="S288" i="31"/>
  <c r="S282" i="31"/>
  <c r="S276" i="31"/>
  <c r="S272" i="31"/>
  <c r="S266" i="31"/>
  <c r="S260" i="31"/>
  <c r="S227" i="31"/>
  <c r="S432"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44" i="31"/>
  <c r="S436" i="31"/>
  <c r="S122" i="31"/>
  <c r="S118" i="31"/>
  <c r="S464" i="31"/>
  <c r="S456" i="31"/>
  <c r="S72" i="31"/>
  <c r="S68" i="31"/>
  <c r="S64" i="31"/>
  <c r="S60"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J30" i="36"/>
  <c r="H30" i="36"/>
  <c r="F30" i="36"/>
  <c r="AA30" i="36"/>
  <c r="C79" i="35"/>
  <c r="J31" i="35"/>
  <c r="AC31" i="35" s="1"/>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AA40" i="33" s="1"/>
  <c r="J41" i="33"/>
  <c r="W41" i="33" s="1"/>
  <c r="D113" i="33"/>
  <c r="F37" i="33"/>
  <c r="S37" i="33"/>
  <c r="D111" i="33"/>
  <c r="E111" i="33"/>
  <c r="F111" i="33" s="1"/>
  <c r="G111" i="33" s="1"/>
  <c r="H111" i="33" s="1"/>
  <c r="I111" i="33" s="1"/>
  <c r="J111" i="33" s="1"/>
  <c r="K111" i="33" s="1"/>
  <c r="L111" i="33" s="1"/>
  <c r="M111" i="33" s="1"/>
  <c r="S518" i="31"/>
  <c r="S520" i="31"/>
  <c r="S522" i="31"/>
  <c r="S524" i="31"/>
  <c r="S526"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F12" i="34"/>
  <c r="Q11" i="34"/>
  <c r="Z11" i="34" s="1"/>
  <c r="Q10" i="34"/>
  <c r="Z10" i="34" s="1"/>
  <c r="F10" i="34"/>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s="1"/>
  <c r="F85" i="33" s="1"/>
  <c r="G85" i="33"/>
  <c r="D81" i="33"/>
  <c r="E81" i="33"/>
  <c r="F81" i="33" s="1"/>
  <c r="G81" i="33" s="1"/>
  <c r="D79" i="33"/>
  <c r="E79" i="33"/>
  <c r="F79" i="33" s="1"/>
  <c r="G79" i="33" s="1"/>
  <c r="D77" i="33"/>
  <c r="E77" i="33" s="1"/>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J9" i="21"/>
  <c r="H8" i="21"/>
  <c r="U8" i="21" s="1"/>
  <c r="H9" i="21"/>
  <c r="AB9" i="21" s="1"/>
  <c r="H10" i="21"/>
  <c r="AB10" i="21" s="1"/>
  <c r="H36" i="21"/>
  <c r="U36" i="21" s="1"/>
  <c r="F35" i="21"/>
  <c r="AA35" i="21" s="1"/>
  <c r="J33" i="21"/>
  <c r="W33" i="21" s="1"/>
  <c r="H33" i="21"/>
  <c r="F33" i="21"/>
  <c r="AA33" i="21" s="1"/>
  <c r="J10" i="21"/>
  <c r="AC10" i="21" s="1"/>
  <c r="H26" i="21"/>
  <c r="AB26" i="21" s="1"/>
  <c r="F19" i="21"/>
  <c r="H19" i="21"/>
  <c r="AB19" i="21" s="1"/>
  <c r="J19" i="21"/>
  <c r="W19"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s="1"/>
  <c r="F26" i="33"/>
  <c r="S40" i="33"/>
  <c r="AC38" i="21"/>
  <c r="H39" i="37"/>
  <c r="AB39" i="37" s="1"/>
  <c r="S27" i="35"/>
  <c r="F11" i="40"/>
  <c r="AA11" i="40" s="1"/>
  <c r="S8" i="40"/>
  <c r="H11" i="40"/>
  <c r="W8" i="40"/>
  <c r="U9" i="40"/>
  <c r="S34" i="40"/>
  <c r="U34"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H10" i="33"/>
  <c r="U10" i="33" s="1"/>
  <c r="S10" i="21"/>
  <c r="U40" i="33"/>
  <c r="U8" i="33"/>
  <c r="S8" i="33"/>
  <c r="F37" i="40"/>
  <c r="AA37" i="40" s="1"/>
  <c r="F36" i="40"/>
  <c r="AA36" i="40" s="1"/>
  <c r="J27" i="40"/>
  <c r="W27" i="40" s="1"/>
  <c r="F27" i="40"/>
  <c r="S27" i="40" s="1"/>
  <c r="F23" i="40"/>
  <c r="AA23" i="40" s="1"/>
  <c r="AC11" i="40"/>
  <c r="AB30" i="36"/>
  <c r="F29" i="35"/>
  <c r="S29" i="35" s="1"/>
  <c r="U34" i="37"/>
  <c r="AB42" i="34"/>
  <c r="H38" i="34"/>
  <c r="U15" i="34"/>
  <c r="H37" i="33"/>
  <c r="AB37" i="33" s="1"/>
  <c r="AA37" i="33"/>
  <c r="H36" i="33"/>
  <c r="U36" i="33" s="1"/>
  <c r="S25" i="33"/>
  <c r="F17" i="33"/>
  <c r="AA17" i="33" s="1"/>
  <c r="H15" i="33"/>
  <c r="AB15" i="33" s="1"/>
  <c r="AB11" i="33"/>
  <c r="AC42" i="34"/>
  <c r="W42" i="34"/>
  <c r="AA42" i="34"/>
  <c r="S42" i="34"/>
  <c r="W38" i="34"/>
  <c r="J37" i="33"/>
  <c r="AC37" i="33"/>
  <c r="J36" i="33"/>
  <c r="AC36" i="33"/>
  <c r="J11" i="33"/>
  <c r="AC11" i="33"/>
  <c r="J42" i="21"/>
  <c r="AC42" i="21"/>
  <c r="H42" i="21"/>
  <c r="AB42" i="21"/>
  <c r="J10" i="35"/>
  <c r="AC10" i="35"/>
  <c r="E119" i="21"/>
  <c r="F119" i="21"/>
  <c r="G119" i="21" s="1"/>
  <c r="H119" i="21" s="1"/>
  <c r="I119" i="21" s="1"/>
  <c r="J119" i="21" s="1"/>
  <c r="K119" i="21" s="1"/>
  <c r="L119" i="21" s="1"/>
  <c r="M119" i="21"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s="1"/>
  <c r="F29" i="33"/>
  <c r="S29" i="33" s="1"/>
  <c r="J31" i="33"/>
  <c r="W31" i="33" s="1"/>
  <c r="H31" i="33"/>
  <c r="AB31" i="33" s="1"/>
  <c r="F31" i="33"/>
  <c r="AA31" i="33" s="1"/>
  <c r="H45" i="33"/>
  <c r="U45" i="33" s="1"/>
  <c r="J45" i="33"/>
  <c r="W45" i="33" s="1"/>
  <c r="F45" i="33"/>
  <c r="S45" i="33" s="1"/>
  <c r="J14" i="34"/>
  <c r="F14" i="34"/>
  <c r="H14" i="34"/>
  <c r="U14" i="34" s="1"/>
  <c r="H30" i="34"/>
  <c r="U30" i="34" s="1"/>
  <c r="F30" i="34"/>
  <c r="S30" i="34" s="1"/>
  <c r="J30" i="34"/>
  <c r="W30" i="34" s="1"/>
  <c r="H32" i="34"/>
  <c r="U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J10" i="36"/>
  <c r="AC10" i="36" s="1"/>
  <c r="AC11" i="36"/>
  <c r="AC29" i="33"/>
  <c r="AB28" i="33"/>
  <c r="U42" i="21"/>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AC33" i="36"/>
  <c r="AC12" i="35"/>
  <c r="U39" i="37"/>
  <c r="W14" i="33"/>
  <c r="AB10" i="33"/>
  <c r="AC33" i="21"/>
  <c r="AB38" i="21"/>
  <c r="AA23" i="37"/>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U34"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D7" i="52" s="1"/>
  <c r="W17"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363" i="31"/>
  <c r="T311" i="31"/>
  <c r="T279" i="31"/>
  <c r="S101" i="31"/>
  <c r="S127" i="31"/>
  <c r="S191" i="31"/>
  <c r="C18" i="57"/>
  <c r="D18" i="57" s="1"/>
  <c r="D47" i="15"/>
  <c r="AB12" i="37"/>
  <c r="J37" i="37"/>
  <c r="W37" i="37" s="1"/>
  <c r="AB40" i="37"/>
  <c r="U40" i="37"/>
  <c r="U15" i="21"/>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AC45" i="21" s="1"/>
  <c r="F45" i="21"/>
  <c r="AA45" i="21"/>
  <c r="S42" i="21"/>
  <c r="B41" i="47"/>
  <c r="C23" i="40"/>
  <c r="W8" i="34"/>
  <c r="J9" i="34"/>
  <c r="AC9" i="34" s="1"/>
  <c r="F9" i="34"/>
  <c r="S9" i="34" s="1"/>
  <c r="AA19" i="34"/>
  <c r="S19" i="34"/>
  <c r="AA9" i="36"/>
  <c r="S9" i="36"/>
  <c r="J12" i="36"/>
  <c r="W12" i="36" s="1"/>
  <c r="H12" i="36"/>
  <c r="AB12" i="36" s="1"/>
  <c r="AA9" i="39"/>
  <c r="S9" i="39"/>
  <c r="AB12" i="39"/>
  <c r="U12" i="39"/>
  <c r="J12" i="39"/>
  <c r="F12" i="39"/>
  <c r="S12" i="39" s="1"/>
  <c r="F15" i="21"/>
  <c r="S15" i="21" s="1"/>
  <c r="C106" i="9"/>
  <c r="H102" i="9" s="1"/>
  <c r="J36" i="34"/>
  <c r="W36" i="34" s="1"/>
  <c r="J19" i="40"/>
  <c r="AC19" i="40" s="1"/>
  <c r="W9" i="39"/>
  <c r="H32" i="39"/>
  <c r="U32" i="39" s="1"/>
  <c r="F21" i="39"/>
  <c r="AA21" i="39" s="1"/>
  <c r="F37" i="47"/>
  <c r="B35" i="47" s="1"/>
  <c r="F31" i="37"/>
  <c r="AA31" i="37" s="1"/>
  <c r="U25" i="36"/>
  <c r="AC36" i="40"/>
  <c r="F17" i="37"/>
  <c r="AA17" i="37" s="1"/>
  <c r="AA29" i="33"/>
  <c r="AB13" i="40"/>
  <c r="U33" i="40"/>
  <c r="S12" i="40"/>
  <c r="U44" i="33"/>
  <c r="AB11" i="35"/>
  <c r="AB32" i="34"/>
  <c r="H45" i="21"/>
  <c r="AB45" i="21" s="1"/>
  <c r="J14" i="36"/>
  <c r="AC14" i="36" s="1"/>
  <c r="S15" i="34"/>
  <c r="J40" i="34"/>
  <c r="AC40" i="34" s="1"/>
  <c r="S37" i="40"/>
  <c r="H19" i="33"/>
  <c r="AB19" i="33" s="1"/>
  <c r="AB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H28" i="34"/>
  <c r="U28" i="34" s="1"/>
  <c r="E116" i="34"/>
  <c r="F116" i="34" s="1"/>
  <c r="G116" i="34" s="1"/>
  <c r="H116" i="34" s="1"/>
  <c r="I116" i="34" s="1"/>
  <c r="J116" i="34" s="1"/>
  <c r="K116" i="34" s="1"/>
  <c r="L116" i="34" s="1"/>
  <c r="M116" i="34" s="1"/>
  <c r="J39" i="34"/>
  <c r="W39" i="34" s="1"/>
  <c r="J27" i="36"/>
  <c r="W27" i="36" s="1"/>
  <c r="F37" i="34"/>
  <c r="AA37" i="34" s="1"/>
  <c r="H37" i="34"/>
  <c r="U37" i="34" s="1"/>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G103" i="43"/>
  <c r="F59" i="43"/>
  <c r="H63" i="43" s="1"/>
  <c r="G15" i="47"/>
  <c r="U15" i="37"/>
  <c r="AB24" i="36"/>
  <c r="H25" i="34"/>
  <c r="U25" i="34" s="1"/>
  <c r="AB35" i="39"/>
  <c r="AC40" i="37"/>
  <c r="S27" i="37"/>
  <c r="AA12" i="37"/>
  <c r="AA34" i="35"/>
  <c r="S34" i="35"/>
  <c r="AB24" i="35"/>
  <c r="J17" i="34"/>
  <c r="AC17" i="34" s="1"/>
  <c r="F17" i="34"/>
  <c r="AA17" i="34" s="1"/>
  <c r="H27" i="33"/>
  <c r="AB27" i="33" s="1"/>
  <c r="F43" i="33"/>
  <c r="S43" i="33" s="1"/>
  <c r="F125" i="33"/>
  <c r="G125" i="33" s="1"/>
  <c r="J43" i="33"/>
  <c r="AC43" i="33" s="1"/>
  <c r="AB31" i="21"/>
  <c r="AA29" i="21"/>
  <c r="S29" i="21"/>
  <c r="W29" i="21"/>
  <c r="AC27" i="21"/>
  <c r="H27" i="36"/>
  <c r="AB27" i="36" s="1"/>
  <c r="F27" i="36"/>
  <c r="AA27" i="36" s="1"/>
  <c r="J28" i="34"/>
  <c r="W28" i="34" s="1"/>
  <c r="H11" i="34"/>
  <c r="U11" i="34" s="1"/>
  <c r="J11" i="37"/>
  <c r="AC11" i="37" s="1"/>
  <c r="AC36" i="34"/>
  <c r="W12" i="39"/>
  <c r="AC12" i="39"/>
  <c r="W9" i="34"/>
  <c r="S45" i="21"/>
  <c r="AB13" i="21"/>
  <c r="U38" i="40"/>
  <c r="F23" i="39"/>
  <c r="AA23" i="39"/>
  <c r="F97" i="39"/>
  <c r="G97" i="39"/>
  <c r="S26" i="37"/>
  <c r="S24" i="36"/>
  <c r="F44" i="34"/>
  <c r="F126" i="34"/>
  <c r="G126" i="34" s="1"/>
  <c r="J44" i="34"/>
  <c r="AC44" i="34" s="1"/>
  <c r="S40" i="21"/>
  <c r="U31" i="37"/>
  <c r="W27" i="37"/>
  <c r="AB27" i="37"/>
  <c r="H10" i="37"/>
  <c r="U10" i="37" s="1"/>
  <c r="S24" i="35"/>
  <c r="AA27" i="33"/>
  <c r="S31" i="21"/>
  <c r="AC27" i="36"/>
  <c r="U9" i="34"/>
  <c r="J32" i="33"/>
  <c r="W32" i="33" s="1"/>
  <c r="H32" i="33"/>
  <c r="AB32" i="33" s="1"/>
  <c r="W40" i="34"/>
  <c r="U12" i="36"/>
  <c r="W45" i="21"/>
  <c r="AC13" i="21"/>
  <c r="AA44" i="34"/>
  <c r="S44" i="34"/>
  <c r="AB25" i="34"/>
  <c r="J10" i="37"/>
  <c r="AC10" i="37" s="1"/>
  <c r="H23" i="39"/>
  <c r="AB23" i="39" s="1"/>
  <c r="J11" i="34"/>
  <c r="W11" i="34" s="1"/>
  <c r="J27" i="33"/>
  <c r="W27" i="33" s="1"/>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E48" i="43" s="1"/>
  <c r="B46" i="43" s="1"/>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95" i="57"/>
  <c r="A16" i="55"/>
  <c r="B46" i="60" s="1"/>
  <c r="D3" i="33"/>
  <c r="D3" i="37"/>
  <c r="D3" i="36"/>
  <c r="C14" i="12"/>
  <c r="AB36" i="40"/>
  <c r="AA32" i="40"/>
  <c r="W32" i="40"/>
  <c r="W31" i="40"/>
  <c r="AC9" i="40"/>
  <c r="S9" i="40"/>
  <c r="AA27" i="40"/>
  <c r="AC38" i="40"/>
  <c r="W35" i="40"/>
  <c r="W33" i="40"/>
  <c r="W34" i="40"/>
  <c r="AB39" i="40"/>
  <c r="J37" i="40"/>
  <c r="W37" i="40" s="1"/>
  <c r="H35" i="40"/>
  <c r="H37" i="40"/>
  <c r="U37" i="40" s="1"/>
  <c r="H28" i="40"/>
  <c r="F28" i="40"/>
  <c r="AA28" i="40" s="1"/>
  <c r="J28" i="40"/>
  <c r="F98" i="40"/>
  <c r="G98" i="40" s="1"/>
  <c r="H98" i="40" s="1"/>
  <c r="I98" i="40" s="1"/>
  <c r="J98" i="40" s="1"/>
  <c r="K98" i="40" s="1"/>
  <c r="L98" i="40" s="1"/>
  <c r="M98" i="40" s="1"/>
  <c r="F21" i="40"/>
  <c r="S21" i="40" s="1"/>
  <c r="H21" i="40"/>
  <c r="F90" i="40"/>
  <c r="G90" i="40" s="1"/>
  <c r="J21" i="40"/>
  <c r="W21" i="40" s="1"/>
  <c r="W19" i="40"/>
  <c r="F86" i="40"/>
  <c r="G86" i="40" s="1"/>
  <c r="H17" i="40"/>
  <c r="U17" i="40" s="1"/>
  <c r="J17" i="40"/>
  <c r="F17" i="40"/>
  <c r="S17" i="40" s="1"/>
  <c r="F84" i="40"/>
  <c r="G84" i="40" s="1"/>
  <c r="F15" i="40"/>
  <c r="AA15" i="40" s="1"/>
  <c r="J15" i="40"/>
  <c r="H15" i="40"/>
  <c r="AB15" i="40" s="1"/>
  <c r="AC25" i="40"/>
  <c r="W25" i="40"/>
  <c r="U19" i="40"/>
  <c r="U14" i="40"/>
  <c r="U8" i="40"/>
  <c r="AA19" i="40"/>
  <c r="S36" i="40"/>
  <c r="AA35" i="40"/>
  <c r="AC38" i="39"/>
  <c r="AC17" i="39"/>
  <c r="AA37" i="39"/>
  <c r="AB29" i="39"/>
  <c r="AC25" i="39"/>
  <c r="S23" i="39"/>
  <c r="S21" i="39"/>
  <c r="W27" i="39"/>
  <c r="AC27" i="39"/>
  <c r="W35" i="39"/>
  <c r="AC15" i="39"/>
  <c r="U41" i="39"/>
  <c r="U42" i="39"/>
  <c r="AB13" i="39"/>
  <c r="U19" i="39"/>
  <c r="AB27" i="39"/>
  <c r="U27" i="39"/>
  <c r="AA27" i="39"/>
  <c r="S27" i="39"/>
  <c r="S40" i="39"/>
  <c r="S3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AA35" i="37" s="1"/>
  <c r="E103" i="37"/>
  <c r="F103" i="37" s="1"/>
  <c r="G103" i="37" s="1"/>
  <c r="H103" i="37" s="1"/>
  <c r="I103" i="37" s="1"/>
  <c r="J103" i="37" s="1"/>
  <c r="K103" i="37" s="1"/>
  <c r="L103" i="37" s="1"/>
  <c r="M103" i="37" s="1"/>
  <c r="AC23" i="37"/>
  <c r="J19" i="37"/>
  <c r="W19" i="37" s="1"/>
  <c r="F19" i="37"/>
  <c r="S19" i="37" s="1"/>
  <c r="G75" i="37"/>
  <c r="H19" i="37"/>
  <c r="U19" i="37" s="1"/>
  <c r="W17" i="37"/>
  <c r="AC17" i="37"/>
  <c r="AB17" i="37"/>
  <c r="J15" i="37"/>
  <c r="AC15" i="37" s="1"/>
  <c r="S10" i="37"/>
  <c r="AA11" i="37"/>
  <c r="U9" i="37"/>
  <c r="AC21" i="37"/>
  <c r="W21" i="37"/>
  <c r="W11" i="37"/>
  <c r="W14" i="37"/>
  <c r="AC19" i="37"/>
  <c r="W39" i="37"/>
  <c r="AB11" i="37"/>
  <c r="S37" i="37"/>
  <c r="AA14" i="37"/>
  <c r="AA38" i="37"/>
  <c r="AC39" i="34"/>
  <c r="W35" i="34"/>
  <c r="AB11" i="34"/>
  <c r="S40" i="34"/>
  <c r="AB41" i="34"/>
  <c r="S38" i="34"/>
  <c r="S36" i="34"/>
  <c r="AB19" i="34"/>
  <c r="S17" i="34"/>
  <c r="AB17"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U39" i="33"/>
  <c r="S42" i="33"/>
  <c r="S9" i="33"/>
  <c r="W42" i="21"/>
  <c r="AA39" i="21"/>
  <c r="W39" i="21"/>
  <c r="AA15" i="21"/>
  <c r="AC26" i="21"/>
  <c r="AC32" i="21"/>
  <c r="W40" i="21"/>
  <c r="AC37" i="21"/>
  <c r="W34" i="21"/>
  <c r="U27" i="21"/>
  <c r="U19" i="21"/>
  <c r="U43" i="21"/>
  <c r="U26" i="21"/>
  <c r="AB36" i="21"/>
  <c r="S17" i="21"/>
  <c r="AA36" i="21"/>
  <c r="AA43" i="21"/>
  <c r="AB21" i="21"/>
  <c r="U21" i="21"/>
  <c r="AC19" i="21"/>
  <c r="U17" i="21"/>
  <c r="S13" i="21"/>
  <c r="U12" i="21"/>
  <c r="AB11" i="21"/>
  <c r="U10" i="21"/>
  <c r="U9" i="21"/>
  <c r="AB8" i="21"/>
  <c r="AA11" i="21"/>
  <c r="S8" i="21"/>
  <c r="S485" i="31"/>
  <c r="S73" i="31"/>
  <c r="T57" i="31"/>
  <c r="S431" i="31"/>
  <c r="S197" i="31"/>
  <c r="S165" i="31"/>
  <c r="S133" i="31"/>
  <c r="S467" i="31"/>
  <c r="S83" i="31"/>
  <c r="S333" i="31"/>
  <c r="S365" i="31"/>
  <c r="S397" i="31"/>
  <c r="S77" i="31"/>
  <c r="S125" i="31"/>
  <c r="D33" i="50"/>
  <c r="D12" i="50"/>
  <c r="B26" i="60" s="1"/>
  <c r="D34" i="50"/>
  <c r="D13" i="50"/>
  <c r="B27" i="60" s="1"/>
  <c r="D112" i="57"/>
  <c r="D35" i="50"/>
  <c r="D14" i="50"/>
  <c r="B28" i="60" s="1"/>
  <c r="C18" i="9"/>
  <c r="D18" i="9" s="1"/>
  <c r="D22" i="15"/>
  <c r="A14" i="52"/>
  <c r="B61" i="60" s="1"/>
  <c r="V25" i="31"/>
  <c r="H102" i="43"/>
  <c r="D3" i="21"/>
  <c r="M6" i="43"/>
  <c r="M5" i="43"/>
  <c r="F81" i="43"/>
  <c r="H85" i="43" s="1"/>
  <c r="H13" i="44"/>
  <c r="G59" i="40"/>
  <c r="C59" i="40" s="1"/>
  <c r="H11" i="44"/>
  <c r="C51" i="10"/>
  <c r="A8" i="54" s="1"/>
  <c r="B8" i="60" s="1"/>
  <c r="F2" i="21"/>
  <c r="F2" i="34"/>
  <c r="F2" i="35"/>
  <c r="F2" i="33"/>
  <c r="D36" i="57"/>
  <c r="C114" i="9"/>
  <c r="H112" i="9" s="1"/>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D32" i="9"/>
  <c r="F117" i="9"/>
  <c r="A132" i="9"/>
  <c r="D24" i="15"/>
  <c r="C27" i="15"/>
  <c r="M20" i="15"/>
  <c r="D9" i="11"/>
  <c r="C9" i="11" s="1"/>
  <c r="D19" i="11"/>
  <c r="C20" i="12"/>
  <c r="C19" i="12"/>
  <c r="G22" i="11"/>
  <c r="G41" i="11"/>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124" i="9"/>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E105" i="43"/>
  <c r="M12" i="43"/>
  <c r="M8" i="43"/>
  <c r="N7" i="43"/>
  <c r="M3" i="43"/>
  <c r="M11" i="43"/>
  <c r="N8" i="43"/>
  <c r="H8" i="44"/>
  <c r="H12" i="44"/>
  <c r="C63" i="39"/>
  <c r="G64" i="39"/>
  <c r="C64" i="39" s="1"/>
  <c r="M85" i="43"/>
  <c r="N85" i="43" s="1"/>
  <c r="K85" i="43"/>
  <c r="J85" i="43" s="1"/>
  <c r="D85" i="43"/>
  <c r="M82" i="43"/>
  <c r="N82" i="43" s="1"/>
  <c r="K83" i="43"/>
  <c r="J83" i="43" s="1"/>
  <c r="D83" i="43"/>
  <c r="H81" i="43"/>
  <c r="J107" i="43"/>
  <c r="N109" i="43"/>
  <c r="E102" i="43"/>
  <c r="I103"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U33" i="35"/>
  <c r="W33" i="35"/>
  <c r="S36" i="35"/>
  <c r="U22" i="35"/>
  <c r="AA33" i="35"/>
  <c r="AA29" i="35"/>
  <c r="S22" i="35"/>
  <c r="U28" i="35"/>
  <c r="AB27" i="35"/>
  <c r="U36" i="35"/>
  <c r="S35" i="35"/>
  <c r="S26" i="35"/>
  <c r="AB26" i="35"/>
  <c r="AC16" i="35"/>
  <c r="AA25" i="35"/>
  <c r="S28" i="35"/>
  <c r="AC34" i="37"/>
  <c r="U29" i="37"/>
  <c r="U30" i="37"/>
  <c r="S40" i="37"/>
  <c r="AC29" i="37"/>
  <c r="AC13" i="37"/>
  <c r="U38" i="37"/>
  <c r="AA13" i="37"/>
  <c r="S9" i="37"/>
  <c r="G84" i="34"/>
  <c r="J21" i="34"/>
  <c r="AC21" i="34" s="1"/>
  <c r="AB40" i="34"/>
  <c r="AC19" i="34"/>
  <c r="AC23" i="34"/>
  <c r="AB37" i="34"/>
  <c r="W41" i="34"/>
  <c r="AA45" i="34"/>
  <c r="AB45" i="34"/>
  <c r="AB35" i="34"/>
  <c r="W29" i="34"/>
  <c r="S34" i="34"/>
  <c r="AC25" i="34"/>
  <c r="AB44" i="34"/>
  <c r="AC33" i="34"/>
  <c r="AA33" i="34"/>
  <c r="S35" i="34"/>
  <c r="AB47" i="34"/>
  <c r="U31" i="34"/>
  <c r="AB14" i="34"/>
  <c r="AC45" i="34"/>
  <c r="AA29" i="34"/>
  <c r="AC13" i="34"/>
  <c r="AB13" i="34"/>
  <c r="U10" i="34"/>
  <c r="S13" i="34"/>
  <c r="AA31" i="34"/>
  <c r="AB29" i="34"/>
  <c r="U37" i="33"/>
  <c r="U19" i="33"/>
  <c r="AA43" i="33"/>
  <c r="S32" i="33"/>
  <c r="U33" i="33"/>
  <c r="AA28" i="33"/>
  <c r="U30" i="33"/>
  <c r="S39" i="33"/>
  <c r="AA36" i="33"/>
  <c r="W35" i="33"/>
  <c r="W40" i="33"/>
  <c r="S33" i="33"/>
  <c r="U35" i="33"/>
  <c r="U32" i="33"/>
  <c r="AC45" i="33"/>
  <c r="AB29" i="33"/>
  <c r="AB36" i="33"/>
  <c r="W15" i="33"/>
  <c r="AA19" i="33"/>
  <c r="W8" i="33"/>
  <c r="G83" i="21"/>
  <c r="J21" i="21"/>
  <c r="S27" i="21"/>
  <c r="AA32" i="21"/>
  <c r="W23" i="21"/>
  <c r="AB25" i="21"/>
  <c r="AA25" i="21"/>
  <c r="U40" i="21"/>
  <c r="AA26" i="21"/>
  <c r="W10" i="21"/>
  <c r="S35" i="21"/>
  <c r="C15" i="39"/>
  <c r="C17" i="39"/>
  <c r="C19" i="39"/>
  <c r="C15" i="40"/>
  <c r="C17" i="40"/>
  <c r="B54" i="43"/>
  <c r="B65" i="43"/>
  <c r="U30" i="40"/>
  <c r="B49" i="43"/>
  <c r="B52" i="43"/>
  <c r="B56" i="43"/>
  <c r="B60" i="43"/>
  <c r="B63" i="43"/>
  <c r="B67" i="43"/>
  <c r="AC21" i="40"/>
  <c r="U35" i="40"/>
  <c r="AB35" i="40"/>
  <c r="AB37" i="40"/>
  <c r="AC37" i="40"/>
  <c r="S28" i="40"/>
  <c r="AC28" i="40"/>
  <c r="W28" i="40"/>
  <c r="U28" i="40"/>
  <c r="AB28" i="40"/>
  <c r="AB21" i="40"/>
  <c r="U21" i="40"/>
  <c r="AA21" i="40"/>
  <c r="AA17" i="40"/>
  <c r="W17" i="40"/>
  <c r="AC17" i="40"/>
  <c r="S15" i="40"/>
  <c r="AC15" i="40"/>
  <c r="W15" i="40"/>
  <c r="AB33" i="37"/>
  <c r="U33" i="37"/>
  <c r="U35" i="37"/>
  <c r="S33" i="37"/>
  <c r="S35" i="37"/>
  <c r="AA19" i="37"/>
  <c r="AB19" i="37"/>
  <c r="W21" i="34"/>
  <c r="AC21" i="21"/>
  <c r="W21" i="21"/>
  <c r="M86" i="43"/>
  <c r="N86" i="43" s="1"/>
  <c r="F34" i="11"/>
  <c r="E19" i="1"/>
  <c r="D20" i="1"/>
  <c r="D18" i="1"/>
  <c r="F50" i="11"/>
  <c r="F19" i="1"/>
  <c r="F18" i="1"/>
  <c r="C11" i="12" s="1"/>
  <c r="C15" i="12" s="1"/>
  <c r="D19" i="1"/>
  <c r="K87" i="43"/>
  <c r="J87" i="43" s="1"/>
  <c r="D87" i="43"/>
  <c r="L106" i="9"/>
  <c r="A18" i="55" s="1"/>
  <c r="B48" i="60" s="1"/>
  <c r="J22" i="43"/>
  <c r="M84" i="43"/>
  <c r="N84" i="43" s="1"/>
  <c r="K84" i="43"/>
  <c r="J84" i="43" s="1"/>
  <c r="D84" i="43"/>
  <c r="M81" i="43"/>
  <c r="N81" i="43"/>
  <c r="K81" i="43"/>
  <c r="J81" i="43"/>
  <c r="D81" i="43"/>
  <c r="M88" i="43"/>
  <c r="N88" i="43" s="1"/>
  <c r="K88" i="43"/>
  <c r="J88" i="43" s="1"/>
  <c r="D88" i="43"/>
  <c r="E81" i="43" s="1"/>
  <c r="B79" i="43" s="1"/>
  <c r="I114" i="57"/>
  <c r="D131" i="57" s="1"/>
  <c r="B41" i="1"/>
  <c r="M27" i="15" s="1"/>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F17" i="59"/>
  <c r="F16" i="59" s="1"/>
  <c r="X3" i="59"/>
  <c r="Y3" i="59"/>
  <c r="Z3" i="59" s="1"/>
  <c r="F48" i="43"/>
  <c r="H50" i="43" s="1"/>
  <c r="G4" i="47"/>
  <c r="B19" i="59"/>
  <c r="B18" i="59" s="1"/>
  <c r="B17" i="59" s="1"/>
  <c r="B16" i="59" s="1"/>
  <c r="AC30" i="35"/>
  <c r="U30" i="35"/>
  <c r="I112" i="9"/>
  <c r="D39" i="50" s="1"/>
  <c r="D40" i="50" s="1"/>
  <c r="D114" i="9"/>
  <c r="D115" i="9"/>
  <c r="I113" i="9" s="1"/>
  <c r="F7" i="61"/>
  <c r="F5" i="61"/>
  <c r="H23" i="31"/>
  <c r="F4" i="61"/>
  <c r="D3" i="61"/>
  <c r="E2" i="37"/>
  <c r="E2" i="36"/>
  <c r="E2" i="11"/>
  <c r="E2" i="33"/>
  <c r="D6" i="61"/>
  <c r="C19" i="9"/>
  <c r="E2" i="34"/>
  <c r="D5" i="61"/>
  <c r="C20" i="9"/>
  <c r="E2" i="21"/>
  <c r="E2" i="35"/>
  <c r="D7" i="61"/>
  <c r="F3" i="61"/>
  <c r="F6" i="61"/>
  <c r="S495" i="31" l="1"/>
  <c r="S117" i="31"/>
  <c r="S413" i="31"/>
  <c r="S381" i="31"/>
  <c r="S349" i="31"/>
  <c r="S511" i="31"/>
  <c r="S99" i="31"/>
  <c r="S439" i="31"/>
  <c r="S149" i="31"/>
  <c r="S181" i="31"/>
  <c r="S213" i="31"/>
  <c r="T49" i="31"/>
  <c r="S65" i="31"/>
  <c r="S451" i="31"/>
  <c r="S507" i="31"/>
  <c r="S223" i="31"/>
  <c r="S159" i="31"/>
  <c r="S461" i="31"/>
  <c r="T263" i="31"/>
  <c r="T295" i="31"/>
  <c r="S331" i="31"/>
  <c r="S395" i="31"/>
  <c r="S527" i="31"/>
  <c r="S525" i="31"/>
  <c r="S523" i="31"/>
  <c r="S521" i="31"/>
  <c r="S519" i="31"/>
  <c r="S243" i="31"/>
  <c r="H87" i="43"/>
  <c r="H84" i="43"/>
  <c r="W15" i="37"/>
  <c r="C7" i="43"/>
  <c r="W17" i="34"/>
  <c r="S17" i="37"/>
  <c r="AB34" i="21"/>
  <c r="C114" i="57"/>
  <c r="H109" i="57" s="1"/>
  <c r="AA13" i="33"/>
  <c r="W47" i="34"/>
  <c r="U23" i="37"/>
  <c r="AB45" i="33"/>
  <c r="S46" i="33"/>
  <c r="AB39" i="39"/>
  <c r="F124" i="34"/>
  <c r="F43" i="34"/>
  <c r="J12" i="34"/>
  <c r="H12" i="34"/>
  <c r="F26" i="47"/>
  <c r="B24" i="47" s="1"/>
  <c r="C19" i="59"/>
  <c r="T20" i="59"/>
  <c r="D20" i="59"/>
  <c r="AB24" i="59"/>
  <c r="AB3" i="59"/>
  <c r="Y22" i="59"/>
  <c r="Z22" i="59" s="1"/>
  <c r="X25" i="31"/>
  <c r="H100" i="43"/>
  <c r="I15" i="58"/>
  <c r="T52" i="59"/>
  <c r="O63" i="59"/>
  <c r="D67" i="59"/>
  <c r="C23" i="59"/>
  <c r="AB21" i="59"/>
  <c r="D72" i="59"/>
  <c r="T68" i="59"/>
  <c r="AA22" i="59"/>
  <c r="D38" i="59"/>
  <c r="Y21" i="59"/>
  <c r="Z21" i="59" s="1"/>
  <c r="X23" i="59"/>
  <c r="Y25" i="59"/>
  <c r="Z25" i="59" s="1"/>
  <c r="Y26" i="59"/>
  <c r="Z26" i="59" s="1"/>
  <c r="Y27" i="59"/>
  <c r="Z27" i="59" s="1"/>
  <c r="Y28" i="59"/>
  <c r="Z28" i="59" s="1"/>
  <c r="C30" i="59"/>
  <c r="AA30" i="59"/>
  <c r="AA31" i="59"/>
  <c r="AA32" i="59"/>
  <c r="E51" i="59"/>
  <c r="E52" i="59" s="1"/>
  <c r="U52" i="59" s="1"/>
  <c r="AF10" i="43"/>
  <c r="S479" i="31"/>
  <c r="S121" i="31"/>
  <c r="S55" i="31"/>
  <c r="S421" i="31"/>
  <c r="S405" i="31"/>
  <c r="S389" i="31"/>
  <c r="S373" i="31"/>
  <c r="S357" i="31"/>
  <c r="S341" i="31"/>
  <c r="S325" i="31"/>
  <c r="S107" i="31"/>
  <c r="S91" i="31"/>
  <c r="S459" i="31"/>
  <c r="S509" i="31"/>
  <c r="S447" i="31"/>
  <c r="S141" i="31"/>
  <c r="S157" i="31"/>
  <c r="S173" i="31"/>
  <c r="S189" i="31"/>
  <c r="S205" i="31"/>
  <c r="S221" i="31"/>
  <c r="T45" i="31"/>
  <c r="T53" i="31"/>
  <c r="S61" i="31"/>
  <c r="S69" i="31"/>
  <c r="S79" i="31"/>
  <c r="S477" i="31"/>
  <c r="S493" i="31"/>
  <c r="S207" i="31"/>
  <c r="S175" i="31"/>
  <c r="S143" i="31"/>
  <c r="S433" i="31"/>
  <c r="S93" i="31"/>
  <c r="S513" i="31"/>
  <c r="T271" i="31"/>
  <c r="T287" i="31"/>
  <c r="T303" i="31"/>
  <c r="T319" i="31"/>
  <c r="S347" i="31"/>
  <c r="S379" i="31"/>
  <c r="S411" i="31"/>
  <c r="S475" i="31"/>
  <c r="S235" i="31"/>
  <c r="S251" i="31"/>
  <c r="T517" i="31"/>
  <c r="S517" i="31"/>
  <c r="T505" i="31"/>
  <c r="S505" i="31"/>
  <c r="T503" i="31"/>
  <c r="S503" i="31"/>
  <c r="T499" i="31"/>
  <c r="S499" i="31"/>
  <c r="T483" i="31"/>
  <c r="S483" i="31"/>
  <c r="T465" i="31"/>
  <c r="S465" i="31"/>
  <c r="T457" i="31"/>
  <c r="S457" i="31"/>
  <c r="T445" i="31"/>
  <c r="S445" i="31"/>
  <c r="T437" i="31"/>
  <c r="S437"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S261" i="31"/>
  <c r="T261" i="31"/>
  <c r="T257" i="31"/>
  <c r="S257" i="31"/>
  <c r="T253" i="31"/>
  <c r="S253" i="31"/>
  <c r="T249" i="31"/>
  <c r="S249" i="31"/>
  <c r="T245" i="31"/>
  <c r="S245" i="31"/>
  <c r="T241" i="31"/>
  <c r="S241" i="31"/>
  <c r="T237" i="31"/>
  <c r="S237" i="31"/>
  <c r="T233" i="31"/>
  <c r="S233" i="31"/>
  <c r="T229" i="31"/>
  <c r="S229" i="31"/>
  <c r="T219" i="31"/>
  <c r="S219" i="31"/>
  <c r="T211" i="31"/>
  <c r="S211" i="31"/>
  <c r="T203" i="31"/>
  <c r="S203" i="31"/>
  <c r="T195" i="31"/>
  <c r="S195" i="31"/>
  <c r="T187" i="31"/>
  <c r="S187" i="31"/>
  <c r="T179" i="31"/>
  <c r="S179" i="31"/>
  <c r="T171" i="31"/>
  <c r="S171" i="31"/>
  <c r="T163" i="31"/>
  <c r="S163" i="31"/>
  <c r="T155" i="31"/>
  <c r="S155" i="31"/>
  <c r="T147" i="31"/>
  <c r="S147" i="31"/>
  <c r="T139" i="31"/>
  <c r="S139" i="31"/>
  <c r="T131" i="31"/>
  <c r="S131" i="31"/>
  <c r="T113" i="31"/>
  <c r="S113" i="31"/>
  <c r="T105" i="31"/>
  <c r="S105" i="31"/>
  <c r="T97" i="31"/>
  <c r="S97" i="31"/>
  <c r="T89" i="31"/>
  <c r="S89" i="31"/>
  <c r="T81" i="31"/>
  <c r="S81" i="31"/>
  <c r="T43" i="31"/>
  <c r="S43" i="31"/>
  <c r="U34" i="34"/>
  <c r="S487" i="31"/>
  <c r="S471" i="31"/>
  <c r="S123" i="31"/>
  <c r="S119" i="31"/>
  <c r="S115" i="31"/>
  <c r="S47" i="31"/>
  <c r="S425" i="31"/>
  <c r="S417" i="31"/>
  <c r="S409" i="31"/>
  <c r="S401" i="31"/>
  <c r="S393" i="31"/>
  <c r="S385" i="31"/>
  <c r="S377" i="31"/>
  <c r="S369" i="31"/>
  <c r="S361" i="31"/>
  <c r="S353" i="31"/>
  <c r="S345" i="31"/>
  <c r="S337" i="31"/>
  <c r="S329" i="31"/>
  <c r="S515" i="31"/>
  <c r="S111" i="31"/>
  <c r="S103" i="31"/>
  <c r="S87" i="31"/>
  <c r="S95" i="31"/>
  <c r="S455" i="31"/>
  <c r="S463" i="31"/>
  <c r="S501" i="31"/>
  <c r="S435" i="31"/>
  <c r="S443" i="31"/>
  <c r="S129" i="31"/>
  <c r="S137" i="31"/>
  <c r="S145" i="31"/>
  <c r="S153" i="31"/>
  <c r="S161" i="31"/>
  <c r="S169" i="31"/>
  <c r="S177" i="31"/>
  <c r="S185" i="31"/>
  <c r="S193" i="31"/>
  <c r="S201" i="31"/>
  <c r="S209" i="31"/>
  <c r="S217" i="31"/>
  <c r="S225" i="31"/>
  <c r="S59" i="31"/>
  <c r="S63" i="31"/>
  <c r="S67" i="31"/>
  <c r="S71" i="31"/>
  <c r="S75" i="31"/>
  <c r="S449" i="31"/>
  <c r="S473" i="31"/>
  <c r="S481" i="31"/>
  <c r="S489" i="31"/>
  <c r="S497" i="31"/>
  <c r="S215" i="31"/>
  <c r="S199" i="31"/>
  <c r="S183" i="31"/>
  <c r="S167" i="31"/>
  <c r="S151" i="31"/>
  <c r="S135" i="31"/>
  <c r="S441" i="31"/>
  <c r="S469" i="31"/>
  <c r="S453" i="31"/>
  <c r="S85" i="31"/>
  <c r="S109" i="31"/>
  <c r="T259" i="31"/>
  <c r="T267" i="31"/>
  <c r="T275" i="31"/>
  <c r="T283" i="31"/>
  <c r="T291" i="31"/>
  <c r="T299" i="31"/>
  <c r="T307" i="31"/>
  <c r="T315" i="31"/>
  <c r="T323" i="31"/>
  <c r="S339" i="31"/>
  <c r="S355" i="31"/>
  <c r="S371" i="31"/>
  <c r="S387" i="31"/>
  <c r="S403" i="31"/>
  <c r="S419" i="31"/>
  <c r="S51" i="31"/>
  <c r="S491" i="31"/>
  <c r="S231" i="31"/>
  <c r="S239" i="31"/>
  <c r="S247" i="31"/>
  <c r="S255" i="3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74" i="31"/>
  <c r="S74" i="31"/>
  <c r="T70" i="31"/>
  <c r="S70" i="31"/>
  <c r="T66" i="31"/>
  <c r="S66" i="31"/>
  <c r="T62" i="31"/>
  <c r="S62" i="31"/>
  <c r="T58" i="31"/>
  <c r="S58" i="31"/>
  <c r="AA27" i="34"/>
  <c r="W33" i="37"/>
  <c r="AB17" i="40"/>
  <c r="AC31" i="21"/>
  <c r="AC32" i="33"/>
  <c r="W44" i="34"/>
  <c r="AB28" i="34"/>
  <c r="U26" i="37"/>
  <c r="W29" i="35"/>
  <c r="U40" i="40"/>
  <c r="M107" i="43"/>
  <c r="E106" i="43"/>
  <c r="N105" i="43"/>
  <c r="J104" i="43"/>
  <c r="F103" i="43"/>
  <c r="F106" i="43"/>
  <c r="N106" i="43"/>
  <c r="AB32" i="21"/>
  <c r="AB23" i="21"/>
  <c r="AB39" i="21"/>
  <c r="AA34" i="21"/>
  <c r="W39" i="33"/>
  <c r="AA9" i="34"/>
  <c r="AC28" i="34"/>
  <c r="AB10" i="37"/>
  <c r="W10" i="37"/>
  <c r="S15" i="37"/>
  <c r="AB16" i="36"/>
  <c r="AC24" i="36"/>
  <c r="AC11" i="39"/>
  <c r="AB15" i="39"/>
  <c r="AC23" i="39"/>
  <c r="S40" i="40"/>
  <c r="S27" i="36"/>
  <c r="U45" i="21"/>
  <c r="AB29" i="21"/>
  <c r="AB43" i="33"/>
  <c r="AC37" i="37"/>
  <c r="W40" i="40"/>
  <c r="N102" i="43"/>
  <c r="AA30" i="34"/>
  <c r="U11" i="36"/>
  <c r="AB13" i="37"/>
  <c r="AB28" i="36"/>
  <c r="U14" i="39"/>
  <c r="AC15" i="21"/>
  <c r="S23" i="21"/>
  <c r="S42" i="39"/>
  <c r="W19" i="39"/>
  <c r="W10" i="36"/>
  <c r="S11" i="33"/>
  <c r="AC31" i="33"/>
  <c r="AB20" i="35"/>
  <c r="S14" i="33"/>
  <c r="AC34" i="36"/>
  <c r="AC32" i="35"/>
  <c r="W32" i="35"/>
  <c r="W9" i="21"/>
  <c r="AC9" i="21"/>
  <c r="F12" i="21"/>
  <c r="J12" i="21"/>
  <c r="J14" i="21"/>
  <c r="F14" i="21"/>
  <c r="H14" i="21"/>
  <c r="H28" i="21"/>
  <c r="F28" i="21"/>
  <c r="J28" i="21"/>
  <c r="H30" i="21"/>
  <c r="F30" i="21"/>
  <c r="J30" i="21"/>
  <c r="J44" i="21"/>
  <c r="H44" i="21"/>
  <c r="F44" i="21"/>
  <c r="H46" i="21"/>
  <c r="J46" i="21"/>
  <c r="F46" i="21"/>
  <c r="AC10" i="33"/>
  <c r="W10" i="33"/>
  <c r="AA47" i="34"/>
  <c r="S47" i="34"/>
  <c r="W14" i="34"/>
  <c r="AC14" i="34"/>
  <c r="AB11" i="40"/>
  <c r="U11" i="40"/>
  <c r="AA26" i="33"/>
  <c r="S26" i="33"/>
  <c r="AA19" i="21"/>
  <c r="S19" i="21"/>
  <c r="AB33" i="21"/>
  <c r="U33" i="21"/>
  <c r="AC8" i="21"/>
  <c r="W8" i="21"/>
  <c r="J26" i="33"/>
  <c r="H26" i="33"/>
  <c r="J27" i="34"/>
  <c r="I107" i="57"/>
  <c r="G100" i="43"/>
  <c r="D48" i="59"/>
  <c r="T48" i="59"/>
  <c r="C36" i="59"/>
  <c r="D35" i="59"/>
  <c r="C40" i="59"/>
  <c r="D39" i="59"/>
  <c r="C43" i="59"/>
  <c r="D43" i="59" s="1"/>
  <c r="D42" i="59"/>
  <c r="J9" i="36"/>
  <c r="C108" i="43"/>
  <c r="C100" i="43"/>
  <c r="K108" i="43"/>
  <c r="K100" i="43"/>
  <c r="I10" i="58"/>
  <c r="S21" i="21"/>
  <c r="S21" i="37"/>
  <c r="T56" i="59"/>
  <c r="AA21" i="59"/>
  <c r="AA23" i="59"/>
  <c r="AB22" i="59"/>
  <c r="C83" i="59"/>
  <c r="D76" i="59"/>
  <c r="C75" i="59"/>
  <c r="E71" i="59"/>
  <c r="E70" i="59" s="1"/>
  <c r="Y23" i="59"/>
  <c r="Z23" i="59" s="1"/>
  <c r="X25" i="59"/>
  <c r="E26" i="59"/>
  <c r="E27" i="59" s="1"/>
  <c r="E28" i="59" s="1"/>
  <c r="U28" i="59" s="1"/>
  <c r="AB25" i="59"/>
  <c r="AB26" i="59"/>
  <c r="AB27" i="59"/>
  <c r="B63" i="59"/>
  <c r="F71" i="59"/>
  <c r="F70" i="59" s="1"/>
  <c r="F75" i="59"/>
  <c r="F74" i="59" s="1"/>
  <c r="AI10" i="43"/>
  <c r="AB27" i="34"/>
  <c r="AC37" i="34"/>
  <c r="S37" i="34"/>
  <c r="W34" i="34"/>
  <c r="AC11" i="34"/>
  <c r="AB8" i="34"/>
  <c r="S8" i="34"/>
  <c r="D80" i="57"/>
  <c r="D78" i="9"/>
  <c r="B15" i="59"/>
  <c r="B14" i="59" s="1"/>
  <c r="B13" i="59" s="1"/>
  <c r="B12" i="59" s="1"/>
  <c r="S16" i="59"/>
  <c r="F15" i="59"/>
  <c r="F14" i="59" s="1"/>
  <c r="F13" i="59" s="1"/>
  <c r="F12" i="59" s="1"/>
  <c r="V16" i="59"/>
  <c r="U23" i="39"/>
  <c r="AA15" i="39"/>
  <c r="AB25" i="39"/>
  <c r="AA30" i="33"/>
  <c r="S28" i="37"/>
  <c r="AA11" i="35"/>
  <c r="U31" i="33"/>
  <c r="U32" i="36"/>
  <c r="AC13" i="36"/>
  <c r="AC32" i="34"/>
  <c r="W30" i="33"/>
  <c r="W28" i="37"/>
  <c r="AB14" i="33"/>
  <c r="W13" i="35"/>
  <c r="AC27" i="40"/>
  <c r="C27" i="39"/>
  <c r="B74" i="43"/>
  <c r="F9" i="35"/>
  <c r="H9" i="35"/>
  <c r="F12" i="35"/>
  <c r="H12" i="35"/>
  <c r="J36" i="35"/>
  <c r="H23" i="36"/>
  <c r="F25" i="37"/>
  <c r="J25" i="37"/>
  <c r="F39" i="40"/>
  <c r="D4" i="47"/>
  <c r="F4" i="47" s="1"/>
  <c r="B2" i="47" s="1"/>
  <c r="B25" i="31"/>
  <c r="Y27" i="31"/>
  <c r="Y25" i="31" s="1"/>
  <c r="C37" i="57" s="1"/>
  <c r="F125" i="57" s="1"/>
  <c r="F126" i="57" s="1"/>
  <c r="U27" i="31"/>
  <c r="U25" i="31" s="1"/>
  <c r="C36" i="57" s="1"/>
  <c r="D125" i="57" s="1"/>
  <c r="L108" i="57" s="1"/>
  <c r="I21" i="58"/>
  <c r="D1" i="58" s="1"/>
  <c r="E10" i="58" s="1"/>
  <c r="D62" i="59"/>
  <c r="O62" i="59"/>
  <c r="O61" i="59"/>
  <c r="N100" i="43"/>
  <c r="J100" i="43"/>
  <c r="F100" i="43"/>
  <c r="M100" i="43"/>
  <c r="I100" i="43"/>
  <c r="E100" i="43"/>
  <c r="C30" i="58"/>
  <c r="C31" i="58"/>
  <c r="C29" i="39"/>
  <c r="C25" i="40"/>
  <c r="B55" i="43"/>
  <c r="B75" i="43"/>
  <c r="U24" i="59"/>
  <c r="D63" i="59"/>
  <c r="AA24" i="59"/>
  <c r="S24" i="59"/>
  <c r="X21" i="59"/>
  <c r="X24" i="59"/>
  <c r="B26" i="59"/>
  <c r="B27" i="59" s="1"/>
  <c r="B28" i="59" s="1"/>
  <c r="S28" i="59" s="1"/>
  <c r="C26" i="59"/>
  <c r="AA29" i="59"/>
  <c r="E30" i="59"/>
  <c r="E31" i="59" s="1"/>
  <c r="E32" i="59" s="1"/>
  <c r="U32" i="59" s="1"/>
  <c r="X30" i="59"/>
  <c r="X31" i="59"/>
  <c r="X32" i="59"/>
  <c r="AA33" i="59"/>
  <c r="E34" i="59"/>
  <c r="E35" i="59" s="1"/>
  <c r="E36" i="59" s="1"/>
  <c r="X34" i="59"/>
  <c r="AB6" i="59"/>
  <c r="AB5" i="59"/>
  <c r="AB35" i="59"/>
  <c r="F26" i="59"/>
  <c r="F27" i="59" s="1"/>
  <c r="F28" i="59" s="1"/>
  <c r="V28" i="59" s="1"/>
  <c r="X6" i="59"/>
  <c r="X7" i="59"/>
  <c r="X5" i="59"/>
  <c r="X35" i="59"/>
  <c r="AB28" i="59"/>
  <c r="X29" i="59"/>
  <c r="AB29" i="59"/>
  <c r="F30" i="59"/>
  <c r="F31" i="59" s="1"/>
  <c r="F32" i="59" s="1"/>
  <c r="V32" i="59" s="1"/>
  <c r="AB30" i="59"/>
  <c r="AB31" i="59"/>
  <c r="AB32" i="59"/>
  <c r="X33" i="59"/>
  <c r="AB33" i="59"/>
  <c r="F34" i="59"/>
  <c r="F35" i="59" s="1"/>
  <c r="F36" i="59" s="1"/>
  <c r="V36" i="59" s="1"/>
  <c r="AB34" i="59"/>
  <c r="Y5" i="59"/>
  <c r="Z5" i="59" s="1"/>
  <c r="Y7" i="59"/>
  <c r="Z7" i="59" s="1"/>
  <c r="AA6" i="59"/>
  <c r="F63" i="59"/>
  <c r="E63" i="59"/>
  <c r="N64" i="59"/>
  <c r="B67" i="59"/>
  <c r="B66" i="59" s="1"/>
  <c r="F67" i="59"/>
  <c r="F66" i="59" s="1"/>
  <c r="AE10" i="43"/>
  <c r="Z12" i="43"/>
  <c r="Z13" i="43" s="1"/>
  <c r="Z10" i="43"/>
  <c r="AD12" i="43"/>
  <c r="AD13" i="43" s="1"/>
  <c r="AD10" i="43"/>
  <c r="AH12" i="43"/>
  <c r="AH13" i="43" s="1"/>
  <c r="AH10" i="43"/>
  <c r="AA17" i="59"/>
  <c r="AA20" i="59"/>
  <c r="E11" i="59"/>
  <c r="E10" i="59" s="1"/>
  <c r="E9" i="59" s="1"/>
  <c r="E8" i="59" s="1"/>
  <c r="U12" i="59"/>
  <c r="Y19" i="59"/>
  <c r="Z19" i="59" s="1"/>
  <c r="AB18" i="59"/>
  <c r="AB17" i="59"/>
  <c r="Y17" i="59"/>
  <c r="Z17" i="59" s="1"/>
  <c r="Y15" i="59"/>
  <c r="Z15" i="59" s="1"/>
  <c r="AA13" i="59"/>
  <c r="X9" i="59"/>
  <c r="AB7" i="59"/>
  <c r="P64" i="59"/>
  <c r="AC12" i="43"/>
  <c r="AC13" i="43" s="1"/>
  <c r="AC10" i="43"/>
  <c r="AG12" i="43"/>
  <c r="AG13" i="43" s="1"/>
  <c r="AG10" i="43"/>
  <c r="X18" i="59"/>
  <c r="AA15" i="59"/>
  <c r="X17" i="59"/>
  <c r="AB13" i="59"/>
  <c r="X13" i="59"/>
  <c r="AA12" i="59"/>
  <c r="Y14" i="59"/>
  <c r="Z14" i="59" s="1"/>
  <c r="AA10" i="59"/>
  <c r="V20" i="59"/>
  <c r="X20" i="59"/>
  <c r="Y20" i="59"/>
  <c r="Z20" i="59" s="1"/>
  <c r="Y13" i="59"/>
  <c r="Z13" i="59" s="1"/>
  <c r="Y11" i="59"/>
  <c r="Z11" i="59" s="1"/>
  <c r="AB12" i="59"/>
  <c r="AB11" i="59"/>
  <c r="AB9" i="59"/>
  <c r="AB10" i="59"/>
  <c r="Y6" i="59"/>
  <c r="Z6" i="59" s="1"/>
  <c r="Y9" i="59"/>
  <c r="Z9" i="59" s="1"/>
  <c r="AA8" i="59"/>
  <c r="AA7" i="59"/>
  <c r="X8" i="59"/>
  <c r="A8" i="52"/>
  <c r="B65" i="60" s="1"/>
  <c r="X11" i="59"/>
  <c r="AA11" i="59"/>
  <c r="AB8" i="59"/>
  <c r="Y8" i="59"/>
  <c r="Z8" i="59" s="1"/>
  <c r="Y10" i="59"/>
  <c r="Z10" i="59" s="1"/>
  <c r="AA9" i="59"/>
  <c r="AA5" i="59"/>
  <c r="X10" i="59"/>
  <c r="E7" i="59"/>
  <c r="E6" i="59" s="1"/>
  <c r="E5" i="59" s="1"/>
  <c r="U8" i="59"/>
  <c r="D18" i="50"/>
  <c r="B31" i="60" s="1"/>
  <c r="A10" i="52"/>
  <c r="B66" i="60" s="1"/>
  <c r="C14" i="15"/>
  <c r="C15" i="15" s="1"/>
  <c r="H70" i="43"/>
  <c r="H76" i="43"/>
  <c r="H78" i="43"/>
  <c r="H75" i="43"/>
  <c r="H73" i="43"/>
  <c r="G26" i="47"/>
  <c r="H62" i="43"/>
  <c r="H88" i="43"/>
  <c r="H83" i="43"/>
  <c r="H82" i="43"/>
  <c r="H54" i="43"/>
  <c r="H51" i="43"/>
  <c r="B20" i="60"/>
  <c r="C18" i="50"/>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C116" i="57"/>
  <c r="H112" i="57" s="1"/>
  <c r="C17" i="12"/>
  <c r="B36" i="50"/>
  <c r="B56" i="60"/>
  <c r="H53" i="43"/>
  <c r="N60" i="15"/>
  <c r="C12" i="12"/>
  <c r="C16" i="12" s="1"/>
  <c r="G17" i="43"/>
  <c r="C16" i="43" s="1"/>
  <c r="C5" i="43" s="1"/>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41" i="50"/>
  <c r="B63" i="60" s="1"/>
  <c r="C12" i="50"/>
  <c r="C94" i="57"/>
  <c r="C96" i="57"/>
  <c r="C113" i="57"/>
  <c r="H108" i="57" s="1"/>
  <c r="C115" i="57"/>
  <c r="H110" i="57" s="1"/>
  <c r="C31" i="12"/>
  <c r="C23" i="12"/>
  <c r="D128" i="9"/>
  <c r="D11" i="52" s="1"/>
  <c r="D20" i="50"/>
  <c r="C34" i="15"/>
  <c r="C14" i="50"/>
  <c r="B5" i="48"/>
  <c r="D5" i="48" s="1"/>
  <c r="F7" i="48"/>
  <c r="H7" i="48" s="1"/>
  <c r="F11" i="48"/>
  <c r="H11" i="48" s="1"/>
  <c r="B12" i="48"/>
  <c r="D12" i="48" s="1"/>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1" i="9"/>
  <c r="I1" i="61"/>
  <c r="B31" i="1" s="1"/>
  <c r="C102" i="9"/>
  <c r="K1" i="61"/>
  <c r="G1" i="61"/>
  <c r="D4" i="61"/>
  <c r="H68" i="39" l="1"/>
  <c r="F7" i="37"/>
  <c r="S7" i="37" s="1"/>
  <c r="H7" i="37"/>
  <c r="AB7" i="37" s="1"/>
  <c r="T42" i="37" s="1"/>
  <c r="G42" i="37" s="1"/>
  <c r="G46" i="37" s="1"/>
  <c r="H46" i="37" s="1"/>
  <c r="AC12" i="34"/>
  <c r="W12" i="34"/>
  <c r="G124" i="34"/>
  <c r="H124" i="34" s="1"/>
  <c r="I124" i="34" s="1"/>
  <c r="J124" i="34" s="1"/>
  <c r="K124" i="34" s="1"/>
  <c r="L124" i="34" s="1"/>
  <c r="M124" i="34" s="1"/>
  <c r="J43" i="34"/>
  <c r="H43" i="34"/>
  <c r="C31" i="59"/>
  <c r="D30" i="59"/>
  <c r="C22" i="59"/>
  <c r="D22" i="59" s="1"/>
  <c r="D23" i="59"/>
  <c r="C18" i="59"/>
  <c r="D19" i="59"/>
  <c r="U12" i="34"/>
  <c r="AB12" i="34"/>
  <c r="AA43" i="34"/>
  <c r="S43" i="34"/>
  <c r="D70" i="39"/>
  <c r="N63" i="59"/>
  <c r="B62" i="59"/>
  <c r="D75" i="59"/>
  <c r="C74" i="59"/>
  <c r="D74" i="59" s="1"/>
  <c r="D83" i="59"/>
  <c r="C82" i="59"/>
  <c r="D82" i="59" s="1"/>
  <c r="AC9" i="36"/>
  <c r="W9" i="36"/>
  <c r="D40" i="59"/>
  <c r="T40" i="59"/>
  <c r="D36" i="59"/>
  <c r="T36" i="59"/>
  <c r="D127" i="57"/>
  <c r="D6" i="52" s="1"/>
  <c r="D10" i="50"/>
  <c r="D31" i="50"/>
  <c r="D32" i="50" s="1"/>
  <c r="U26" i="33"/>
  <c r="AB26" i="33"/>
  <c r="AA46" i="21"/>
  <c r="S46" i="21"/>
  <c r="U46" i="21"/>
  <c r="AB46" i="21"/>
  <c r="U44" i="21"/>
  <c r="AB44" i="21"/>
  <c r="AC30" i="21"/>
  <c r="W30" i="21"/>
  <c r="U30" i="21"/>
  <c r="AB30" i="21"/>
  <c r="S28" i="21"/>
  <c r="AA28" i="21"/>
  <c r="U14" i="21"/>
  <c r="AB14" i="21"/>
  <c r="AC14" i="21"/>
  <c r="W14" i="21"/>
  <c r="AA12" i="21"/>
  <c r="S12" i="21"/>
  <c r="W27" i="34"/>
  <c r="AC27" i="34"/>
  <c r="AC26" i="33"/>
  <c r="W26" i="33"/>
  <c r="W46" i="21"/>
  <c r="AC46" i="21"/>
  <c r="AA44" i="21"/>
  <c r="S44" i="21"/>
  <c r="AC44" i="21"/>
  <c r="W44" i="21"/>
  <c r="S30" i="21"/>
  <c r="AA30" i="21"/>
  <c r="W28" i="21"/>
  <c r="AC28" i="21"/>
  <c r="AB28" i="21"/>
  <c r="U28" i="21"/>
  <c r="S14" i="21"/>
  <c r="AA14" i="21"/>
  <c r="AC12" i="21"/>
  <c r="W12" i="21"/>
  <c r="D10" i="48"/>
  <c r="C3" i="4"/>
  <c r="B4" i="55" s="1"/>
  <c r="B53" i="60" s="1"/>
  <c r="D19" i="50"/>
  <c r="B32" i="60" s="1"/>
  <c r="D126" i="57"/>
  <c r="H7" i="35"/>
  <c r="F7" i="35"/>
  <c r="F62" i="59"/>
  <c r="Q63" i="59"/>
  <c r="M19" i="43"/>
  <c r="U36" i="59"/>
  <c r="E26" i="58"/>
  <c r="B125" i="57"/>
  <c r="H103" i="57"/>
  <c r="AA39" i="40"/>
  <c r="S39" i="40"/>
  <c r="AA25" i="37"/>
  <c r="S25" i="37"/>
  <c r="AC36" i="35"/>
  <c r="W36" i="35"/>
  <c r="S12" i="35"/>
  <c r="AA12" i="35"/>
  <c r="AA9" i="35"/>
  <c r="S9" i="35"/>
  <c r="F11" i="59"/>
  <c r="F10" i="59" s="1"/>
  <c r="F9" i="59" s="1"/>
  <c r="F8" i="59" s="1"/>
  <c r="V12" i="59"/>
  <c r="B11" i="59"/>
  <c r="B10" i="59" s="1"/>
  <c r="B9" i="59" s="1"/>
  <c r="B8" i="59" s="1"/>
  <c r="S12" i="59"/>
  <c r="P63" i="59"/>
  <c r="E62" i="59"/>
  <c r="D26" i="59"/>
  <c r="C27" i="59"/>
  <c r="AC25" i="37"/>
  <c r="W25" i="37"/>
  <c r="U23" i="36"/>
  <c r="AB23" i="36"/>
  <c r="U12" i="35"/>
  <c r="AB12" i="35"/>
  <c r="AB9" i="35"/>
  <c r="U9"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C19" i="43"/>
  <c r="P24" i="43"/>
  <c r="B66" i="40" s="1"/>
  <c r="P21" i="43"/>
  <c r="B71" i="39" s="1"/>
  <c r="P23" i="43"/>
  <c r="P22" i="43"/>
  <c r="P28" i="43"/>
  <c r="N28" i="43"/>
  <c r="M28" i="43"/>
  <c r="O28" i="43"/>
  <c r="G20" i="43" s="1"/>
  <c r="E41" i="43" s="1"/>
  <c r="C41" i="43" s="1"/>
  <c r="F11" i="15"/>
  <c r="M11" i="15"/>
  <c r="J10" i="15" s="1"/>
  <c r="J5" i="15" s="1"/>
  <c r="AB43" i="34" l="1"/>
  <c r="U43" i="34"/>
  <c r="D18" i="59"/>
  <c r="C17" i="59"/>
  <c r="C32" i="59"/>
  <c r="D31" i="59"/>
  <c r="AC43" i="34"/>
  <c r="W43" i="34"/>
  <c r="D11" i="50"/>
  <c r="B25" i="60" s="1"/>
  <c r="B23" i="60"/>
  <c r="N61" i="59"/>
  <c r="N62" i="59"/>
  <c r="E42" i="37"/>
  <c r="C19" i="15"/>
  <c r="C20" i="15" s="1"/>
  <c r="C26" i="15" s="1"/>
  <c r="J7" i="36"/>
  <c r="S8" i="59"/>
  <c r="B7" i="59"/>
  <c r="B6" i="59" s="1"/>
  <c r="B5" i="59" s="1"/>
  <c r="V8" i="59"/>
  <c r="F7" i="59"/>
  <c r="F6" i="59" s="1"/>
  <c r="F5" i="59" s="1"/>
  <c r="G125" i="57"/>
  <c r="E125" i="57"/>
  <c r="C28" i="59"/>
  <c r="D27" i="59"/>
  <c r="P61" i="59"/>
  <c r="P62" i="59"/>
  <c r="Q62" i="59"/>
  <c r="Q61" i="59"/>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16" i="59" l="1"/>
  <c r="D17" i="59"/>
  <c r="D32" i="59"/>
  <c r="T32" i="59"/>
  <c r="T28" i="59"/>
  <c r="D2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5" i="59" l="1"/>
  <c r="T16" i="59"/>
  <c r="D16" i="59"/>
  <c r="E33" i="43"/>
  <c r="G36" i="43"/>
  <c r="I36" i="43" s="1"/>
  <c r="E35" i="43"/>
  <c r="E34" i="43"/>
  <c r="G37" i="43"/>
  <c r="I37" i="43" s="1"/>
  <c r="G65" i="40"/>
  <c r="H63" i="40"/>
  <c r="J29" i="15"/>
  <c r="B3" i="35"/>
  <c r="B2" i="35"/>
  <c r="H59" i="34"/>
  <c r="R37" i="36"/>
  <c r="E36" i="36"/>
  <c r="K70" i="39"/>
  <c r="L68" i="39"/>
  <c r="I58" i="21"/>
  <c r="C41" i="11"/>
  <c r="C49" i="11" s="1"/>
  <c r="C51" i="11" s="1"/>
  <c r="C29" i="15"/>
  <c r="J14" i="15" s="1"/>
  <c r="C22" i="11"/>
  <c r="C31" i="11" s="1"/>
  <c r="C32" i="12"/>
  <c r="C14" i="59" l="1"/>
  <c r="D15"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4" i="59" l="1"/>
  <c r="C13" i="59"/>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13" i="59" l="1"/>
  <c r="C12" i="5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T12" i="59" l="1"/>
  <c r="C11" i="59"/>
  <c r="D12" i="59"/>
  <c r="L63" i="40"/>
  <c r="K65" i="40"/>
  <c r="E52" i="21"/>
  <c r="F52" i="21" s="1"/>
  <c r="E53" i="21"/>
  <c r="F53" i="21" s="1"/>
  <c r="C48" i="21"/>
  <c r="C49" i="21"/>
  <c r="B2" i="21" s="1"/>
  <c r="B3" i="21" s="1"/>
  <c r="J7" i="39"/>
  <c r="H7" i="39"/>
  <c r="F7" i="39"/>
  <c r="L59" i="34"/>
  <c r="C47" i="15"/>
  <c r="J41" i="15"/>
  <c r="J42" i="15" s="1"/>
  <c r="Q54" i="15"/>
  <c r="C43" i="15"/>
  <c r="Q65" i="15"/>
  <c r="Q45" i="15"/>
  <c r="Q51" i="15" s="1"/>
  <c r="Q63" i="15"/>
  <c r="C10" i="59" l="1"/>
  <c r="D11" i="59"/>
  <c r="D35" i="9"/>
  <c r="D34" i="9" s="1"/>
  <c r="L65" i="40"/>
  <c r="M63" i="40"/>
  <c r="AA7" i="39"/>
  <c r="R47" i="39" s="1"/>
  <c r="R48" i="39" s="1"/>
  <c r="S7" i="39"/>
  <c r="M59" i="34"/>
  <c r="N59" i="34" s="1"/>
  <c r="O59" i="34" s="1"/>
  <c r="H7" i="34" s="1"/>
  <c r="AB7" i="39"/>
  <c r="U7" i="39"/>
  <c r="AC7" i="39"/>
  <c r="W7" i="39"/>
  <c r="L58" i="15"/>
  <c r="L61" i="15" s="1"/>
  <c r="C9" i="59" l="1"/>
  <c r="D10" i="59"/>
  <c r="Q64" i="15"/>
  <c r="Q73" i="15" s="1"/>
  <c r="L47" i="15"/>
  <c r="F7" i="34"/>
  <c r="S7" i="34" s="1"/>
  <c r="J7" i="34"/>
  <c r="W7" i="34" s="1"/>
  <c r="M65" i="40"/>
  <c r="N63" i="40"/>
  <c r="V47" i="39"/>
  <c r="I47" i="39" s="1"/>
  <c r="I51" i="39" s="1"/>
  <c r="J51" i="39" s="1"/>
  <c r="T47" i="39"/>
  <c r="G47" i="39" s="1"/>
  <c r="AB7" i="34"/>
  <c r="T49" i="34" s="1"/>
  <c r="G49" i="34" s="1"/>
  <c r="U7" i="34"/>
  <c r="E47" i="39"/>
  <c r="Q55" i="15"/>
  <c r="Q60" i="15" s="1"/>
  <c r="D59" i="9"/>
  <c r="N55" i="9" s="1"/>
  <c r="D9" i="59" l="1"/>
  <c r="C8"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57"/>
  <c r="D19" i="9"/>
  <c r="D20" i="57"/>
  <c r="D22" i="9" l="1"/>
  <c r="G19" i="9"/>
  <c r="C32" i="9" s="1"/>
  <c r="C35" i="9" s="1"/>
  <c r="C34" i="9" s="1"/>
  <c r="D101" i="9"/>
  <c r="G20" i="9"/>
  <c r="D102" i="9"/>
  <c r="D8" i="59"/>
  <c r="T8" i="59"/>
  <c r="C7" i="59"/>
  <c r="D103" i="57"/>
  <c r="D104" i="57"/>
  <c r="R50" i="34"/>
  <c r="C49" i="34" s="1"/>
  <c r="E49" i="34"/>
  <c r="I54" i="34" s="1"/>
  <c r="J54"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6" i="59" l="1"/>
  <c r="D7" i="59"/>
  <c r="C50" i="34"/>
  <c r="B2" i="34" s="1"/>
  <c r="E53" i="34"/>
  <c r="F53" i="34" s="1"/>
  <c r="E54" i="34"/>
  <c r="F54" i="34" s="1"/>
  <c r="AC7" i="40"/>
  <c r="V42" i="40" s="1"/>
  <c r="I42" i="40" s="1"/>
  <c r="I46" i="40" s="1"/>
  <c r="J46" i="40" s="1"/>
  <c r="W7" i="40"/>
  <c r="S7" i="40"/>
  <c r="AA7" i="40"/>
  <c r="R42" i="40" s="1"/>
  <c r="R43" i="40" s="1"/>
  <c r="AB7" i="40"/>
  <c r="T42" i="40" s="1"/>
  <c r="G42" i="40" s="1"/>
  <c r="G46" i="40" s="1"/>
  <c r="H46" i="40" s="1"/>
  <c r="U7" i="40"/>
  <c r="C19" i="57"/>
  <c r="D6" i="59" l="1"/>
  <c r="C5" i="59"/>
  <c r="D22" i="57"/>
  <c r="C103" i="57"/>
  <c r="G19" i="57"/>
  <c r="B3" i="34"/>
  <c r="G47" i="40"/>
  <c r="H47" i="40" s="1"/>
  <c r="E42" i="40"/>
  <c r="C20" i="57"/>
  <c r="D5" i="59" l="1"/>
  <c r="M20" i="43"/>
  <c r="G20" i="57"/>
  <c r="R27" i="31" s="1"/>
  <c r="E5" i="65" s="1"/>
  <c r="I5" i="65" s="1"/>
  <c r="C104" i="57"/>
  <c r="C106" i="57"/>
  <c r="C105" i="57"/>
  <c r="I47" i="40"/>
  <c r="J47" i="40" s="1"/>
  <c r="E47" i="40"/>
  <c r="F47" i="40" s="1"/>
  <c r="E46" i="40"/>
  <c r="F46" i="40" s="1"/>
  <c r="C43" i="40"/>
  <c r="C42" i="40"/>
  <c r="H24" i="65" l="1"/>
  <c r="I24" i="65" s="1"/>
  <c r="D45" i="9"/>
  <c r="T27" i="31"/>
  <c r="C33" i="57"/>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C78" i="9" l="1"/>
  <c r="D55" i="9"/>
  <c r="N53" i="9" s="1"/>
  <c r="C72" i="9"/>
  <c r="F5" i="65"/>
  <c r="D121" i="9"/>
  <c r="D122" i="9" s="1"/>
  <c r="F121" i="9"/>
  <c r="F122" i="9" s="1"/>
  <c r="H121" i="9"/>
  <c r="C103" i="9" s="1"/>
  <c r="G5" i="65" l="1"/>
  <c r="H5" i="65" s="1"/>
  <c r="E121" i="9"/>
  <c r="G121" i="9"/>
  <c r="I102" i="9"/>
  <c r="I121" i="9"/>
  <c r="D106" i="9"/>
  <c r="D112" i="9" s="1"/>
  <c r="H122" i="9"/>
  <c r="D107" i="9" l="1"/>
  <c r="D113" i="9" s="1"/>
  <c r="I111" i="9" s="1"/>
  <c r="D126" i="9" s="1"/>
  <c r="C104" i="9"/>
  <c r="I103" i="9"/>
  <c r="N48" i="9"/>
  <c r="I110" i="9"/>
  <c r="D125" i="9" l="1"/>
  <c r="N49" i="9"/>
  <c r="C93" i="9"/>
  <c r="C86" i="9" s="1"/>
  <c r="D52" i="9"/>
  <c r="C73" i="9"/>
  <c r="D53" i="9"/>
  <c r="C64" i="9"/>
  <c r="C85" i="9"/>
  <c r="C79" i="9"/>
  <c r="C63" i="9" l="1"/>
  <c r="C67" i="9" s="1"/>
  <c r="C68" i="9" s="1"/>
  <c r="D54" i="9" s="1"/>
  <c r="D48" i="9" s="1"/>
  <c r="N52" i="9" s="1"/>
  <c r="M65" i="9"/>
  <c r="N65" i="9" s="1"/>
  <c r="M68" i="9"/>
  <c r="N68" i="9" s="1"/>
  <c r="M63" i="9"/>
  <c r="N63" i="9" s="1"/>
  <c r="M66" i="9"/>
  <c r="N66" i="9" s="1"/>
  <c r="M67" i="9"/>
  <c r="N67" i="9" s="1"/>
  <c r="M64" i="9"/>
  <c r="N64" i="9" s="1"/>
  <c r="C80" i="9"/>
  <c r="E80" i="9" s="1"/>
  <c r="E81" i="9" s="1"/>
  <c r="C95" i="9"/>
  <c r="C81" i="9" l="1"/>
  <c r="N69" i="9"/>
  <c r="O69" i="9" s="1"/>
  <c r="D61" i="57"/>
  <c r="N57" i="57" s="1"/>
  <c r="C96" i="9"/>
  <c r="E96" i="9" s="1"/>
  <c r="E97" i="9" s="1"/>
  <c r="G56" i="31"/>
  <c r="G72" i="31"/>
  <c r="G88" i="31"/>
  <c r="G104" i="31"/>
  <c r="G120" i="31"/>
  <c r="G136" i="31"/>
  <c r="G152" i="31"/>
  <c r="G168" i="31"/>
  <c r="G184" i="31"/>
  <c r="G200" i="31"/>
  <c r="G73" i="31"/>
  <c r="G105" i="31"/>
  <c r="G137" i="31"/>
  <c r="G169" i="31"/>
  <c r="G201" i="31"/>
  <c r="G217" i="31"/>
  <c r="G233" i="31"/>
  <c r="G249" i="31"/>
  <c r="G265" i="31"/>
  <c r="G281" i="31"/>
  <c r="G55" i="31"/>
  <c r="G62" i="31"/>
  <c r="G94" i="31"/>
  <c r="G126" i="31"/>
  <c r="G158" i="31"/>
  <c r="G190" i="31"/>
  <c r="G85" i="31"/>
  <c r="G149" i="31"/>
  <c r="G207" i="31"/>
  <c r="G239" i="31"/>
  <c r="G271" i="31"/>
  <c r="G67" i="31"/>
  <c r="G99" i="31"/>
  <c r="G131" i="31"/>
  <c r="G163" i="31"/>
  <c r="G195" i="31"/>
  <c r="G214" i="31"/>
  <c r="G230" i="31"/>
  <c r="G246" i="31"/>
  <c r="G262" i="31"/>
  <c r="G278" i="31"/>
  <c r="G295" i="31"/>
  <c r="G52" i="31"/>
  <c r="G84" i="31"/>
  <c r="G116" i="31"/>
  <c r="G148" i="31"/>
  <c r="G180" i="31"/>
  <c r="G65" i="31"/>
  <c r="G129" i="31"/>
  <c r="G193" i="31"/>
  <c r="G229" i="31"/>
  <c r="G261" i="31"/>
  <c r="G47" i="31"/>
  <c r="G86" i="31"/>
  <c r="G150" i="31"/>
  <c r="G69" i="31"/>
  <c r="G197" i="31"/>
  <c r="G263" i="31"/>
  <c r="G91" i="31"/>
  <c r="G155" i="31"/>
  <c r="G210" i="31"/>
  <c r="G242" i="31"/>
  <c r="G274" i="31"/>
  <c r="G307" i="31"/>
  <c r="G323" i="31"/>
  <c r="G339" i="31"/>
  <c r="G355" i="31"/>
  <c r="G371" i="31"/>
  <c r="G387" i="31"/>
  <c r="G403" i="31"/>
  <c r="G419" i="31"/>
  <c r="G435" i="31"/>
  <c r="G451" i="31"/>
  <c r="G467" i="31"/>
  <c r="G483" i="31"/>
  <c r="G499" i="31"/>
  <c r="G515" i="31"/>
  <c r="G292" i="31"/>
  <c r="G308" i="31"/>
  <c r="G324" i="31"/>
  <c r="G340" i="31"/>
  <c r="G356" i="31"/>
  <c r="G372" i="31"/>
  <c r="G388" i="31"/>
  <c r="G48" i="31"/>
  <c r="G80" i="31"/>
  <c r="G112" i="31"/>
  <c r="G144" i="31"/>
  <c r="G176" i="31"/>
  <c r="G57" i="31"/>
  <c r="G121" i="31"/>
  <c r="G185" i="31"/>
  <c r="G225" i="31"/>
  <c r="G257" i="31"/>
  <c r="G289" i="31"/>
  <c r="G78" i="31"/>
  <c r="G142" i="31"/>
  <c r="G53" i="31"/>
  <c r="G181" i="31"/>
  <c r="G255" i="31"/>
  <c r="G83" i="31"/>
  <c r="G147" i="31"/>
  <c r="G206" i="31"/>
  <c r="G238" i="31"/>
  <c r="G270" i="31"/>
  <c r="G303" i="31"/>
  <c r="G100" i="31"/>
  <c r="G164" i="31"/>
  <c r="G97" i="31"/>
  <c r="G213" i="31"/>
  <c r="G277" i="31"/>
  <c r="G118" i="31"/>
  <c r="G133" i="31"/>
  <c r="G51" i="31"/>
  <c r="G187" i="31"/>
  <c r="G258" i="31"/>
  <c r="G315" i="31"/>
  <c r="G347" i="31"/>
  <c r="G379" i="31"/>
  <c r="G411" i="31"/>
  <c r="G443" i="31"/>
  <c r="G475" i="31"/>
  <c r="G507" i="31"/>
  <c r="G300" i="31"/>
  <c r="G332" i="31"/>
  <c r="G364" i="31"/>
  <c r="G396" i="31"/>
  <c r="G66" i="31"/>
  <c r="G130" i="31"/>
  <c r="G194" i="31"/>
  <c r="G157" i="31"/>
  <c r="G243" i="31"/>
  <c r="G71" i="31"/>
  <c r="G135" i="31"/>
  <c r="G199" i="31"/>
  <c r="G232" i="31"/>
  <c r="G264" i="31"/>
  <c r="G297" i="31"/>
  <c r="G329" i="31"/>
  <c r="G361" i="31"/>
  <c r="G393" i="31"/>
  <c r="G425" i="31"/>
  <c r="G457" i="31"/>
  <c r="G489" i="31"/>
  <c r="G521" i="31"/>
  <c r="G314" i="31"/>
  <c r="G346" i="31"/>
  <c r="G378" i="31"/>
  <c r="G408" i="31"/>
  <c r="G424" i="31"/>
  <c r="G106" i="31"/>
  <c r="G170" i="31"/>
  <c r="G109" i="31"/>
  <c r="G219" i="31"/>
  <c r="G283" i="31"/>
  <c r="G111" i="31"/>
  <c r="G175" i="31"/>
  <c r="G220" i="31"/>
  <c r="G252" i="31"/>
  <c r="G284" i="31"/>
  <c r="G317" i="31"/>
  <c r="G349" i="31"/>
  <c r="G381" i="31"/>
  <c r="G413" i="31"/>
  <c r="G445" i="31"/>
  <c r="G477" i="31"/>
  <c r="G509" i="31"/>
  <c r="G302" i="31"/>
  <c r="G334" i="31"/>
  <c r="G366" i="31"/>
  <c r="G92" i="31"/>
  <c r="G156" i="31"/>
  <c r="G81" i="31"/>
  <c r="G205" i="31"/>
  <c r="G269" i="31"/>
  <c r="G102" i="31"/>
  <c r="G101" i="31"/>
  <c r="G279" i="31"/>
  <c r="G171" i="31"/>
  <c r="G250" i="31"/>
  <c r="G311" i="31"/>
  <c r="G343" i="31"/>
  <c r="G375" i="31"/>
  <c r="G407" i="31"/>
  <c r="G439" i="31"/>
  <c r="G471" i="31"/>
  <c r="G503" i="31"/>
  <c r="G296" i="31"/>
  <c r="G328" i="31"/>
  <c r="G360" i="31"/>
  <c r="G392" i="31"/>
  <c r="G114" i="31"/>
  <c r="G125" i="31"/>
  <c r="G43" i="31"/>
  <c r="G183" i="31"/>
  <c r="G256" i="31"/>
  <c r="G321" i="31"/>
  <c r="G385" i="31"/>
  <c r="G449" i="31"/>
  <c r="G513" i="31"/>
  <c r="G338" i="31"/>
  <c r="G402" i="31"/>
  <c r="G90" i="31"/>
  <c r="G77" i="31"/>
  <c r="G267" i="31"/>
  <c r="G159" i="31"/>
  <c r="G244" i="31"/>
  <c r="G309" i="31"/>
  <c r="G373" i="31"/>
  <c r="G437" i="31"/>
  <c r="G501" i="31"/>
  <c r="G326" i="31"/>
  <c r="G382" i="31"/>
  <c r="G410" i="31"/>
  <c r="G434" i="31"/>
  <c r="G450" i="31"/>
  <c r="G466" i="31"/>
  <c r="G482" i="31"/>
  <c r="G498" i="31"/>
  <c r="G514" i="31"/>
  <c r="G414" i="31"/>
  <c r="G436" i="31"/>
  <c r="G452" i="31"/>
  <c r="G468" i="31"/>
  <c r="G484" i="31"/>
  <c r="G500" i="31"/>
  <c r="G516" i="31"/>
  <c r="G44" i="31"/>
  <c r="G108" i="31"/>
  <c r="G172" i="31"/>
  <c r="G113" i="31"/>
  <c r="G221" i="31"/>
  <c r="G285" i="31"/>
  <c r="G134" i="31"/>
  <c r="G165" i="31"/>
  <c r="G75" i="31"/>
  <c r="G202" i="31"/>
  <c r="G266" i="31"/>
  <c r="G319" i="31"/>
  <c r="G351" i="31"/>
  <c r="G383" i="31"/>
  <c r="G415" i="31"/>
  <c r="G447" i="31"/>
  <c r="G479" i="31"/>
  <c r="G511" i="31"/>
  <c r="G304" i="31"/>
  <c r="G336" i="31"/>
  <c r="G368" i="31"/>
  <c r="G400" i="31"/>
  <c r="G146" i="31"/>
  <c r="G189" i="31"/>
  <c r="G87" i="31"/>
  <c r="G208" i="31"/>
  <c r="G272" i="31"/>
  <c r="G64" i="31"/>
  <c r="G128" i="31"/>
  <c r="G192" i="31"/>
  <c r="G153" i="31"/>
  <c r="G241" i="31"/>
  <c r="G46" i="31"/>
  <c r="G174" i="31"/>
  <c r="G223" i="31"/>
  <c r="G115" i="31"/>
  <c r="G222" i="31"/>
  <c r="G286" i="31"/>
  <c r="G132" i="31"/>
  <c r="G161" i="31"/>
  <c r="G54" i="31"/>
  <c r="G231" i="31"/>
  <c r="G226" i="31"/>
  <c r="G331" i="31"/>
  <c r="G395" i="31"/>
  <c r="G459" i="31"/>
  <c r="G523" i="31"/>
  <c r="G348" i="31"/>
  <c r="G404" i="31"/>
  <c r="G162" i="31"/>
  <c r="G211" i="31"/>
  <c r="G103" i="31"/>
  <c r="G216" i="31"/>
  <c r="G280" i="31"/>
  <c r="G345" i="31"/>
  <c r="G409" i="31"/>
  <c r="G473" i="31"/>
  <c r="G298" i="31"/>
  <c r="G362" i="31"/>
  <c r="G416" i="31"/>
  <c r="G138" i="31"/>
  <c r="G173" i="31"/>
  <c r="G79" i="31"/>
  <c r="G204" i="31"/>
  <c r="G268" i="31"/>
  <c r="G333" i="31"/>
  <c r="G397" i="31"/>
  <c r="G461" i="31"/>
  <c r="G525" i="31"/>
  <c r="G350" i="31"/>
  <c r="G124" i="31"/>
  <c r="G145" i="31"/>
  <c r="G63" i="31"/>
  <c r="G215" i="31"/>
  <c r="G218" i="31"/>
  <c r="G327" i="31"/>
  <c r="G391" i="31"/>
  <c r="G455" i="31"/>
  <c r="G519" i="31"/>
  <c r="G344" i="31"/>
  <c r="G50" i="31"/>
  <c r="G227" i="31"/>
  <c r="G224" i="31"/>
  <c r="G353" i="31"/>
  <c r="G481" i="31"/>
  <c r="G370" i="31"/>
  <c r="G154" i="31"/>
  <c r="G95" i="31"/>
  <c r="G276" i="31"/>
  <c r="G405" i="31"/>
  <c r="G294" i="31"/>
  <c r="G398" i="31"/>
  <c r="G442" i="31"/>
  <c r="G474" i="31"/>
  <c r="G506" i="31"/>
  <c r="G428" i="31"/>
  <c r="G460" i="31"/>
  <c r="G492" i="31"/>
  <c r="G524" i="31"/>
  <c r="G140" i="31"/>
  <c r="G177" i="31"/>
  <c r="G70" i="31"/>
  <c r="G247" i="31"/>
  <c r="G234" i="31"/>
  <c r="G335" i="31"/>
  <c r="G399" i="31"/>
  <c r="G463" i="31"/>
  <c r="G527" i="31"/>
  <c r="G352" i="31"/>
  <c r="G82" i="31"/>
  <c r="G259" i="31"/>
  <c r="G240" i="31"/>
  <c r="G337" i="31"/>
  <c r="G401" i="31"/>
  <c r="G465" i="31"/>
  <c r="G290" i="31"/>
  <c r="G354" i="31"/>
  <c r="G412" i="31"/>
  <c r="G122" i="31"/>
  <c r="G141" i="31"/>
  <c r="G59" i="31"/>
  <c r="G191" i="31"/>
  <c r="G260" i="31"/>
  <c r="G325" i="31"/>
  <c r="G389" i="31"/>
  <c r="G453" i="31"/>
  <c r="G517" i="31"/>
  <c r="G342" i="31"/>
  <c r="G390" i="31"/>
  <c r="G418" i="31"/>
  <c r="G438" i="31"/>
  <c r="G454" i="31"/>
  <c r="G470" i="31"/>
  <c r="G486" i="31"/>
  <c r="G502" i="31"/>
  <c r="G518" i="31"/>
  <c r="G422" i="31"/>
  <c r="G440" i="31"/>
  <c r="G456" i="31"/>
  <c r="G472" i="31"/>
  <c r="G488" i="31"/>
  <c r="G504" i="31"/>
  <c r="G520" i="31"/>
  <c r="G96" i="31"/>
  <c r="G160" i="31"/>
  <c r="G89" i="31"/>
  <c r="G209" i="31"/>
  <c r="G273" i="31"/>
  <c r="G110" i="31"/>
  <c r="G117" i="31"/>
  <c r="G287" i="31"/>
  <c r="G179" i="31"/>
  <c r="G254" i="31"/>
  <c r="G68" i="31"/>
  <c r="G196" i="31"/>
  <c r="G245" i="31"/>
  <c r="G182" i="31"/>
  <c r="G123" i="31"/>
  <c r="G291" i="31"/>
  <c r="G363" i="31"/>
  <c r="G427" i="31"/>
  <c r="G491" i="31"/>
  <c r="G316" i="31"/>
  <c r="G380" i="31"/>
  <c r="G98" i="31"/>
  <c r="G93" i="31"/>
  <c r="G275" i="31"/>
  <c r="G167" i="31"/>
  <c r="G248" i="31"/>
  <c r="G313" i="31"/>
  <c r="G377" i="31"/>
  <c r="G441" i="31"/>
  <c r="G505" i="31"/>
  <c r="G330" i="31"/>
  <c r="G394" i="31"/>
  <c r="G74" i="31"/>
  <c r="G45" i="31"/>
  <c r="G251" i="31"/>
  <c r="G143" i="31"/>
  <c r="G236" i="31"/>
  <c r="G301" i="31"/>
  <c r="G365" i="31"/>
  <c r="G429" i="31"/>
  <c r="G493" i="31"/>
  <c r="G318" i="31"/>
  <c r="G60" i="31"/>
  <c r="G188" i="31"/>
  <c r="G237" i="31"/>
  <c r="G166" i="31"/>
  <c r="G107" i="31"/>
  <c r="G282" i="31"/>
  <c r="G359" i="31"/>
  <c r="G423" i="31"/>
  <c r="G487" i="31"/>
  <c r="G312" i="31"/>
  <c r="G376" i="31"/>
  <c r="G178" i="31"/>
  <c r="G119" i="31"/>
  <c r="G288" i="31"/>
  <c r="G417" i="31"/>
  <c r="G306" i="31"/>
  <c r="G420" i="31"/>
  <c r="G203" i="31"/>
  <c r="G212" i="31"/>
  <c r="G341" i="31"/>
  <c r="G469" i="31"/>
  <c r="G358" i="31"/>
  <c r="G426" i="31"/>
  <c r="G458" i="31"/>
  <c r="G490" i="31"/>
  <c r="G522" i="31"/>
  <c r="G444" i="31"/>
  <c r="G476" i="31"/>
  <c r="G508" i="31"/>
  <c r="G76" i="31"/>
  <c r="G49" i="31"/>
  <c r="G253" i="31"/>
  <c r="G198" i="31"/>
  <c r="G139" i="31"/>
  <c r="G299" i="31"/>
  <c r="G367" i="31"/>
  <c r="G431" i="31"/>
  <c r="G495" i="31"/>
  <c r="G320" i="31"/>
  <c r="G384" i="31"/>
  <c r="G61" i="31"/>
  <c r="G151" i="31"/>
  <c r="G305" i="31"/>
  <c r="G369" i="31"/>
  <c r="G433" i="31"/>
  <c r="G497" i="31"/>
  <c r="G322" i="31"/>
  <c r="G386" i="31"/>
  <c r="G58" i="31"/>
  <c r="G186" i="31"/>
  <c r="G235" i="31"/>
  <c r="G127" i="31"/>
  <c r="G228" i="31"/>
  <c r="G293" i="31"/>
  <c r="G357" i="31"/>
  <c r="G421" i="31"/>
  <c r="G485" i="31"/>
  <c r="G310" i="31"/>
  <c r="G374" i="31"/>
  <c r="G406" i="31"/>
  <c r="G430" i="31"/>
  <c r="G446" i="31"/>
  <c r="G462" i="31"/>
  <c r="G478" i="31"/>
  <c r="G494" i="31"/>
  <c r="G526" i="31"/>
  <c r="G448" i="31"/>
  <c r="G480" i="31"/>
  <c r="G512" i="31"/>
  <c r="G510" i="31"/>
  <c r="G432" i="31"/>
  <c r="G464" i="31"/>
  <c r="G496" i="31"/>
  <c r="G39" i="31"/>
  <c r="R39" i="31" s="1"/>
  <c r="S39" i="31" s="1"/>
  <c r="G35" i="31"/>
  <c r="R35" i="31" s="1"/>
  <c r="E13" i="65" s="1"/>
  <c r="G40" i="31"/>
  <c r="R40" i="31"/>
  <c r="G31" i="31"/>
  <c r="R31" i="31" s="1"/>
  <c r="S31" i="31" s="1"/>
  <c r="G29" i="31"/>
  <c r="R29" i="31"/>
  <c r="G37" i="31"/>
  <c r="R37" i="31" s="1"/>
  <c r="T37" i="31" s="1"/>
  <c r="G42" i="31"/>
  <c r="R42" i="31" s="1"/>
  <c r="T42" i="31" s="1"/>
  <c r="G41" i="31"/>
  <c r="R41" i="31"/>
  <c r="G33" i="31"/>
  <c r="R33" i="31" s="1"/>
  <c r="S33" i="31" s="1"/>
  <c r="G38" i="31"/>
  <c r="R38" i="31" s="1"/>
  <c r="S38" i="31" s="1"/>
  <c r="G34" i="31"/>
  <c r="R34" i="31"/>
  <c r="T34" i="31" s="1"/>
  <c r="G32" i="31"/>
  <c r="R32" i="31"/>
  <c r="G36" i="31"/>
  <c r="R36" i="31"/>
  <c r="S36" i="31" s="1"/>
  <c r="G30" i="31"/>
  <c r="R30" i="31" s="1"/>
  <c r="S30" i="31" s="1"/>
  <c r="G28" i="31"/>
  <c r="R28" i="31" s="1"/>
  <c r="F13" i="65" l="1"/>
  <c r="I13" i="65"/>
  <c r="C97" i="9"/>
  <c r="D58" i="9" s="1"/>
  <c r="D56" i="9" s="1"/>
  <c r="N54" i="9" s="1"/>
  <c r="O57" i="9" s="1"/>
  <c r="E20" i="65"/>
  <c r="I20" i="65" s="1"/>
  <c r="S42" i="31"/>
  <c r="S28" i="31"/>
  <c r="E6" i="65"/>
  <c r="I6" i="65" s="1"/>
  <c r="T28" i="31"/>
  <c r="S32" i="31"/>
  <c r="E10" i="65"/>
  <c r="I10" i="65" s="1"/>
  <c r="S41" i="31"/>
  <c r="E19" i="65"/>
  <c r="I19" i="65" s="1"/>
  <c r="E16" i="65"/>
  <c r="I16" i="65" s="1"/>
  <c r="F20" i="65"/>
  <c r="G20" i="65" s="1"/>
  <c r="H20" i="65" s="1"/>
  <c r="S29" i="31"/>
  <c r="E7" i="65"/>
  <c r="I7" i="65" s="1"/>
  <c r="T38" i="31"/>
  <c r="T31" i="31"/>
  <c r="T32" i="31"/>
  <c r="S35" i="31"/>
  <c r="G13" i="65"/>
  <c r="H13" i="65" s="1"/>
  <c r="E8" i="65"/>
  <c r="I8" i="65" s="1"/>
  <c r="S34" i="31"/>
  <c r="E12" i="65"/>
  <c r="I12" i="65" s="1"/>
  <c r="E11" i="65"/>
  <c r="I11" i="65" s="1"/>
  <c r="E14" i="65"/>
  <c r="I14" i="65" s="1"/>
  <c r="E15" i="65"/>
  <c r="I15" i="65" s="1"/>
  <c r="E9" i="65"/>
  <c r="I9" i="65" s="1"/>
  <c r="S40" i="31"/>
  <c r="E18" i="65"/>
  <c r="I18" i="65" s="1"/>
  <c r="T36" i="31"/>
  <c r="T29" i="31"/>
  <c r="S37" i="31"/>
  <c r="T30" i="31"/>
  <c r="E17" i="65"/>
  <c r="I17" i="65" s="1"/>
  <c r="T39" i="31"/>
  <c r="T33" i="31"/>
  <c r="T35" i="31"/>
  <c r="T41" i="31"/>
  <c r="T40" i="31"/>
  <c r="O58" i="9" l="1"/>
  <c r="Q57" i="9"/>
  <c r="O59" i="9"/>
  <c r="F18" i="65"/>
  <c r="G18" i="65" s="1"/>
  <c r="H18" i="65" s="1"/>
  <c r="F9" i="65"/>
  <c r="G9" i="65" s="1"/>
  <c r="H9" i="65" s="1"/>
  <c r="F14" i="65"/>
  <c r="G14" i="65" s="1"/>
  <c r="H14" i="65" s="1"/>
  <c r="F12" i="65"/>
  <c r="G12" i="65" s="1"/>
  <c r="H12" i="65" s="1"/>
  <c r="F8" i="65"/>
  <c r="G8" i="65" s="1"/>
  <c r="H8" i="65" s="1"/>
  <c r="F7" i="65"/>
  <c r="G7" i="65" s="1"/>
  <c r="H7" i="65" s="1"/>
  <c r="F16" i="65"/>
  <c r="G16" i="65" s="1"/>
  <c r="H16" i="65" s="1"/>
  <c r="E21" i="65"/>
  <c r="F6" i="65"/>
  <c r="F17" i="65"/>
  <c r="G17" i="65" s="1"/>
  <c r="H17" i="65" s="1"/>
  <c r="F15" i="65"/>
  <c r="G15" i="65" s="1"/>
  <c r="H15" i="65" s="1"/>
  <c r="F11" i="65"/>
  <c r="G11" i="65" s="1"/>
  <c r="H11" i="65" s="1"/>
  <c r="F19" i="65"/>
  <c r="G19" i="65" s="1"/>
  <c r="H19" i="65" s="1"/>
  <c r="F10" i="65"/>
  <c r="G10" i="65" s="1"/>
  <c r="H10" i="65" s="1"/>
  <c r="T25" i="31"/>
  <c r="S25" i="31"/>
  <c r="I21" i="65" l="1"/>
  <c r="D14" i="62"/>
  <c r="G14" i="62" s="1"/>
  <c r="H25" i="65"/>
  <c r="I114" i="9"/>
  <c r="D129" i="9" s="1"/>
  <c r="O61" i="9"/>
  <c r="D116" i="9"/>
  <c r="O60" i="9"/>
  <c r="H26" i="65"/>
  <c r="I26" i="65" s="1"/>
  <c r="I25" i="65"/>
  <c r="R25" i="31"/>
  <c r="B23" i="31"/>
  <c r="F21" i="65"/>
  <c r="G6" i="65"/>
  <c r="D117" i="9" l="1"/>
  <c r="I115" i="9" s="1"/>
  <c r="G21" i="65"/>
  <c r="I14" i="62" s="1"/>
  <c r="H6" i="65"/>
  <c r="H21" i="65"/>
  <c r="B24" i="31"/>
  <c r="B3" i="31" s="1"/>
  <c r="C35" i="57" s="1"/>
  <c r="I125" i="57" s="1"/>
  <c r="B2" i="31"/>
  <c r="C34" i="57" s="1"/>
  <c r="H125" i="57" s="1"/>
  <c r="H4" i="52" l="1"/>
  <c r="H126" i="57"/>
  <c r="H5" i="52" s="1"/>
  <c r="C107" i="57"/>
  <c r="D110" i="57"/>
  <c r="D116" i="57" s="1"/>
  <c r="I104" i="57"/>
  <c r="D111" i="57"/>
  <c r="I4" i="52"/>
  <c r="C108" i="57"/>
  <c r="I105" i="57"/>
  <c r="D30" i="50" l="1"/>
  <c r="D9" i="50"/>
  <c r="B21" i="60" s="1"/>
  <c r="N50" i="57"/>
  <c r="D28" i="50"/>
  <c r="D29" i="50" s="1"/>
  <c r="D47" i="57"/>
  <c r="I112" i="57"/>
  <c r="D7" i="50"/>
  <c r="D117" i="57"/>
  <c r="F14" i="62"/>
  <c r="E14" i="62"/>
  <c r="B5" i="62"/>
  <c r="D38" i="50" l="1"/>
  <c r="B62" i="60" s="1"/>
  <c r="I113" i="57"/>
  <c r="D36" i="50"/>
  <c r="D37" i="50" s="1"/>
  <c r="D129" i="57"/>
  <c r="D15" i="50"/>
  <c r="N51" i="57"/>
  <c r="C5" i="62"/>
  <c r="D5" i="62"/>
  <c r="B19" i="60"/>
  <c r="D8" i="50"/>
  <c r="B22" i="60" s="1"/>
  <c r="D54" i="57"/>
  <c r="C80" i="57"/>
  <c r="C75" i="57" s="1"/>
  <c r="C95" i="57"/>
  <c r="C88" i="57" s="1"/>
  <c r="C87" i="57"/>
  <c r="D57" i="57"/>
  <c r="N55" i="57" s="1"/>
  <c r="D55" i="57"/>
  <c r="C74" i="57"/>
  <c r="C66" i="57"/>
  <c r="C65" i="57" s="1"/>
  <c r="C69" i="57" s="1"/>
  <c r="C70" i="57" s="1"/>
  <c r="D56" i="57" s="1"/>
  <c r="D50" i="57" s="1"/>
  <c r="N54" i="57" s="1"/>
  <c r="C97" i="57" l="1"/>
  <c r="C98" i="57" s="1"/>
  <c r="E98" i="57" s="1"/>
  <c r="E99" i="57" s="1"/>
  <c r="M70" i="57"/>
  <c r="N70" i="57" s="1"/>
  <c r="M67" i="57"/>
  <c r="N67" i="57" s="1"/>
  <c r="M68" i="57"/>
  <c r="N68" i="57" s="1"/>
  <c r="M66" i="57"/>
  <c r="N66" i="57" s="1"/>
  <c r="M65" i="57"/>
  <c r="N65" i="57" s="1"/>
  <c r="M69" i="57"/>
  <c r="N69" i="57" s="1"/>
  <c r="B6" i="62"/>
  <c r="D8" i="52"/>
  <c r="D17" i="50"/>
  <c r="D130" i="57"/>
  <c r="C81" i="57"/>
  <c r="B29" i="60"/>
  <c r="D16" i="50"/>
  <c r="B30" i="60" s="1"/>
  <c r="C99" i="57" l="1"/>
  <c r="D10" i="52"/>
  <c r="D9" i="52"/>
  <c r="N71" i="57"/>
  <c r="O71" i="57" s="1"/>
  <c r="C82" i="57"/>
  <c r="E82" i="57" s="1"/>
  <c r="E83" i="57" s="1"/>
  <c r="D6" i="62"/>
  <c r="C6" i="62"/>
  <c r="C83" i="57" l="1"/>
  <c r="D60" i="57" s="1"/>
  <c r="D58" i="57" s="1"/>
  <c r="N56" i="57" s="1"/>
  <c r="O59" i="57" s="1"/>
  <c r="Q59" i="57" s="1"/>
  <c r="O60" i="57" l="1"/>
  <c r="O61" i="57"/>
  <c r="O63" i="57" s="1"/>
  <c r="I116" i="57" l="1"/>
  <c r="D120" i="57"/>
  <c r="O62" i="57"/>
  <c r="D121" i="57"/>
  <c r="D44" i="50" s="1"/>
  <c r="D21" i="50"/>
  <c r="D133" i="57"/>
  <c r="D42" i="50"/>
  <c r="D43" i="50" s="1"/>
  <c r="I117" i="57"/>
  <c r="D23" i="50" s="1"/>
  <c r="B34" i="60" s="1"/>
  <c r="D12" i="52" l="1"/>
  <c r="B8" i="62"/>
  <c r="B33" i="60"/>
  <c r="D22" i="50"/>
  <c r="B35" i="60" s="1"/>
  <c r="C8" i="62" l="1"/>
  <c r="D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<sst xmlns="http://schemas.openxmlformats.org/spreadsheetml/2006/main" count="6895" uniqueCount="2986">
  <si>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</si>
  <si>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</si>
  <si>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</si>
  <si>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</si>
  <si>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</si>
  <si>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</si>
  <si>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</si>
  <si>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</si>
  <si>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</si>
  <si>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</si>
  <si>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</si>
  <si>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</si>
  <si>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</si>
  <si>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</si>
  <si>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</si>
  <si>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</si>
  <si>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</si>
  <si>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</si>
  <si>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</si>
  <si>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</si>
  <si>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</si>
  <si>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</si>
  <si>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</si>
  <si>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</si>
  <si>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</si>
  <si>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</si>
  <si>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</si>
  <si>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</si>
  <si>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</si>
  <si>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</si>
  <si>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</si>
  <si>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</si>
  <si>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</si>
  <si>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</si>
  <si>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</si>
  <si>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</si>
  <si>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</si>
  <si>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</si>
  <si>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</si>
  <si>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</si>
  <si>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</si>
  <si>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</si>
  <si>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</si>
  <si>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</si>
  <si>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</si>
  <si>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</si>
  <si>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</si>
  <si>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</si>
  <si>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</si>
  <si>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</si>
  <si>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</si>
  <si>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</si>
  <si>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</si>
  <si>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</si>
  <si>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</si>
  <si>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</si>
  <si>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</si>
  <si>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</si>
  <si>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</si>
  <si>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</si>
  <si>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</si>
  <si>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</si>
  <si>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</si>
  <si>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</si>
  <si>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</si>
  <si>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</si>
  <si>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</si>
  <si>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</si>
  <si>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</si>
  <si>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</si>
  <si>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</si>
  <si>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</si>
  <si>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</si>
  <si>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</si>
  <si>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</si>
  <si>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</si>
  <si>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</si>
  <si>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</si>
  <si>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</si>
  <si>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</si>
  <si>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</si>
  <si>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</si>
  <si>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</si>
  <si>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</si>
  <si>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</si>
  <si>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</si>
  <si>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</si>
  <si>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</si>
  <si>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</si>
  <si>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</si>
  <si>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</si>
  <si>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</si>
  <si>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</si>
  <si>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</si>
  <si>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</si>
  <si>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</si>
  <si>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</si>
  <si>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</si>
  <si>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</si>
  <si>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</si>
  <si>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</si>
  <si>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</si>
  <si>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</si>
  <si>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</si>
  <si>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</si>
  <si>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</si>
  <si>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</si>
  <si>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</si>
  <si>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</si>
  <si>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</si>
  <si>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</si>
  <si>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</si>
  <si>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</si>
  <si>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</si>
  <si>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</si>
  <si>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</si>
  <si>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</si>
  <si>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</si>
  <si>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</si>
  <si>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</si>
  <si>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</si>
  <si>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</si>
  <si>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</si>
  <si>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</si>
  <si>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</si>
  <si>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</si>
  <si>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</si>
  <si>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</si>
  <si>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</si>
  <si>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</si>
  <si>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</si>
  <si>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</si>
  <si>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</si>
  <si>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</si>
  <si>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</si>
  <si>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</si>
  <si>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</si>
  <si>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</si>
  <si>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</si>
  <si>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</si>
  <si>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</si>
  <si>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</si>
  <si>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</si>
  <si>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</si>
  <si>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</si>
  <si>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</si>
  <si>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</si>
  <si>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</si>
  <si>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</si>
  <si>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</si>
  <si>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</si>
  <si>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</si>
  <si>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</si>
  <si>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</si>
  <si>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</si>
  <si>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</si>
  <si>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</si>
  <si>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</si>
  <si>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</si>
  <si>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</si>
  <si>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</si>
  <si>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</si>
  <si>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</si>
  <si>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</si>
  <si>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</si>
  <si>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</si>
  <si>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</si>
  <si>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</si>
  <si>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</si>
  <si>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</si>
  <si>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</si>
  <si>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</si>
  <si>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</si>
  <si>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</si>
  <si>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</si>
  <si>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</si>
  <si>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</si>
  <si>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</si>
  <si>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</si>
  <si>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</si>
  <si>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</si>
  <si>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</si>
  <si>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</si>
  <si>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</si>
  <si>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</si>
  <si>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</si>
  <si>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</si>
  <si>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</si>
  <si>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</si>
  <si>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</si>
  <si>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</si>
  <si>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</si>
  <si>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</si>
  <si>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</si>
  <si>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</si>
  <si>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</si>
  <si>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</si>
  <si>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</si>
  <si>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</si>
  <si>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</si>
  <si>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</si>
  <si>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</si>
  <si>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</si>
  <si>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</si>
  <si>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</si>
  <si>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</si>
  <si>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</si>
  <si>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</si>
  <si>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</si>
  <si>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</si>
  <si>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</si>
  <si>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</si>
  <si>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</si>
  <si>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</si>
  <si>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</si>
  <si>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</si>
  <si>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</si>
  <si>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</si>
  <si>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</si>
  <si>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</si>
  <si>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</si>
  <si>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</si>
  <si>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</si>
  <si>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</si>
  <si>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</si>
  <si>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</si>
  <si>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</si>
  <si>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</si>
  <si>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</si>
  <si>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</si>
  <si>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</si>
  <si>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</si>
  <si>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</si>
  <si>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</si>
  <si>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</si>
  <si>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</si>
  <si>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</si>
  <si>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</si>
  <si>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</si>
  <si>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</si>
  <si>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</si>
  <si>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</si>
  <si>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</si>
  <si>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</si>
  <si>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</si>
  <si>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</si>
  <si>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</si>
  <si>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</si>
  <si>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</si>
  <si>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</si>
  <si>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</si>
  <si>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</si>
  <si>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</si>
  <si>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</si>
  <si>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</si>
  <si>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</si>
  <si>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</si>
  <si>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</si>
  <si>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</si>
  <si>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</si>
  <si>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</si>
  <si>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</si>
  <si>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</si>
  <si>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</si>
  <si>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</si>
  <si>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</si>
  <si>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</si>
  <si>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</si>
  <si>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</si>
  <si>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</si>
  <si>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</si>
  <si>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</si>
  <si>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</si>
  <si>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</si>
  <si>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</si>
  <si>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</si>
  <si>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</si>
  <si>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</si>
  <si>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</si>
  <si>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</si>
  <si>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</si>
  <si>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</si>
  <si>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</si>
  <si>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</si>
  <si>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</si>
  <si>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</si>
  <si>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</si>
  <si>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</si>
  <si>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</si>
  <si>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</si>
  <si>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</si>
  <si>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</si>
  <si>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</si>
  <si>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</si>
  <si>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</si>
  <si>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</si>
  <si>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</si>
  <si>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</si>
  <si>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</si>
  <si>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</si>
  <si>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</si>
  <si>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</si>
  <si>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</si>
  <si>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</si>
  <si>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</si>
  <si>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</si>
  <si>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</si>
  <si>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</si>
  <si>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</si>
  <si>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</si>
  <si>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</si>
  <si>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</si>
  <si>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</si>
  <si>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</si>
  <si>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</si>
  <si>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</si>
  <si>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</si>
  <si>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</si>
  <si>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</si>
  <si>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</si>
  <si>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</si>
  <si>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</si>
  <si>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</si>
  <si>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</si>
  <si>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</si>
  <si>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</si>
  <si>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</si>
  <si>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</si>
  <si>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</si>
  <si>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</si>
  <si>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</si>
  <si>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</si>
  <si>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</si>
  <si>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</si>
  <si>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</si>
  <si>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</si>
  <si>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</si>
  <si>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</si>
  <si>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</si>
  <si>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</si>
  <si>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</si>
  <si>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</si>
  <si>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</si>
  <si>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</si>
  <si>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</si>
  <si>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</si>
  <si>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</si>
  <si>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</si>
  <si>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</si>
  <si>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</si>
  <si>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</si>
  <si>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</si>
  <si>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</si>
  <si>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</si>
  <si>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</si>
  <si>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</si>
  <si>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</si>
  <si>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</si>
  <si>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</si>
  <si>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</si>
  <si>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</si>
  <si>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</si>
  <si>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</si>
  <si>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</si>
  <si>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</si>
  <si>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</si>
  <si>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</si>
  <si>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</si>
  <si>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</si>
  <si>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</si>
  <si>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</si>
  <si>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</si>
  <si>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</si>
  <si>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</si>
  <si>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</si>
  <si>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</si>
  <si>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</si>
  <si>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</si>
  <si>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</si>
  <si>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</si>
  <si>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</si>
  <si>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</si>
  <si>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</si>
  <si>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</si>
  <si>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</si>
  <si>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</si>
  <si>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</si>
  <si>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</si>
  <si>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</si>
  <si>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</si>
  <si>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</si>
  <si>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</si>
  <si>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</si>
  <si>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</si>
  <si>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</si>
  <si>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</si>
  <si>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</si>
  <si>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</si>
  <si>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</si>
  <si>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</si>
  <si>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</si>
  <si>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</si>
  <si>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</si>
  <si>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</si>
  <si>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</si>
  <si>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</si>
  <si>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</si>
  <si>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</si>
  <si>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</si>
  <si>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</si>
  <si>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</si>
  <si>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</si>
  <si>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</si>
  <si>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</si>
  <si>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</si>
  <si>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</si>
  <si>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</si>
  <si>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</si>
  <si>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</si>
  <si>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</si>
  <si>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</si>
  <si>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</si>
  <si>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</si>
  <si>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</si>
  <si>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</si>
  <si>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</si>
  <si>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</si>
  <si>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</si>
  <si>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</si>
  <si>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</si>
  <si>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</si>
  <si>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</si>
  <si>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</si>
  <si>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</si>
  <si>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</si>
  <si>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</si>
  <si>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</si>
  <si>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</si>
  <si>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</si>
  <si>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</si>
  <si>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</si>
  <si>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</si>
  <si>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</si>
  <si>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</si>
  <si>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</si>
  <si>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</si>
  <si>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</si>
  <si>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</si>
  <si>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</si>
  <si>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</si>
  <si>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</si>
  <si>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</si>
  <si>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</si>
  <si>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</si>
  <si>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</si>
  <si>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</si>
  <si>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</si>
  <si>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</si>
  <si>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</si>
  <si>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</si>
  <si>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</si>
  <si>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</si>
  <si>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</si>
  <si>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</si>
  <si>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</si>
  <si>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</si>
  <si>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</si>
  <si>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</si>
  <si>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</si>
  <si>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</si>
  <si>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</si>
  <si>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</si>
  <si>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</si>
  <si>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</si>
  <si>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</si>
  <si>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</si>
  <si>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</si>
  <si>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</si>
  <si>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</si>
  <si>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</si>
  <si>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</si>
  <si>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</si>
  <si>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</si>
  <si>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</si>
  <si>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</si>
  <si>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</si>
  <si>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</si>
  <si>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</si>
  <si>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</si>
  <si>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</si>
  <si>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</si>
  <si>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</si>
  <si>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</si>
  <si>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</si>
  <si>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</si>
  <si>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</si>
  <si>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</si>
  <si>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</si>
  <si>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</si>
  <si>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</si>
  <si>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</si>
  <si>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</si>
  <si>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</si>
  <si>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</si>
  <si>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</si>
  <si>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</si>
  <si>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</si>
  <si>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</si>
  <si>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</si>
  <si>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</si>
  <si>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</si>
  <si>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</si>
  <si>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</si>
  <si>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</si>
  <si>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</si>
  <si>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</si>
  <si>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</si>
  <si>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</si>
  <si>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</si>
  <si>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</si>
  <si>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</si>
  <si>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</si>
  <si>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</si>
  <si>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</si>
  <si>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</si>
  <si>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</si>
  <si>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</si>
  <si>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</si>
  <si>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</si>
  <si>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</si>
  <si>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</si>
  <si>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</si>
  <si>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</si>
  <si>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</si>
  <si>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</si>
  <si>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</si>
  <si>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</si>
  <si>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</si>
  <si>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</si>
  <si>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</si>
  <si>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</si>
  <si>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</si>
  <si>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</si>
  <si>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</si>
  <si>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</si>
  <si>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</si>
  <si>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</si>
  <si>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</si>
  <si>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</si>
  <si>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</si>
  <si>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</si>
  <si>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</si>
  <si>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</si>
  <si>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</si>
  <si>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</si>
  <si>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</si>
  <si>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</si>
  <si>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</si>
  <si>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</si>
  <si>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</si>
  <si>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</si>
  <si>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</si>
  <si>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</si>
  <si>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</si>
  <si>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</si>
  <si>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</si>
  <si>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</si>
  <si>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</si>
  <si>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</si>
  <si>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</si>
  <si>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</si>
  <si>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</si>
  <si>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</si>
  <si>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</si>
  <si>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</si>
  <si>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</si>
  <si>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</si>
  <si>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</si>
  <si>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</si>
  <si>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</si>
  <si>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</si>
  <si>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</si>
  <si>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</si>
  <si>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</si>
  <si>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</si>
  <si>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</si>
  <si>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</si>
  <si>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</si>
  <si>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</si>
  <si>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</si>
  <si>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</si>
  <si>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</si>
  <si>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</si>
  <si>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</si>
  <si>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</si>
  <si>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</si>
  <si>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</si>
  <si>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</si>
  <si>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</si>
  <si>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</si>
  <si>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</si>
  <si>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</si>
  <si>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</si>
  <si>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</si>
  <si>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</si>
  <si>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</si>
  <si>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</si>
  <si>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</si>
  <si>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</si>
  <si>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</si>
  <si>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</si>
  <si>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</si>
  <si>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</si>
  <si>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</si>
  <si>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</si>
  <si>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</si>
  <si>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</si>
  <si>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</si>
  <si>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</si>
  <si>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</si>
  <si>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</si>
  <si>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</si>
  <si>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</si>
  <si>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</si>
  <si>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</si>
  <si>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</si>
  <si>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</si>
  <si>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</si>
  <si>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</si>
  <si>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</si>
  <si>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</si>
  <si>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</si>
  <si>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</si>
  <si>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</si>
  <si>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</si>
  <si>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</si>
  <si>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</si>
  <si>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</si>
  <si>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</si>
  <si>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</si>
  <si>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</si>
  <si>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</si>
  <si>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</si>
  <si>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</si>
  <si>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</si>
  <si>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</si>
  <si>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</si>
  <si>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</si>
  <si>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</si>
  <si>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</si>
  <si>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</si>
  <si>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</si>
  <si>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</si>
  <si>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</si>
  <si>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</si>
  <si>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</si>
  <si>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</si>
  <si>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</si>
  <si>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</si>
  <si>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</si>
  <si>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</si>
  <si>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</si>
  <si>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</si>
  <si>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</si>
  <si>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</si>
  <si>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</si>
  <si>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</si>
  <si>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</si>
  <si>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</si>
  <si>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</si>
  <si>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</si>
  <si>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</si>
  <si>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</si>
  <si>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</si>
  <si>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</si>
  <si>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</si>
  <si>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</si>
  <si>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</si>
  <si>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</si>
  <si>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</si>
  <si>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</si>
  <si>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</si>
  <si>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</si>
  <si>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</si>
  <si>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</si>
  <si>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</si>
  <si>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</si>
  <si>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</si>
  <si>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</si>
  <si>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</si>
  <si>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</si>
  <si>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</si>
  <si>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</si>
  <si>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</si>
  <si>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</si>
  <si>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</si>
  <si>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</si>
  <si>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</si>
  <si>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</si>
  <si>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</si>
  <si>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</si>
  <si>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</si>
  <si>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</si>
  <si>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</si>
  <si>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</si>
  <si>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</si>
  <si>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</si>
  <si>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</si>
  <si>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</si>
  <si>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</si>
  <si>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</si>
  <si>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</si>
  <si>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</si>
  <si>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</si>
  <si>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</si>
  <si>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</si>
  <si>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</si>
  <si>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</si>
  <si>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</si>
  <si>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</si>
  <si>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</si>
  <si>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</si>
  <si>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</si>
  <si>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</si>
  <si>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</si>
  <si>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</si>
  <si>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</si>
  <si>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</si>
  <si>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</si>
  <si>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</si>
  <si>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</si>
  <si>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</si>
  <si>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</si>
  <si>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</si>
  <si>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</si>
  <si>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</si>
  <si>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</si>
  <si>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</si>
  <si>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</si>
  <si>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</si>
  <si>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</si>
  <si>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</si>
  <si>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</si>
  <si>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</si>
  <si>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</si>
  <si>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</si>
  <si>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</si>
  <si>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</si>
  <si>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</si>
  <si>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</si>
  <si>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</si>
  <si>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</si>
  <si>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</si>
  <si>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</si>
  <si>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</si>
  <si>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</si>
  <si>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</si>
  <si>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</si>
  <si>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</si>
  <si>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</si>
  <si>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</si>
  <si>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</si>
  <si>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</si>
  <si>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</si>
  <si>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</si>
  <si>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</si>
  <si>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</si>
  <si>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</si>
  <si>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</si>
  <si>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</si>
  <si>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</si>
  <si>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</si>
  <si>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</si>
  <si>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</si>
  <si>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</si>
  <si>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</si>
  <si>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</si>
  <si>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</si>
  <si>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</si>
  <si>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</si>
  <si>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</si>
  <si>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</si>
  <si>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</si>
  <si>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</si>
  <si>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</si>
  <si>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</si>
  <si>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</si>
  <si>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</si>
  <si>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</si>
  <si>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</si>
  <si>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</si>
  <si>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</si>
  <si>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</si>
  <si>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</si>
  <si>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</si>
  <si>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</si>
  <si>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</si>
  <si>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</si>
  <si>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</si>
  <si>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</si>
  <si>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</si>
  <si>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</si>
  <si>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</si>
  <si>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</si>
  <si>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</si>
  <si>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</si>
  <si>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</si>
  <si>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</si>
  <si>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</si>
  <si>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</si>
  <si>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</si>
  <si>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</si>
  <si>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</si>
  <si>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</si>
  <si>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</si>
  <si>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</si>
  <si>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</si>
  <si>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</si>
  <si>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</si>
  <si>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</si>
  <si>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</si>
  <si>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</si>
  <si>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</si>
  <si>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</si>
  <si>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</si>
  <si>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</si>
  <si>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</si>
  <si>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</si>
  <si>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</si>
  <si>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</si>
  <si>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</si>
  <si>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</si>
  <si>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</si>
  <si>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</si>
  <si>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</si>
  <si>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</si>
  <si>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</si>
  <si>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</si>
  <si>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</si>
  <si>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</si>
  <si>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</si>
  <si>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</si>
  <si>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</si>
  <si>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</si>
  <si>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</si>
  <si>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</si>
  <si>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</si>
  <si>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</si>
  <si>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</si>
  <si>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</si>
  <si>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</si>
  <si>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</si>
  <si>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</si>
  <si>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</si>
  <si>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</si>
  <si>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</si>
  <si>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</si>
  <si>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</si>
  <si>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</si>
  <si>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</si>
  <si>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</si>
  <si>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</si>
  <si>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</si>
  <si>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</si>
  <si>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</si>
  <si>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</si>
  <si>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</si>
  <si>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</si>
  <si>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</si>
  <si>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</si>
  <si>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</si>
  <si>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</si>
  <si>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</si>
  <si>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</si>
  <si>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</si>
  <si>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</si>
  <si>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</si>
  <si>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</si>
  <si>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</si>
  <si>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</si>
  <si>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</si>
  <si>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</si>
  <si>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</si>
  <si>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</si>
  <si>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</si>
  <si>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</si>
  <si>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</si>
  <si>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</si>
  <si>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</si>
  <si>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</si>
  <si>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</si>
  <si>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</si>
  <si>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</si>
  <si>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</si>
  <si>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</si>
  <si>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</si>
  <si>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</si>
  <si>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</si>
  <si>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</si>
  <si>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</si>
  <si>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</si>
  <si>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</si>
  <si>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</si>
  <si>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</si>
  <si>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</si>
  <si>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</si>
  <si>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</si>
  <si>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</si>
  <si>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</si>
  <si>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</si>
  <si>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</si>
  <si>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</si>
  <si>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</si>
  <si>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</si>
  <si>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</si>
  <si>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</si>
  <si>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</si>
  <si>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</si>
  <si>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</si>
  <si>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</si>
  <si>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</si>
  <si>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</si>
  <si>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</si>
  <si>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</si>
  <si>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</si>
  <si>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</si>
  <si>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</si>
  <si>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</si>
  <si>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</si>
  <si>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</si>
  <si>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</si>
  <si>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</si>
  <si>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</si>
  <si>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</si>
  <si>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</si>
  <si>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</si>
  <si>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</si>
  <si>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</si>
  <si>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</si>
  <si>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</si>
  <si>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</si>
  <si>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</si>
  <si>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</si>
  <si>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</si>
  <si>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</si>
  <si>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</si>
  <si>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</si>
  <si>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</si>
  <si>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</si>
  <si>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</si>
  <si>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</si>
  <si>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</si>
  <si>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</si>
  <si>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</si>
  <si>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</si>
  <si>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</si>
  <si>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</si>
  <si>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</si>
  <si>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</si>
  <si>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</si>
  <si>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</si>
  <si>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</si>
  <si>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</si>
  <si>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</si>
  <si>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</si>
  <si>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</si>
  <si>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</si>
  <si>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</si>
  <si>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</si>
  <si>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</si>
  <si>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</si>
  <si>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</si>
  <si>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</si>
  <si>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</si>
  <si>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</si>
  <si>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</si>
  <si>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</si>
  <si>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</si>
  <si>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</si>
  <si>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</si>
  <si>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</si>
  <si>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</si>
  <si>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</si>
  <si>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</si>
  <si>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</si>
  <si>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</si>
  <si>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</si>
  <si>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</si>
  <si>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</si>
  <si>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</si>
  <si>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</si>
  <si>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</si>
  <si>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</si>
  <si>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</si>
  <si>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</si>
  <si>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</si>
  <si>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</si>
  <si>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</si>
  <si>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</si>
  <si>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</si>
  <si>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</si>
  <si>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</si>
  <si>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</si>
  <si>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</si>
  <si>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</si>
  <si>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</si>
  <si>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</si>
  <si>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</si>
  <si>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</si>
  <si>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</si>
  <si>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</si>
  <si>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</si>
  <si>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</si>
  <si>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</si>
  <si>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</si>
  <si>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</si>
  <si>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</si>
  <si>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</si>
  <si>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</si>
  <si>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</si>
  <si>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</si>
  <si>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</si>
  <si>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</si>
  <si>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</si>
  <si>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</si>
  <si>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</si>
  <si>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</si>
  <si>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</si>
  <si>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</si>
  <si>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</si>
  <si>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</si>
  <si>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</si>
  <si>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</si>
  <si>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</si>
  <si>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</si>
  <si>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</si>
  <si>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</si>
  <si>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</si>
  <si>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</si>
  <si>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</si>
  <si>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</si>
  <si>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</si>
  <si>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</si>
  <si>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</si>
  <si>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</si>
  <si>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</si>
  <si>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</si>
  <si>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</si>
  <si>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</si>
  <si>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</si>
  <si>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</si>
  <si>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</si>
  <si>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</si>
  <si>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</si>
  <si>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</si>
  <si>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</si>
  <si>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</si>
  <si>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</si>
  <si>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</si>
  <si>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</si>
  <si>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</si>
  <si>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</si>
  <si>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</si>
  <si>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</si>
  <si>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</si>
  <si>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</si>
  <si>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</si>
  <si>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</si>
  <si>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</si>
  <si>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</si>
  <si>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</si>
  <si>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</si>
  <si>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</si>
  <si>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</si>
  <si>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</si>
  <si>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</si>
  <si>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</si>
  <si>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</si>
  <si>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</si>
  <si>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</si>
  <si>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</si>
  <si>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</si>
  <si>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</si>
  <si>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</si>
  <si>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</si>
  <si>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</si>
  <si>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</si>
  <si>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</si>
  <si>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</si>
  <si>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</si>
  <si>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</si>
  <si>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</si>
  <si>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</si>
  <si>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</si>
  <si>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</si>
  <si>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</si>
  <si>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</si>
  <si>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</si>
  <si>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</si>
  <si>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</si>
  <si>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</si>
  <si>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</si>
  <si>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</si>
  <si>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</si>
  <si>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</si>
  <si>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</si>
  <si>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</si>
  <si>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</si>
  <si>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</si>
  <si>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</si>
  <si>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</si>
  <si>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</si>
  <si>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</si>
  <si>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</si>
  <si>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</si>
  <si>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</si>
  <si>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</si>
  <si>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</si>
  <si>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</si>
  <si>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</si>
  <si>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</si>
  <si>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</si>
  <si>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</si>
  <si>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</si>
  <si>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</si>
  <si>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</si>
  <si>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</si>
  <si>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</si>
  <si>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</si>
  <si>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</si>
  <si>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</si>
  <si>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</si>
  <si>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</si>
  <si>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</si>
  <si>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</si>
  <si>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</si>
  <si>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</si>
  <si>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</si>
  <si>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</si>
  <si>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</si>
  <si>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</si>
  <si>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</si>
  <si>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</si>
  <si>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</si>
  <si>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</si>
  <si>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</si>
  <si>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</si>
  <si>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</si>
  <si>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</si>
  <si>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</si>
  <si>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</si>
  <si>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</si>
  <si>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</si>
  <si>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</si>
  <si>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</si>
  <si>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</si>
  <si>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</si>
  <si>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</si>
  <si>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</si>
  <si>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</si>
  <si>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</si>
  <si>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</si>
  <si>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</si>
  <si>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</si>
  <si>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</si>
  <si>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</si>
  <si>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</si>
  <si>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</si>
  <si>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</si>
  <si>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</si>
  <si>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</si>
  <si>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</si>
  <si>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</si>
  <si>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</si>
  <si>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</si>
  <si>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</si>
  <si>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</si>
  <si>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</si>
  <si>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</si>
  <si>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</si>
  <si>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</si>
  <si>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</si>
  <si>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</si>
  <si>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</si>
  <si>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</si>
  <si>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</si>
  <si>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</si>
  <si>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</si>
  <si>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</si>
  <si>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</si>
  <si>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</si>
  <si>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</si>
  <si>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</si>
  <si>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</si>
  <si>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</si>
  <si>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</si>
  <si>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</si>
  <si>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</si>
  <si>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</si>
  <si>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</si>
  <si>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</si>
  <si>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</si>
  <si>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</si>
  <si>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</si>
  <si>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</si>
  <si>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</si>
  <si>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</si>
  <si>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</si>
  <si>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</si>
  <si>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</si>
  <si>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</si>
  <si>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</si>
  <si>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</si>
  <si>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</si>
  <si>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</si>
  <si>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</si>
  <si>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</si>
  <si>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</si>
  <si>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</si>
  <si>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</si>
  <si>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</si>
  <si>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</si>
  <si>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</si>
  <si>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</si>
  <si>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</si>
  <si>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</si>
  <si>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</si>
  <si>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</si>
  <si>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</si>
  <si>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</si>
  <si>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</si>
  <si>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</si>
  <si>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</si>
  <si>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</si>
  <si>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</si>
  <si>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</si>
  <si>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</si>
  <si>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</si>
  <si>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</si>
  <si>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</si>
  <si>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</si>
  <si>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</si>
  <si>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</si>
  <si>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</si>
  <si>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</si>
  <si>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</si>
  <si>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</si>
  <si>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</si>
  <si>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</si>
  <si>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</si>
  <si>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</si>
  <si>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</si>
  <si>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</si>
  <si>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</si>
  <si>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</si>
  <si>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</si>
  <si>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</si>
  <si>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</si>
  <si>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</si>
  <si>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</si>
  <si>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</si>
  <si>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</si>
  <si>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</si>
  <si>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</si>
  <si>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</si>
  <si>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</si>
  <si>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</si>
  <si>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</si>
  <si>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</si>
  <si>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</si>
  <si>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</si>
  <si>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</si>
  <si>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</si>
  <si>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</si>
  <si>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</si>
  <si>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</si>
  <si>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</si>
  <si>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</si>
  <si>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</si>
  <si>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</si>
  <si>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</si>
  <si>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</si>
  <si>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</si>
  <si>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</si>
  <si>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</si>
  <si>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</si>
  <si>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</si>
  <si>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</si>
  <si>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</si>
  <si>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</si>
  <si>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</si>
  <si>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</si>
  <si>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</si>
  <si>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</si>
  <si>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</si>
  <si>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</si>
  <si>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</si>
  <si>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</si>
  <si>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</si>
  <si>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</si>
  <si>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</si>
  <si>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</si>
  <si>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</si>
  <si>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</si>
  <si>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</si>
  <si>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</si>
  <si>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</si>
  <si>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</si>
  <si>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</si>
  <si>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</si>
  <si>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</si>
  <si>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</si>
  <si>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</si>
  <si>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</si>
  <si>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</si>
  <si>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</si>
  <si>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</si>
  <si>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</si>
  <si>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</si>
  <si>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</si>
  <si>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</si>
  <si>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</si>
  <si>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</si>
  <si>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</si>
  <si>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</si>
  <si>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</si>
  <si>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</si>
  <si>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</si>
  <si>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</si>
  <si>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</si>
  <si>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</si>
  <si>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</si>
  <si>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</si>
  <si>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</si>
  <si>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</si>
  <si>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</si>
  <si>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</si>
  <si>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</si>
  <si>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</si>
  <si>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</si>
  <si>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</si>
  <si>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</si>
  <si>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</si>
  <si>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</si>
  <si>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</si>
  <si>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</si>
  <si>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</si>
  <si>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</si>
  <si>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</si>
  <si>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</si>
  <si>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</si>
  <si>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</si>
  <si>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</si>
  <si>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</si>
  <si>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</si>
  <si>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</si>
  <si>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</si>
  <si>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</si>
  <si>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</si>
  <si>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</si>
  <si>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</si>
  <si>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</si>
  <si>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</si>
  <si>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</si>
  <si>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</si>
  <si>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</si>
  <si>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</si>
  <si>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</si>
  <si>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</si>
  <si>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</si>
  <si>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</si>
  <si>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</si>
  <si>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</si>
  <si>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</si>
  <si>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</si>
  <si>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</si>
  <si>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</si>
  <si>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</si>
  <si>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</si>
  <si>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</si>
  <si>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</si>
  <si>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</si>
  <si>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</si>
  <si>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</si>
  <si>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</si>
  <si>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</si>
  <si>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</si>
  <si>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</si>
  <si>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</si>
  <si>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</si>
  <si>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</si>
  <si>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</si>
  <si>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</si>
  <si>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</si>
  <si>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</si>
  <si>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</si>
  <si>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</si>
  <si>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</si>
  <si>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</si>
  <si>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</si>
  <si>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</si>
  <si>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</si>
  <si>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</si>
  <si>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</si>
  <si>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</si>
  <si>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</si>
  <si>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</si>
  <si>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</si>
  <si>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</si>
  <si>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</si>
  <si>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</si>
  <si>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</si>
  <si>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</si>
  <si>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</si>
  <si>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</si>
  <si>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</si>
  <si>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</si>
  <si>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</si>
  <si>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</si>
  <si>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</si>
  <si>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</si>
  <si>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</si>
  <si>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</si>
  <si>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</si>
  <si>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</si>
  <si>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</si>
  <si>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</si>
  <si>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</si>
  <si>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</si>
  <si>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</si>
  <si>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</si>
  <si>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</si>
  <si>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</si>
  <si>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</si>
  <si>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</si>
  <si>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</si>
  <si>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</si>
  <si>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</si>
  <si>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</si>
  <si>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</si>
  <si>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</si>
  <si>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</si>
  <si>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</si>
  <si>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</si>
  <si>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</si>
  <si>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</si>
  <si>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</si>
  <si>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</si>
  <si>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</si>
  <si>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</si>
  <si>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</si>
  <si>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</si>
  <si>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</si>
  <si>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</si>
  <si>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</si>
  <si>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</si>
  <si>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</si>
  <si>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</si>
  <si>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</si>
  <si>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</si>
  <si>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</si>
  <si>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</si>
  <si>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</si>
  <si>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</si>
  <si>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</si>
  <si>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</si>
  <si>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</si>
  <si>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</si>
  <si>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</si>
  <si>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</si>
  <si>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</si>
  <si>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</si>
  <si>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</si>
  <si>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</si>
  <si>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</si>
  <si>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</si>
  <si>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</si>
  <si>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</si>
  <si>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</si>
  <si>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</si>
  <si>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</si>
  <si>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</si>
  <si>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</si>
  <si>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</si>
  <si>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</si>
  <si>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</si>
  <si>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</si>
  <si>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</si>
  <si>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</si>
  <si>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</si>
  <si>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</si>
  <si>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</si>
  <si>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</si>
  <si>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</si>
  <si>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</si>
  <si>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</si>
  <si>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</si>
  <si>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</si>
  <si>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</si>
  <si>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</si>
  <si>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</si>
  <si>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</si>
  <si>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</si>
  <si>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</si>
  <si>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</si>
  <si>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</si>
  <si>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</si>
  <si>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</si>
  <si>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</si>
  <si>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</si>
  <si>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</si>
  <si>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</si>
  <si>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</si>
  <si>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</si>
  <si>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</si>
  <si>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</si>
  <si>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</si>
  <si>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</si>
  <si>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</si>
  <si>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</si>
  <si>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</si>
  <si>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</si>
  <si>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</si>
  <si>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</si>
  <si>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</si>
  <si>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</si>
  <si>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</si>
  <si>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</si>
  <si>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</si>
  <si>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</si>
  <si>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</si>
  <si>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</si>
  <si>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</si>
  <si>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</si>
  <si>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</si>
  <si>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</si>
  <si>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</si>
  <si>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</si>
  <si>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</si>
  <si>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</si>
  <si>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</si>
  <si>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</si>
  <si>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</si>
  <si>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</si>
  <si>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</si>
  <si>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</si>
  <si>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</si>
  <si>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</si>
  <si>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</si>
  <si>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</si>
  <si>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</si>
  <si>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</si>
  <si>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</si>
  <si>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</si>
  <si>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</si>
  <si>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</si>
  <si>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</si>
  <si>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</si>
  <si>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</si>
  <si>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</si>
  <si>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</si>
  <si>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</si>
  <si>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</si>
  <si>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</si>
  <si>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</si>
  <si>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</si>
  <si>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</si>
  <si>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</si>
  <si>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</si>
  <si>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</si>
  <si>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</si>
  <si>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</si>
  <si>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</si>
  <si>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</si>
  <si>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</si>
  <si>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</si>
  <si>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</si>
  <si>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</si>
  <si>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</si>
  <si>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</si>
  <si>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</si>
  <si>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</si>
  <si>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</si>
  <si>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</si>
  <si>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</si>
  <si>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</si>
  <si>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</si>
  <si>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</si>
  <si>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</si>
  <si>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</si>
  <si>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</si>
  <si>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</si>
  <si>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</si>
  <si>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</si>
  <si>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</si>
  <si>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</si>
  <si>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</si>
  <si>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</si>
  <si>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</si>
  <si>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</si>
  <si>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</si>
  <si>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</si>
  <si>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</si>
  <si>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</si>
  <si>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</si>
  <si>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</si>
  <si>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</si>
  <si>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</si>
  <si>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</si>
  <si>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</si>
  <si>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</si>
  <si>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</si>
  <si>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</si>
  <si>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</si>
  <si>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</si>
  <si>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</si>
  <si>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</si>
  <si>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</si>
  <si>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</si>
  <si>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</si>
  <si>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</si>
  <si>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</si>
  <si>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</si>
  <si>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</si>
  <si>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</si>
  <si>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</si>
  <si>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</si>
  <si>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</si>
  <si>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</si>
  <si>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</si>
  <si>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</si>
  <si>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</si>
  <si>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</si>
  <si>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</si>
  <si>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</si>
  <si>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</si>
  <si>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</si>
  <si>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</si>
  <si>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</si>
  <si>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</si>
  <si>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</si>
  <si>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</si>
  <si>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</si>
  <si>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</si>
  <si>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</si>
  <si>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</si>
  <si>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</si>
  <si>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</si>
  <si>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</si>
  <si>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</si>
  <si>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</si>
  <si>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</si>
  <si>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</si>
  <si>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</si>
  <si>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</si>
  <si>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</si>
  <si>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</si>
  <si>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</si>
  <si>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</si>
  <si>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</si>
  <si>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</si>
  <si>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</si>
  <si>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</si>
  <si>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</si>
  <si>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</si>
  <si>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</si>
  <si>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</si>
  <si>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</si>
  <si>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</si>
  <si>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</si>
  <si>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</si>
  <si>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</si>
  <si>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</si>
  <si>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</si>
  <si>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</si>
  <si>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</si>
  <si>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</si>
  <si>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</si>
  <si>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</si>
  <si>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</si>
  <si>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</si>
  <si>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</si>
  <si>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</si>
  <si>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</si>
  <si>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</si>
  <si>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</si>
  <si>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</si>
  <si>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</si>
  <si>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</si>
  <si>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</si>
  <si>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</si>
  <si>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</si>
  <si>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</si>
  <si>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</si>
  <si>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</si>
  <si>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</si>
  <si>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</si>
  <si>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</si>
  <si>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</si>
  <si>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</si>
  <si>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</si>
  <si>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</si>
  <si>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</si>
  <si>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</si>
  <si>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</si>
  <si>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</si>
  <si>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</si>
  <si>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</si>
  <si>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</si>
  <si>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</si>
  <si>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</si>
  <si>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</si>
  <si>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</si>
  <si>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</si>
  <si>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</si>
  <si>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</si>
  <si>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</si>
  <si>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</si>
  <si>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</si>
  <si>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</si>
  <si>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</si>
  <si>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</si>
  <si>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</si>
  <si>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</si>
  <si>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</si>
  <si>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</si>
  <si>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</si>
  <si>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</si>
  <si>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</si>
  <si>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</si>
  <si>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</si>
  <si>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</si>
  <si>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</si>
  <si>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</si>
  <si>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</si>
  <si>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</si>
  <si>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</si>
  <si>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</si>
  <si>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</si>
  <si>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</si>
  <si>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</si>
  <si>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</si>
  <si>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</si>
  <si>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</si>
  <si>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</si>
  <si>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</si>
  <si>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</si>
  <si>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</si>
  <si>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</si>
  <si>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</si>
  <si>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</si>
  <si>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</si>
  <si>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</si>
  <si>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</si>
  <si>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</si>
  <si>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</si>
  <si>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</si>
  <si>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</si>
  <si>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</si>
  <si>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</si>
  <si>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</si>
  <si>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</si>
  <si>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</si>
  <si>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</si>
  <si>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</si>
  <si>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</si>
  <si>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</si>
  <si>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</si>
  <si>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</si>
  <si>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</si>
  <si>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</si>
  <si>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</si>
  <si>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</si>
  <si>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</si>
  <si>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</si>
  <si>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</si>
  <si>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</si>
  <si>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</si>
  <si>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</si>
  <si>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</si>
  <si>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</si>
  <si>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</si>
  <si>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</si>
  <si>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</si>
  <si>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</si>
  <si>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</si>
  <si>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</si>
  <si>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</si>
  <si>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</si>
  <si>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</si>
  <si>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</si>
  <si>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</si>
  <si>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</si>
  <si>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</si>
  <si>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</si>
  <si>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</si>
  <si>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</si>
  <si>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</si>
  <si>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</si>
  <si>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</si>
  <si>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</si>
  <si>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</si>
  <si>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</si>
  <si>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</si>
  <si>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</si>
  <si>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</si>
  <si>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</si>
  <si>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</si>
  <si>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</si>
  <si>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</si>
  <si>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</si>
  <si>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</si>
  <si>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</si>
  <si>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</si>
  <si>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</si>
  <si>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</si>
  <si>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</si>
  <si>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</si>
  <si>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</si>
  <si>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</si>
  <si>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</si>
  <si>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</si>
  <si>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</si>
  <si>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</si>
  <si>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</si>
  <si>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</si>
  <si>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</si>
  <si>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</si>
  <si>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</si>
  <si>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</si>
  <si>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</si>
  <si>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</si>
  <si>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</si>
  <si>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</si>
  <si>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</si>
  <si>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</si>
  <si>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</si>
  <si>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</si>
  <si>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</si>
  <si>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</si>
  <si>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</si>
  <si>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</si>
  <si>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</si>
  <si>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</si>
  <si>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</si>
  <si>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</si>
  <si>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</si>
  <si>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</si>
  <si>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</si>
  <si>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</si>
  <si>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</si>
  <si>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</si>
  <si>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</si>
  <si>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</si>
  <si>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</si>
  <si>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</si>
  <si>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</si>
  <si>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</si>
  <si>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</si>
  <si>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</si>
  <si>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</si>
  <si>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</si>
  <si>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</si>
  <si>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</si>
  <si>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</si>
  <si>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</si>
  <si>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</si>
  <si>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</si>
  <si>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</si>
  <si>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</si>
  <si>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</si>
  <si>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</si>
  <si>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</si>
  <si>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</si>
  <si>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</si>
  <si>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</si>
  <si>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</si>
  <si>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</si>
  <si>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</si>
  <si>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</si>
  <si>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</si>
  <si>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</si>
  <si>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</si>
  <si>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</si>
  <si>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</si>
  <si>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</si>
  <si>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</si>
  <si>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</si>
  <si>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</si>
  <si>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</si>
  <si>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</si>
  <si>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</si>
  <si>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</si>
  <si>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</si>
  <si>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</si>
  <si>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</si>
  <si>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</si>
  <si>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</si>
  <si>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</si>
  <si>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</si>
  <si>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</si>
  <si>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</si>
  <si>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</si>
  <si>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</si>
  <si>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</si>
  <si>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</si>
  <si>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</si>
  <si>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</si>
  <si>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</si>
  <si>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</si>
  <si>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</si>
  <si>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</si>
  <si>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</si>
  <si>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</si>
  <si>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</si>
  <si>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</si>
  <si>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</si>
  <si>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</si>
  <si>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</si>
  <si>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</si>
  <si>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</si>
  <si>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</si>
  <si>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</si>
  <si>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</si>
  <si>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</si>
  <si>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</si>
  <si>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</si>
  <si>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</si>
  <si>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</si>
  <si>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</si>
  <si>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</si>
  <si>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</si>
  <si>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</si>
  <si>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</si>
  <si>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</si>
  <si>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</si>
  <si>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</si>
  <si>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</si>
  <si>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</si>
  <si>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</si>
  <si>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</si>
  <si>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</si>
  <si>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</si>
  <si>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</si>
  <si>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</si>
  <si>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</si>
  <si>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</si>
  <si>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</si>
  <si>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</si>
  <si>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</si>
  <si>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</si>
  <si>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</si>
  <si>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</si>
  <si>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</si>
  <si>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</si>
  <si>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</si>
  <si>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</si>
  <si>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</si>
  <si>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</si>
  <si>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</si>
  <si>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</si>
  <si>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</si>
  <si>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</si>
  <si>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</si>
  <si>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</si>
  <si>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</si>
  <si>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</si>
  <si>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</si>
  <si>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</si>
  <si>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</si>
  <si>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</si>
  <si>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</si>
  <si>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</si>
  <si>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</si>
  <si>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</si>
  <si>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</si>
  <si>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</si>
  <si>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</si>
  <si>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</si>
  <si>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</si>
  <si>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</si>
  <si>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</si>
  <si>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</si>
  <si>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</si>
  <si>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</si>
  <si>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</si>
  <si>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</si>
  <si>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</si>
  <si>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</si>
  <si>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</si>
  <si>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</si>
  <si>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</si>
  <si>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</si>
  <si>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</si>
  <si>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</si>
  <si>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</si>
  <si>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</si>
  <si>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</si>
  <si>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</si>
  <si>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</si>
  <si>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</si>
  <si>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</si>
  <si>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</si>
  <si>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</si>
  <si>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</si>
  <si>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</si>
  <si>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</si>
  <si>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</si>
  <si>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</si>
  <si>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</si>
  <si>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</si>
  <si>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</si>
  <si>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</si>
  <si>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</si>
  <si>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</si>
  <si>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</si>
  <si>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</si>
  <si>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</si>
  <si>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</si>
  <si>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</si>
  <si>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</si>
  <si>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</si>
  <si>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</si>
  <si>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</si>
  <si>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</si>
  <si>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</si>
  <si>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</si>
  <si>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</si>
  <si>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</si>
  <si>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</si>
  <si>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</si>
  <si>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</si>
  <si>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</si>
  <si>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</si>
  <si>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</si>
  <si>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</si>
  <si>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</si>
  <si>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</si>
  <si>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</si>
  <si>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</si>
  <si>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</si>
  <si>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</si>
  <si>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</si>
  <si>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</si>
  <si>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</si>
  <si>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</si>
  <si>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</si>
  <si>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</si>
  <si>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</si>
  <si>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</si>
  <si>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</si>
  <si>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</si>
  <si>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</si>
  <si>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</si>
  <si>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</si>
  <si>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</si>
  <si>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</si>
  <si>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</si>
  <si>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</si>
  <si>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</si>
  <si>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</si>
  <si>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</si>
  <si>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</si>
  <si>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</si>
  <si>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</si>
  <si>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</si>
  <si>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</si>
  <si>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</si>
  <si>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</si>
  <si>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</si>
  <si>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</si>
  <si>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</si>
  <si>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</si>
  <si>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</si>
  <si>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</si>
  <si>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</si>
  <si>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</si>
  <si>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</si>
  <si>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</si>
  <si>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</si>
  <si>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</si>
  <si>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</si>
  <si>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</si>
  <si>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</si>
  <si>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</si>
  <si>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</si>
  <si>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</si>
  <si>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</si>
  <si>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</si>
  <si>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</si>
  <si>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</si>
  <si>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</si>
  <si>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</si>
  <si>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</si>
  <si>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</si>
  <si>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</si>
  <si>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</si>
  <si>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</si>
  <si>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</si>
  <si>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</si>
  <si>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</si>
  <si>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</si>
  <si>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</si>
  <si>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</si>
  <si>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</si>
  <si>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</si>
  <si>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</si>
  <si>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</si>
  <si>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</si>
  <si>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</si>
  <si>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</si>
  <si>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</si>
  <si>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</si>
  <si>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</si>
  <si>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</si>
  <si>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</si>
  <si>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</si>
  <si>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</si>
  <si>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</si>
  <si>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</si>
  <si>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</si>
  <si>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</si>
  <si>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</si>
  <si>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</si>
  <si>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</si>
  <si>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</si>
  <si>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</si>
  <si>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</si>
  <si>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</si>
  <si>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</si>
  <si>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</si>
  <si>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</si>
  <si>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</si>
  <si>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</si>
  <si>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</si>
  <si>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</si>
  <si>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</si>
  <si>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</si>
  <si>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</si>
  <si>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</si>
  <si>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</si>
  <si>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</si>
  <si>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</si>
  <si>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</si>
  <si>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</si>
  <si>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</si>
  <si>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</si>
  <si>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</si>
  <si>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</si>
  <si>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</si>
  <si>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</si>
  <si>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</si>
  <si>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</si>
  <si>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</si>
  <si>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</si>
  <si>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</si>
  <si>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</si>
  <si>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</si>
  <si>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</si>
  <si>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</si>
  <si>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</si>
  <si>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</si>
  <si>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</si>
  <si>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</si>
  <si>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</si>
  <si>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</si>
  <si>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</si>
  <si>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</si>
  <si>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</si>
  <si>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</si>
  <si>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</si>
  <si>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</si>
  <si>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</si>
  <si>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</si>
  <si>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</si>
  <si>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</si>
  <si>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</si>
  <si>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</si>
  <si>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</si>
  <si>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</si>
  <si>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</si>
  <si>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</si>
  <si>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</si>
  <si>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</si>
  <si>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</si>
  <si>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</si>
  <si>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</si>
  <si>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</si>
  <si>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</si>
  <si>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</si>
  <si>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</si>
  <si>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</si>
  <si>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</si>
  <si>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</si>
  <si>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</si>
  <si>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</si>
  <si>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</si>
  <si>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</si>
  <si>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</si>
  <si>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</si>
  <si>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</si>
  <si>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</si>
  <si>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</si>
  <si>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</si>
  <si>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</si>
  <si>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</si>
  <si>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</si>
  <si>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</si>
  <si>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</si>
  <si>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</si>
  <si>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</si>
  <si>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</si>
  <si>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</si>
  <si>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</si>
  <si>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</si>
  <si>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</si>
  <si>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</si>
  <si>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</si>
  <si>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</si>
  <si>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</si>
  <si>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</si>
  <si>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</si>
  <si>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</si>
  <si>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</si>
  <si>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</si>
  <si>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</si>
  <si>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</si>
  <si>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</si>
  <si>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</si>
  <si>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</si>
  <si>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</si>
  <si>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</si>
  <si>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</si>
  <si>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</si>
  <si>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</si>
  <si>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</si>
  <si>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</si>
  <si>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</si>
  <si>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</si>
  <si>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</si>
  <si>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</si>
  <si>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</si>
  <si>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</si>
  <si>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</si>
  <si>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</si>
  <si>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</si>
  <si>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</si>
  <si>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</si>
  <si>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</si>
  <si>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</si>
  <si>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</si>
  <si>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</si>
  <si>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</si>
  <si>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</si>
  <si>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</si>
  <si>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</si>
  <si>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</si>
  <si>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</si>
  <si>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</si>
  <si>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</si>
  <si>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</si>
  <si>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</si>
  <si>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</si>
  <si>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</si>
  <si>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</si>
  <si>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</si>
  <si>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</si>
  <si>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</si>
  <si>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</si>
  <si>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</si>
  <si>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</si>
  <si>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</si>
  <si>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</si>
  <si>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</si>
  <si>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</si>
  <si>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</si>
  <si>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</si>
  <si>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</si>
  <si>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</si>
  <si>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</si>
  <si>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</si>
  <si>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</si>
  <si>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</si>
  <si>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</si>
  <si>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</si>
  <si>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</si>
  <si>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</si>
  <si>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</si>
  <si>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</si>
  <si>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</si>
  <si>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</si>
  <si>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</si>
  <si>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</si>
  <si>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</si>
  <si>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</si>
  <si>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</si>
  <si>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</si>
  <si>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</si>
  <si>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</si>
  <si>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</si>
  <si>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</si>
  <si>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</si>
  <si>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</si>
  <si>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</si>
  <si>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</si>
  <si>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</si>
  <si>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</si>
  <si>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</si>
  <si>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</si>
  <si>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</si>
  <si>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</si>
  <si>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</si>
  <si>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</si>
  <si>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</si>
  <si>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</si>
  <si>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</si>
  <si>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</si>
  <si>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</si>
  <si>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</si>
  <si>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</si>
  <si>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</si>
  <si>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</si>
  <si>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</si>
  <si>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</si>
  <si>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</si>
  <si>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</si>
  <si>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</si>
  <si>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</si>
  <si>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</si>
  <si>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</si>
  <si>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</si>
  <si>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</si>
  <si>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</si>
  <si>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</si>
  <si>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</si>
  <si>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</si>
  <si>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</si>
  <si>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</si>
  <si>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</si>
  <si>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</si>
  <si>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</si>
  <si>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</si>
  <si>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</si>
  <si>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</si>
  <si>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</si>
  <si>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</si>
  <si>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</si>
  <si>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</si>
  <si>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</si>
  <si>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</si>
  <si>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</si>
  <si>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</si>
  <si>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</si>
  <si>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</si>
  <si>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</si>
  <si>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</si>
  <si>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</si>
  <si>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</si>
  <si>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</si>
  <si>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</si>
  <si>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</si>
  <si>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</si>
  <si>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</si>
  <si>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</si>
  <si>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</si>
  <si>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</si>
  <si>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</si>
  <si>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</si>
  <si>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</si>
  <si>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</si>
  <si>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</si>
  <si>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</si>
  <si>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</si>
  <si>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</si>
  <si>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</si>
  <si>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</si>
  <si>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</si>
  <si>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</si>
  <si>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</si>
  <si>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</si>
  <si>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</si>
  <si>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</si>
  <si>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</si>
  <si>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</si>
  <si>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</si>
  <si>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</si>
  <si>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</si>
  <si>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</si>
  <si>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</si>
  <si>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</si>
  <si>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</si>
  <si>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</si>
  <si>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</si>
  <si>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</si>
  <si>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</si>
  <si>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</si>
  <si>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</si>
  <si>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</si>
  <si>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</si>
  <si>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</si>
  <si>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</si>
  <si>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</si>
  <si>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</si>
  <si>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</si>
  <si>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</si>
  <si>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</si>
  <si>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</si>
  <si>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</si>
  <si>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</si>
  <si>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</si>
  <si>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</si>
  <si>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</si>
  <si>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</si>
  <si>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</si>
  <si>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</si>
  <si>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</si>
  <si>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</si>
  <si>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</si>
  <si>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</si>
  <si>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</si>
  <si>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</si>
  <si>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</si>
  <si>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</si>
  <si>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</si>
  <si>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</si>
  <si>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</si>
  <si>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</si>
  <si>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</si>
  <si>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</si>
  <si>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</si>
  <si>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</si>
  <si>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</si>
  <si>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</si>
  <si>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</si>
  <si>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</si>
  <si>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</si>
  <si>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</si>
  <si>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</si>
  <si>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</si>
  <si>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</si>
  <si>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</si>
  <si>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</si>
  <si>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</si>
  <si>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</si>
  <si>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</si>
  <si>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</si>
  <si>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</si>
  <si>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</si>
  <si>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</si>
  <si>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</si>
  <si>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</si>
  <si>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</si>
  <si>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</si>
  <si>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</si>
  <si>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</si>
  <si>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</si>
  <si>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</si>
  <si>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</si>
  <si>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</si>
  <si>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</si>
  <si>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</si>
  <si>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</si>
  <si>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</si>
  <si>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</si>
  <si>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</si>
  <si>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</si>
  <si>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</si>
  <si>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</si>
  <si>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</si>
  <si>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</si>
  <si>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</si>
  <si>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</si>
  <si>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</si>
  <si>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</si>
  <si>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</si>
  <si>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</si>
  <si>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</si>
  <si>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</si>
  <si>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</si>
  <si>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</si>
  <si>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</si>
  <si>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</si>
  <si>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</si>
  <si>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</si>
  <si>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</si>
  <si>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</si>
  <si>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</si>
  <si>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</si>
  <si>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</si>
  <si>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</si>
  <si>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</si>
  <si>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</si>
  <si>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</si>
  <si>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</si>
  <si>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</si>
  <si>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</si>
  <si>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</si>
  <si>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</si>
  <si>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</si>
  <si>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</si>
  <si>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</si>
  <si>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</si>
  <si>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</si>
  <si>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</si>
  <si>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</si>
  <si>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</si>
  <si>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</si>
  <si>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</si>
  <si>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</si>
  <si>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</si>
  <si>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</si>
  <si>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</si>
  <si>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</si>
  <si>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</si>
  <si>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</si>
  <si>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</si>
  <si>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</si>
  <si>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</si>
  <si>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</si>
  <si>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</si>
  <si>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</si>
  <si>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</si>
  <si>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</si>
  <si>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</si>
  <si>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</si>
  <si>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</si>
  <si>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</si>
  <si>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</si>
  <si>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</si>
  <si>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</si>
  <si>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</si>
  <si>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</si>
  <si>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</si>
  <si>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</si>
  <si>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</si>
  <si>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</si>
  <si>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</si>
  <si>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</si>
  <si>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</si>
  <si>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</si>
  <si>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</si>
  <si>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</si>
  <si>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</si>
  <si>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</si>
  <si>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</si>
  <si>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</si>
  <si>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</si>
  <si>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</si>
  <si>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</si>
  <si>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</si>
  <si>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</si>
  <si>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</si>
  <si>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</si>
  <si>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</si>
  <si>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</si>
  <si>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</si>
  <si>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</si>
  <si>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</si>
  <si>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</si>
  <si>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</si>
  <si>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</si>
  <si>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</si>
  <si>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</si>
  <si>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</si>
  <si>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</si>
  <si>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</si>
  <si>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</si>
  <si>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</si>
  <si>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</si>
  <si>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</si>
  <si>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</si>
  <si>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</si>
  <si>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</si>
  <si>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</si>
  <si>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</si>
  <si>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</si>
  <si>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</si>
  <si>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</si>
  <si>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</si>
  <si>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</si>
  <si>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</si>
  <si>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</si>
  <si>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</si>
  <si>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</si>
  <si>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</si>
  <si>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</si>
  <si>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</si>
  <si>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</si>
  <si>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</si>
  <si>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</si>
  <si>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</si>
  <si>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</si>
  <si>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</si>
  <si>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</si>
  <si>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</si>
  <si>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</si>
  <si>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</si>
  <si>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</si>
  <si>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</si>
  <si>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</si>
  <si>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</si>
  <si>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</si>
  <si>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</si>
  <si>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</si>
  <si>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</si>
  <si>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</si>
  <si>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</si>
  <si>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</si>
  <si>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</si>
  <si>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</si>
  <si>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</si>
  <si>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</si>
  <si>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</si>
  <si>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</si>
  <si>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</si>
  <si>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</si>
  <si>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</si>
  <si>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</si>
  <si>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</si>
  <si>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</si>
  <si>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</si>
  <si>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</si>
  <si>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</si>
  <si>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</si>
  <si>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</si>
  <si>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</si>
  <si>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</si>
  <si>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</si>
  <si>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</si>
  <si>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</si>
  <si>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</si>
  <si>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</si>
  <si>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</si>
  <si>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</si>
  <si>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</si>
  <si>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</si>
  <si>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</si>
  <si>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</si>
  <si>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</si>
  <si>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</si>
  <si>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</si>
  <si>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</si>
  <si>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</si>
  <si>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</si>
  <si>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</si>
  <si>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</si>
  <si>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</si>
  <si>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</si>
  <si>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</si>
  <si>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</si>
  <si>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</si>
  <si>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</si>
  <si>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</si>
  <si>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</si>
  <si>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</si>
  <si>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</si>
  <si>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</si>
  <si>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</si>
  <si>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</si>
  <si>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</si>
  <si>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</si>
  <si>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</si>
  <si>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</si>
  <si>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</si>
  <si>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</si>
  <si>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</si>
  <si>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</si>
  <si>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</si>
  <si>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</si>
  <si>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</si>
  <si>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</si>
  <si>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</si>
  <si>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</si>
  <si>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</si>
  <si>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</si>
  <si>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</si>
  <si>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</si>
  <si>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</si>
  <si>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</si>
  <si>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</si>
  <si>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</si>
  <si>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</si>
  <si>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</si>
  <si>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</si>
  <si>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</si>
  <si>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</si>
  <si>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</si>
  <si>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</si>
  <si>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</si>
  <si>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</si>
  <si>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</si>
  <si>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</si>
  <si>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</si>
  <si>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</si>
  <si>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</si>
  <si>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</si>
  <si>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</si>
  <si>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</si>
  <si>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</si>
  <si>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</si>
  <si>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</si>
  <si>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</si>
  <si>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</si>
  <si>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</si>
  <si>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</si>
  <si>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</si>
  <si>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</si>
  <si>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</si>
  <si>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</si>
  <si>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</si>
  <si>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</si>
  <si>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</si>
  <si>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</si>
  <si>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</si>
  <si>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</si>
  <si>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</si>
  <si>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</si>
  <si>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</si>
  <si>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</si>
  <si>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</si>
  <si>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</si>
  <si>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</si>
  <si>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</si>
  <si>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</si>
  <si>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</si>
  <si>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</si>
  <si>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</si>
  <si>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</si>
  <si>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</si>
  <si>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</si>
  <si>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</si>
  <si>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</si>
  <si>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</si>
  <si>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</si>
  <si>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</si>
  <si>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</si>
  <si>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</si>
  <si>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</si>
  <si>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</si>
  <si>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</si>
  <si>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</si>
  <si>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</si>
  <si>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</si>
  <si>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</si>
  <si>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</si>
  <si>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</si>
  <si>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</si>
  <si>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</si>
  <si>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</si>
  <si>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</si>
  <si>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</si>
  <si>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</si>
  <si>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</si>
  <si>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</si>
  <si>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</si>
  <si>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</si>
  <si>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</si>
  <si>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</si>
  <si>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</si>
  <si>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</si>
  <si>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</si>
  <si>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</si>
  <si>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</si>
  <si>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</si>
  <si>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</si>
  <si>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</si>
  <si>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</si>
  <si>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</si>
  <si>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</si>
  <si>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</si>
  <si>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</si>
  <si>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</si>
  <si>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</si>
  <si>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</si>
  <si>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</si>
  <si>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</si>
  <si>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</si>
  <si>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</si>
  <si>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</si>
  <si>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</si>
  <si>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</si>
  <si>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</si>
  <si>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</si>
  <si>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</si>
  <si>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</si>
  <si>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</si>
  <si>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</si>
  <si>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</si>
  <si>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</si>
  <si>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</si>
  <si>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</si>
  <si>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</si>
  <si>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</si>
  <si>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</si>
  <si>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</si>
  <si>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</si>
  <si>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</si>
  <si>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</si>
  <si>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</si>
  <si>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</si>
  <si>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</si>
  <si>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</si>
  <si>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</si>
  <si>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</si>
  <si>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</si>
  <si>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</si>
  <si>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</si>
  <si>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</si>
  <si>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</si>
  <si>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</si>
  <si>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</si>
  <si>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</si>
  <si>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</si>
  <si>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</si>
  <si>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</si>
  <si>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</si>
  <si>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</si>
  <si>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</si>
  <si>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</si>
  <si>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</si>
  <si>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</si>
  <si>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</si>
  <si>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</si>
  <si>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</si>
  <si>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</si>
  <si>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</si>
  <si>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</si>
  <si>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</si>
  <si>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</si>
  <si>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</si>
  <si>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</si>
  <si>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</si>
  <si>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</si>
  <si>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</si>
  <si>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</si>
  <si>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</si>
  <si>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</si>
  <si>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</si>
  <si>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</si>
  <si>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</si>
  <si>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</si>
  <si>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</si>
  <si>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</si>
  <si>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</si>
  <si>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</si>
  <si>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</si>
  <si>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</si>
  <si>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</si>
  <si>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</si>
  <si>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</si>
  <si>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</si>
  <si>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</si>
  <si>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</si>
  <si>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</si>
  <si>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</si>
  <si>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</si>
  <si>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</si>
  <si>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</si>
  <si>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</si>
  <si>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</si>
  <si>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</si>
  <si>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</si>
  <si>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</si>
  <si>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</si>
  <si>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</si>
  <si>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</si>
  <si>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</si>
  <si>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</si>
  <si>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</si>
  <si>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</si>
  <si>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</si>
  <si>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</si>
  <si>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</si>
  <si>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</si>
  <si>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</si>
  <si>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</si>
  <si>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</si>
  <si>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</si>
  <si>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</si>
  <si>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</si>
  <si>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</si>
  <si>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</si>
  <si>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</si>
  <si>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</si>
  <si>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</si>
  <si>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</si>
  <si>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</si>
  <si>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</si>
  <si>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</si>
  <si>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2021-4</t>
    <phoneticPr fontId="146" type="noConversion"/>
  </si>
  <si>
    <t>2021-3</t>
    <phoneticPr fontId="4" type="noConversion"/>
  </si>
  <si>
    <t>合计</t>
    <phoneticPr fontId="146" type="noConversion"/>
  </si>
  <si>
    <t>与房产证证载一致</t>
  </si>
  <si>
    <t>抵押</t>
  </si>
  <si>
    <t>房地产抵押价值</t>
  </si>
  <si>
    <t>北京市</t>
  </si>
  <si>
    <t>企业</t>
  </si>
  <si>
    <t>万元</t>
  </si>
  <si>
    <t>总价</t>
  </si>
  <si>
    <t>办公</t>
  </si>
  <si>
    <t>无租约</t>
  </si>
  <si>
    <t>是</t>
  </si>
  <si>
    <t>利息：取LPR加浮动点数</t>
  </si>
  <si>
    <t>仅计算典型户型</t>
  </si>
  <si>
    <t>正常</t>
    <phoneticPr fontId="26" type="noConversion"/>
  </si>
  <si>
    <t>正常</t>
    <phoneticPr fontId="26" type="noConversion"/>
  </si>
  <si>
    <t>中区</t>
    <phoneticPr fontId="26" type="noConversion"/>
  </si>
  <si>
    <t>高区</t>
    <phoneticPr fontId="26" type="noConversion"/>
  </si>
  <si>
    <t>低区</t>
    <phoneticPr fontId="26" type="noConversion"/>
  </si>
  <si>
    <t>钢混</t>
  </si>
  <si>
    <t>非生产用房</t>
  </si>
  <si>
    <t>比较法-办公</t>
  </si>
  <si>
    <t>收益法</t>
  </si>
  <si>
    <t>转让取得</t>
  </si>
  <si>
    <t>情况4</t>
  </si>
  <si>
    <t>买卖合同</t>
  </si>
  <si>
    <t>崔锴</t>
  </si>
  <si>
    <t>郑燚</t>
  </si>
  <si>
    <t>序号</t>
    <phoneticPr fontId="146" type="noConversion"/>
  </si>
  <si>
    <t>坐落</t>
    <phoneticPr fontId="146" type="noConversion"/>
  </si>
  <si>
    <t>证号</t>
    <phoneticPr fontId="146" type="noConversion"/>
  </si>
  <si>
    <t>面积</t>
    <phoneticPr fontId="146" type="noConversion"/>
  </si>
  <si>
    <t>用途</t>
    <phoneticPr fontId="146" type="noConversion"/>
  </si>
  <si>
    <t>合计</t>
    <phoneticPr fontId="146" type="noConversion"/>
  </si>
  <si>
    <t>北京市昌平区回南路9号院28号楼9层901号</t>
    <phoneticPr fontId="146" type="noConversion"/>
  </si>
  <si>
    <t>北京市昌平区回南路9号院28号楼9层902号</t>
  </si>
  <si>
    <t>北京市昌平区回南路9号院28号楼9层903号</t>
  </si>
  <si>
    <t>北京市昌平区回南路9号院28号楼9层904号</t>
  </si>
  <si>
    <t>北京市昌平区回南路9号院28号楼9层905号</t>
  </si>
  <si>
    <t>北京市昌平区回南路9号院28号楼9层906号</t>
  </si>
  <si>
    <t>北京市昌平区回南路9号院28号楼9层907号</t>
  </si>
  <si>
    <t>北京市昌平区回南路9号院28号楼9层908号</t>
  </si>
  <si>
    <t>北京市昌平区回南路9号院28号楼9层909号</t>
  </si>
  <si>
    <t>北京市昌平区回南路9号院28号楼9层910号</t>
  </si>
  <si>
    <t>北京市昌平区回南路9号院28号楼9层911号</t>
  </si>
  <si>
    <t>北京市昌平区回南路9号院28号楼9层912号</t>
  </si>
  <si>
    <t>北京市昌平区回南路9号院28号楼9层913号</t>
  </si>
  <si>
    <t>北京市昌平区回南路9号院28号楼9层914号</t>
  </si>
  <si>
    <t>北京市昌平区回南路9号院28号楼9层915号</t>
  </si>
  <si>
    <t>北京市昌平区回南路9号院28号楼9层916号</t>
  </si>
  <si>
    <t>办公</t>
    <phoneticPr fontId="146" type="noConversion"/>
  </si>
  <si>
    <t>京（2019）昌不动产权第0007739号</t>
    <phoneticPr fontId="146" type="noConversion"/>
  </si>
  <si>
    <t>京（2019）昌不动产权第0007742号</t>
  </si>
  <si>
    <t>京（2019）昌不动产权第0007744号</t>
  </si>
  <si>
    <t>京（2019）昌不动产权第0007745号</t>
  </si>
  <si>
    <t>京（2019）昌不动产权第0007746号</t>
  </si>
  <si>
    <t>京（2019）昌不动产权第0007747号</t>
  </si>
  <si>
    <t>京（2019）昌不动产权第0007750号</t>
  </si>
  <si>
    <t>京（2019）昌不动产权第0007751号</t>
  </si>
  <si>
    <t>京（2019）昌不动产权第0007752号</t>
  </si>
  <si>
    <t>京（2019）昌不动产权第0007753号</t>
  </si>
  <si>
    <t>京（2019）昌不动产权第0007754号</t>
  </si>
  <si>
    <t>京（2019）昌不动产权第0007741号</t>
    <phoneticPr fontId="146" type="noConversion"/>
  </si>
  <si>
    <t>京（2019）昌不动产权第0007772号</t>
    <phoneticPr fontId="146" type="noConversion"/>
  </si>
  <si>
    <t>京（2019）昌不动产权第0007770号</t>
    <phoneticPr fontId="146" type="noConversion"/>
  </si>
  <si>
    <t>京（2019）昌不动产权第0007749号</t>
    <phoneticPr fontId="146" type="noConversion"/>
  </si>
  <si>
    <t>京（2019）昌不动产权第0007755号</t>
  </si>
  <si>
    <t>朝向</t>
    <phoneticPr fontId="146" type="noConversion"/>
  </si>
  <si>
    <t>高区</t>
  </si>
  <si>
    <t>精装</t>
    <phoneticPr fontId="26" type="noConversion"/>
  </si>
  <si>
    <t>毛坯</t>
    <phoneticPr fontId="26" type="noConversion"/>
  </si>
  <si>
    <t>普装</t>
    <phoneticPr fontId="26" type="noConversion"/>
  </si>
  <si>
    <t>简装</t>
    <phoneticPr fontId="26" type="noConversion"/>
  </si>
  <si>
    <t>果栋loft</t>
    <phoneticPr fontId="4" type="noConversion"/>
  </si>
  <si>
    <t>果栋</t>
    <phoneticPr fontId="4" type="noConversion"/>
  </si>
  <si>
    <r>
      <rPr>
        <sz val="10"/>
        <color theme="1"/>
        <rFont val="宋体"/>
        <family val="3"/>
        <charset val="134"/>
      </rPr>
      <t>地址</t>
    </r>
    <phoneticPr fontId="146" type="noConversion"/>
  </si>
  <si>
    <r>
      <rPr>
        <sz val="10"/>
        <color theme="1"/>
        <rFont val="宋体"/>
        <family val="3"/>
        <charset val="134"/>
      </rPr>
      <t>合计</t>
    </r>
    <phoneticPr fontId="146" type="noConversion"/>
  </si>
  <si>
    <t>评估值（万元）</t>
    <phoneticPr fontId="146" type="noConversion"/>
  </si>
  <si>
    <t>净值（万元）</t>
    <phoneticPr fontId="146" type="noConversion"/>
  </si>
  <si>
    <t>印花税（万元）</t>
    <phoneticPr fontId="146" type="noConversion"/>
  </si>
  <si>
    <t>普装</t>
  </si>
  <si>
    <t>比较法</t>
    <phoneticPr fontId="146" type="noConversion"/>
  </si>
  <si>
    <t>收益法</t>
    <phoneticPr fontId="146" type="noConversion"/>
  </si>
  <si>
    <t>单价</t>
    <phoneticPr fontId="146" type="noConversion"/>
  </si>
  <si>
    <t>总价</t>
    <phoneticPr fontId="146" type="noConversion"/>
  </si>
  <si>
    <t>评估结果</t>
    <phoneticPr fontId="146" type="noConversion"/>
  </si>
  <si>
    <t>权重</t>
    <phoneticPr fontId="146" type="noConversion"/>
  </si>
  <si>
    <t>其他</t>
    <phoneticPr fontId="146" type="noConversion"/>
  </si>
  <si>
    <t>合计</t>
    <phoneticPr fontId="146" type="noConversion"/>
  </si>
  <si>
    <t>总价</t>
    <phoneticPr fontId="146" type="noConversion"/>
  </si>
  <si>
    <t>单价</t>
    <phoneticPr fontId="146" type="noConversion"/>
  </si>
  <si>
    <t>面积</t>
    <phoneticPr fontId="146" type="noConversion"/>
  </si>
  <si>
    <t>净值单价</t>
    <phoneticPr fontId="146" type="noConversion"/>
  </si>
  <si>
    <t>高区</t>
    <phoneticPr fontId="20" type="noConversion"/>
  </si>
  <si>
    <t>高区</t>
    <phoneticPr fontId="20" type="noConversion"/>
  </si>
  <si>
    <t>评估单价</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</si>
</sst>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쐀"/>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0" fillId="6" borderId="0" xfId="0" applyFill="1">
      <alignment vertical="center"/>
    </xf>
    <xf numFmtId="0" fontId="92" fillId="2" borderId="51"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08" fillId="0" borderId="1" xfId="0" applyFont="1" applyBorder="1">
      <alignment vertical="center"/>
    </xf>
    <xf numFmtId="0" fontId="108" fillId="0" borderId="1" xfId="0" applyFont="1" applyFill="1" applyBorder="1">
      <alignment vertical="center"/>
    </xf>
    <xf numFmtId="0" fontId="0" fillId="0" borderId="1" xfId="0" applyBorder="1">
      <alignment vertical="center"/>
    </xf>
    <xf numFmtId="9" fontId="42" fillId="21" borderId="36" xfId="0" applyNumberFormat="1" applyFont="1" applyFill="1" applyBorder="1" applyAlignment="1" applyProtection="1">
      <alignment horizontal="left" vertical="center"/>
      <protection locked="0"/>
    </xf>
    <xf numFmtId="0" fontId="0" fillId="0" borderId="0" xfId="0" applyFill="1">
      <alignment vertical="center"/>
    </xf>
    <xf numFmtId="0" fontId="92" fillId="6" borderId="51"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0" fontId="42" fillId="0" borderId="6" xfId="1" applyNumberFormat="1" applyFont="1" applyFill="1" applyBorder="1" applyAlignment="1" applyProtection="1">
      <alignment horizontal="left" vertical="center"/>
      <protection locked="0"/>
    </xf>
    <xf numFmtId="0" fontId="39" fillId="0" borderId="6" xfId="0"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92" fillId="18" borderId="7" xfId="0" applyNumberFormat="1" applyFont="1" applyFill="1" applyBorder="1" applyAlignment="1" applyProtection="1">
      <alignment horizontal="left" vertical="center" wrapText="1"/>
      <protection locked="0"/>
    </xf>
    <xf numFmtId="0" fontId="39" fillId="18" borderId="44" xfId="0" applyFont="1" applyFill="1" applyBorder="1" applyAlignment="1" applyProtection="1">
      <alignment horizontal="left" vertical="center" wrapText="1"/>
      <protection locked="0"/>
    </xf>
    <xf numFmtId="0" fontId="48" fillId="18" borderId="1" xfId="0" applyFont="1" applyFill="1" applyBorder="1" applyAlignment="1" applyProtection="1">
      <alignment horizontal="left" vertical="center" wrapText="1"/>
      <protection locked="0"/>
    </xf>
    <xf numFmtId="0" fontId="101" fillId="0" borderId="0" xfId="0" applyFont="1">
      <alignment vertical="center"/>
    </xf>
    <xf numFmtId="10" fontId="101" fillId="0" borderId="0" xfId="0" applyNumberFormat="1" applyFont="1">
      <alignment vertical="center"/>
    </xf>
    <xf numFmtId="0" fontId="101" fillId="0" borderId="1" xfId="0" applyFont="1" applyBorder="1">
      <alignment vertical="center"/>
    </xf>
    <xf numFmtId="0" fontId="138" fillId="0" borderId="1" xfId="0" applyFont="1" applyBorder="1">
      <alignment vertical="center"/>
    </xf>
    <xf numFmtId="0" fontId="138" fillId="0" borderId="0" xfId="0" applyFont="1">
      <alignment vertical="center"/>
    </xf>
    <xf numFmtId="0" fontId="138" fillId="0" borderId="0" xfId="0" applyFont="1" applyAlignment="1">
      <alignment horizontal="right" vertical="center"/>
    </xf>
    <xf numFmtId="0" fontId="101" fillId="0" borderId="0" xfId="0" applyFont="1" applyAlignment="1">
      <alignment horizontal="right" vertical="center"/>
    </xf>
    <xf numFmtId="179" fontId="48" fillId="5" borderId="1" xfId="0" applyNumberFormat="1" applyFont="1" applyFill="1" applyBorder="1" applyAlignment="1" applyProtection="1">
      <alignment horizontal="left" vertical="center" wrapText="1"/>
    </xf>
    <xf numFmtId="179" fontId="49" fillId="5" borderId="1" xfId="0" applyNumberFormat="1" applyFont="1" applyFill="1" applyBorder="1" applyAlignment="1" applyProtection="1">
      <alignment horizontal="left" vertical="center" wrapText="1"/>
    </xf>
    <xf numFmtId="179" fontId="49" fillId="5" borderId="17" xfId="0" applyNumberFormat="1" applyFont="1" applyFill="1" applyBorder="1" applyAlignment="1" applyProtection="1">
      <alignment horizontal="left" vertical="center" wrapText="1"/>
    </xf>
    <xf numFmtId="2" fontId="48" fillId="5" borderId="1" xfId="0" applyNumberFormat="1" applyFont="1" applyFill="1" applyBorder="1" applyAlignment="1" applyProtection="1">
      <alignment horizontal="left" vertical="center" wrapText="1"/>
    </xf>
    <xf numFmtId="196" fontId="48" fillId="5" borderId="1" xfId="0" applyNumberFormat="1" applyFont="1" applyFill="1" applyBorder="1" applyAlignment="1" applyProtection="1">
      <alignment horizontal="left" vertical="center" wrapText="1"/>
    </xf>
    <xf numFmtId="2" fontId="42" fillId="5" borderId="2" xfId="0" applyNumberFormat="1" applyFont="1" applyFill="1" applyBorder="1" applyAlignment="1" applyProtection="1">
      <alignment horizontal="left" vertical="center"/>
    </xf>
    <xf numFmtId="0" fontId="230" fillId="2" borderId="1" xfId="0"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Border="1" applyAlignment="1">
      <alignment horizontal="left" vertical="center"/>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39" fillId="0" borderId="18" xfId="0" applyFont="1" applyFill="1" applyBorder="1" applyAlignment="1" applyProtection="1">
      <alignment horizontal="left" vertical="center"/>
      <protection locked="0"/>
    </xf>
    <xf numFmtId="0" fontId="39" fillId="0" borderId="49" xfId="0" applyFont="1" applyFill="1" applyBorder="1" applyAlignment="1" applyProtection="1">
      <alignment horizontal="left" vertical="center"/>
      <protection locked="0"/>
    </xf>
    <xf numFmtId="0" fontId="39" fillId="0" borderId="17" xfId="0" applyFont="1" applyFill="1" applyBorder="1" applyAlignment="1" applyProtection="1">
      <alignment horizontal="left" vertical="center"/>
      <protection locked="0"/>
    </xf>
    <xf numFmtId="0" fontId="39" fillId="0" borderId="1" xfId="0" applyFont="1" applyFill="1" applyBorder="1" applyAlignment="1" applyProtection="1">
      <alignment horizontal="left" vertical="center"/>
      <protection locked="0"/>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97" fillId="8" borderId="3" xfId="0" applyFont="1" applyFill="1" applyBorder="1" applyAlignment="1" applyProtection="1">
      <alignment horizontal="left" vertical="center"/>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646248</xdr:colOff>
      <xdr:row>29</xdr:row>
      <xdr:rowOff>18427</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11619048" cy="4990477"/>
        </a:xfrm>
        <a:prstGeom prst="rect">
          <a:avLst/>
        </a:prstGeom>
      </xdr:spPr>
    </xdr:pic>
    <xdr:clientData/>
  </xdr:twoCellAnchor>
  <xdr:twoCellAnchor editAs="oneCell">
    <xdr:from>
      <xdr:col>0</xdr:col>
      <xdr:colOff>0</xdr:colOff>
      <xdr:row>33</xdr:row>
      <xdr:rowOff>152400</xdr:rowOff>
    </xdr:from>
    <xdr:to>
      <xdr:col>16</xdr:col>
      <xdr:colOff>417677</xdr:colOff>
      <xdr:row>62</xdr:row>
      <xdr:rowOff>126381</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0" y="6019800"/>
          <a:ext cx="10171277" cy="5130181"/>
        </a:xfrm>
        <a:prstGeom prst="rect">
          <a:avLst/>
        </a:prstGeom>
      </xdr:spPr>
    </xdr:pic>
    <xdr:clientData/>
  </xdr:twoCellAnchor>
  <xdr:twoCellAnchor editAs="oneCell">
    <xdr:from>
      <xdr:col>0</xdr:col>
      <xdr:colOff>0</xdr:colOff>
      <xdr:row>68</xdr:row>
      <xdr:rowOff>165100</xdr:rowOff>
    </xdr:from>
    <xdr:to>
      <xdr:col>16</xdr:col>
      <xdr:colOff>389106</xdr:colOff>
      <xdr:row>100</xdr:row>
      <xdr:rowOff>72350</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0" y="12255500"/>
          <a:ext cx="10142706" cy="5596850"/>
        </a:xfrm>
        <a:prstGeom prst="rect">
          <a:avLst/>
        </a:prstGeom>
      </xdr:spPr>
    </xdr:pic>
    <xdr:clientData/>
  </xdr:twoCellAnchor>
  <xdr:twoCellAnchor editAs="oneCell">
    <xdr:from>
      <xdr:col>0</xdr:col>
      <xdr:colOff>0</xdr:colOff>
      <xdr:row>103</xdr:row>
      <xdr:rowOff>25400</xdr:rowOff>
    </xdr:from>
    <xdr:to>
      <xdr:col>15</xdr:col>
      <xdr:colOff>408239</xdr:colOff>
      <xdr:row>126</xdr:row>
      <xdr:rowOff>91574</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0" y="18338800"/>
          <a:ext cx="9552239" cy="4155574"/>
        </a:xfrm>
        <a:prstGeom prst="rect">
          <a:avLst/>
        </a:prstGeom>
      </xdr:spPr>
    </xdr:pic>
    <xdr:clientData/>
  </xdr:twoCellAnchor>
  <xdr:twoCellAnchor editAs="oneCell">
    <xdr:from>
      <xdr:col>18</xdr:col>
      <xdr:colOff>0</xdr:colOff>
      <xdr:row>69</xdr:row>
      <xdr:rowOff>0</xdr:rowOff>
    </xdr:from>
    <xdr:to>
      <xdr:col>30</xdr:col>
      <xdr:colOff>94204</xdr:colOff>
      <xdr:row>101</xdr:row>
      <xdr:rowOff>76200</xdr:rowOff>
    </xdr:to>
    <xdr:pic>
      <xdr:nvPicPr>
        <xdr:cNvPr id="6" name="图片 5"/>
        <xdr:cNvPicPr>
          <a:picLocks noChangeAspect="1"/>
        </xdr:cNvPicPr>
      </xdr:nvPicPr>
      <xdr:blipFill>
        <a:blip xmlns:r="http://schemas.openxmlformats.org/officeDocument/2006/relationships" r:embed="rId5"/>
        <a:stretch>
          <a:fillRect/>
        </a:stretch>
      </xdr:blipFill>
      <xdr:spPr>
        <a:xfrm>
          <a:off x="10972800" y="12268200"/>
          <a:ext cx="7409404" cy="5765800"/>
        </a:xfrm>
        <a:prstGeom prst="rect">
          <a:avLst/>
        </a:prstGeom>
      </xdr:spPr>
    </xdr:pic>
    <xdr:clientData/>
  </xdr:twoCellAnchor>
  <xdr:twoCellAnchor editAs="oneCell">
    <xdr:from>
      <xdr:col>18</xdr:col>
      <xdr:colOff>0</xdr:colOff>
      <xdr:row>34</xdr:row>
      <xdr:rowOff>0</xdr:rowOff>
    </xdr:from>
    <xdr:to>
      <xdr:col>30</xdr:col>
      <xdr:colOff>576590</xdr:colOff>
      <xdr:row>62</xdr:row>
      <xdr:rowOff>165100</xdr:rowOff>
    </xdr:to>
    <xdr:pic>
      <xdr:nvPicPr>
        <xdr:cNvPr id="7" name="图片 6"/>
        <xdr:cNvPicPr>
          <a:picLocks noChangeAspect="1"/>
        </xdr:cNvPicPr>
      </xdr:nvPicPr>
      <xdr:blipFill>
        <a:blip xmlns:r="http://schemas.openxmlformats.org/officeDocument/2006/relationships" r:embed="rId6"/>
        <a:stretch>
          <a:fillRect/>
        </a:stretch>
      </xdr:blipFill>
      <xdr:spPr>
        <a:xfrm>
          <a:off x="10972800" y="6045200"/>
          <a:ext cx="7891790" cy="5143500"/>
        </a:xfrm>
        <a:prstGeom prst="rect">
          <a:avLst/>
        </a:prstGeom>
      </xdr:spPr>
    </xdr:pic>
    <xdr:clientData/>
  </xdr:twoCellAnchor>
  <xdr:twoCellAnchor editAs="oneCell">
    <xdr:from>
      <xdr:col>18</xdr:col>
      <xdr:colOff>0</xdr:colOff>
      <xdr:row>0</xdr:row>
      <xdr:rowOff>0</xdr:rowOff>
    </xdr:from>
    <xdr:to>
      <xdr:col>28</xdr:col>
      <xdr:colOff>312976</xdr:colOff>
      <xdr:row>28</xdr:row>
      <xdr:rowOff>150305</xdr:rowOff>
    </xdr:to>
    <xdr:pic>
      <xdr:nvPicPr>
        <xdr:cNvPr id="8" name="图片 7"/>
        <xdr:cNvPicPr>
          <a:picLocks noChangeAspect="1"/>
        </xdr:cNvPicPr>
      </xdr:nvPicPr>
      <xdr:blipFill>
        <a:blip xmlns:r="http://schemas.openxmlformats.org/officeDocument/2006/relationships" r:embed="rId7"/>
        <a:stretch>
          <a:fillRect/>
        </a:stretch>
      </xdr:blipFill>
      <xdr:spPr>
        <a:xfrm>
          <a:off x="10972800" y="0"/>
          <a:ext cx="6408976" cy="51287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估价对象为北京市房地产，为XX所有。根据《》[]，估价对象建筑面积为1642.01平方米。根据《》[]，估价对象（分摊）出让国有建设用地使用权面积为平方米。估价对象用途为。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2021年12月17日</v>
      </c>
    </row>
    <row r="10" spans="1:2">
      <c r="A10" s="1210" t="s">
        <v>1103</v>
      </c>
      <c r="B10" s="1197" t="str">
        <f>'预评函-1'!A13</f>
        <v>本次估价的“房地产价值”是指在正常市场情况下，在价值时点2021年12月17日，估价对象规划用途为，假定未设立法定优先受偿款下的房地产市场价值。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1642.01</v>
      </c>
    </row>
    <row r="19" spans="1:2">
      <c r="A19" s="1210" t="s">
        <v>1112</v>
      </c>
      <c r="B19" s="1197">
        <f ca="1">'预评函-2（1）'!D7</f>
        <v>4684</v>
      </c>
    </row>
    <row r="20" spans="1:2">
      <c r="A20" s="1210" t="s">
        <v>1150</v>
      </c>
      <c r="B20" s="1197" t="str">
        <f>'预评函-2（1）'!C7</f>
        <v>总价（万元）</v>
      </c>
    </row>
    <row r="21" spans="1:2">
      <c r="A21" s="1210" t="s">
        <v>1113</v>
      </c>
      <c r="B21" s="1197">
        <f ca="1">'预评函-2（1）'!D9</f>
        <v>28526</v>
      </c>
    </row>
    <row r="22" spans="1:2">
      <c r="A22" s="1210" t="s">
        <v>1114</v>
      </c>
      <c r="B22" s="1197" t="str">
        <f ca="1">'预评函-2（1）'!D8</f>
        <v>肆仟陆佰捌拾肆万元整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4684</v>
      </c>
    </row>
    <row r="30" spans="1:2">
      <c r="A30" s="1210" t="s">
        <v>1120</v>
      </c>
      <c r="B30" s="1197" t="str">
        <f ca="1">'预评函-2（1）'!D16</f>
        <v>肆仟陆佰捌拾肆万元整</v>
      </c>
    </row>
    <row r="31" spans="1:2">
      <c r="A31" s="1210" t="s">
        <v>1121</v>
      </c>
      <c r="B31" s="1197" t="str">
        <f>'预评函-2（1）'!D18</f>
        <v>——</v>
      </c>
    </row>
    <row r="32" spans="1:2">
      <c r="A32" s="1210" t="s">
        <v>1122</v>
      </c>
      <c r="B32" s="1197" t="e">
        <f>'预评函-2（1）'!D19</f>
        <v>#VALUE!</v>
      </c>
    </row>
    <row r="33" spans="1:2">
      <c r="A33" s="1210" t="s">
        <v>1123</v>
      </c>
      <c r="B33" s="1197">
        <f ca="1">'预评函-2（1）'!D21</f>
        <v>4682</v>
      </c>
    </row>
    <row r="34" spans="1:2">
      <c r="A34" s="1210" t="s">
        <v>1124</v>
      </c>
      <c r="B34" s="1197">
        <f ca="1">'预评函-2（1）'!D23</f>
        <v>28514</v>
      </c>
    </row>
    <row r="35" spans="1:2">
      <c r="A35" s="1210" t="s">
        <v>1125</v>
      </c>
      <c r="B35" s="1197" t="str">
        <f ca="1">'预评函-2（1）'!D22</f>
        <v>肆仟陆佰捌拾贰万元整</v>
      </c>
    </row>
    <row r="36" spans="1:2">
      <c r="A36" s="1210" t="s">
        <v>1126</v>
      </c>
      <c r="B36" s="1197">
        <f>'预评函-2（2）'!C4</f>
        <v>0</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4.抵押净值</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f ca="1">'预评函-2（1）'!D38</f>
        <v>28526</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抵押净值</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11" sqref="C11:D11"/>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90" t="s">
        <v>1528</v>
      </c>
      <c r="B1" s="2591" t="str">
        <f>IF(B6="北京市","北京市",C6)&amp;IF(E12="房屋所有权证",B29,E29)&amp;D5&amp;"预评估"</f>
        <v>北京市房地产抵押价值预评估</v>
      </c>
      <c r="C1" s="823"/>
      <c r="D1" s="823"/>
      <c r="E1" s="823"/>
      <c r="F1" s="1426" t="s">
        <v>1529</v>
      </c>
      <c r="G1" s="1191"/>
      <c r="I1" s="2917" t="str">
        <f>IF(B6="北京市","北京市",C6)&amp;IF(E12="房屋所有权证",B29,E29)&amp;"房地产"</f>
        <v>北京市房地产</v>
      </c>
      <c r="J1" s="800"/>
      <c r="K1" s="2919"/>
      <c r="L1" s="2919"/>
      <c r="M1" s="2919"/>
      <c r="N1" s="800"/>
      <c r="O1" s="800"/>
      <c r="P1" s="800"/>
      <c r="Q1" s="800"/>
    </row>
    <row r="2" spans="1:17" ht="13.5" thickTop="1">
      <c r="A2" s="1427" t="s">
        <v>1530</v>
      </c>
      <c r="B2" s="2592"/>
      <c r="C2" s="2889" t="s">
        <v>1531</v>
      </c>
      <c r="D2" s="2592">
        <v>44547</v>
      </c>
      <c r="E2" s="824"/>
      <c r="F2" s="824"/>
      <c r="G2" s="1192"/>
      <c r="H2" s="2901"/>
    </row>
    <row r="3" spans="1:17" ht="13.5" thickBot="1">
      <c r="A3" s="2593" t="s">
        <v>1532</v>
      </c>
      <c r="B3" s="2594" t="s">
        <v>2916</v>
      </c>
      <c r="C3" s="2595">
        <f ca="1">SUMIF(注册房地产估价师,B3,估价师及机构信息!B3:B16)</f>
        <v>1120100036</v>
      </c>
      <c r="D3" s="2594" t="s">
        <v>2917</v>
      </c>
      <c r="E3" s="2596">
        <f ca="1">SUMIF(注册房地产估价师,D3,估价师及机构信息!B3:B16)</f>
        <v>1120070131</v>
      </c>
      <c r="F3" s="825"/>
      <c r="G3" s="1193"/>
      <c r="H3" s="2901"/>
    </row>
    <row r="4" spans="1:17" ht="13.5" customHeight="1" thickTop="1">
      <c r="A4" s="1427" t="s">
        <v>1533</v>
      </c>
      <c r="B4" s="1428" t="s">
        <v>2717</v>
      </c>
      <c r="C4" s="2890" t="s">
        <v>1534</v>
      </c>
      <c r="D4" s="1429" t="s">
        <v>2893</v>
      </c>
      <c r="E4" s="824"/>
      <c r="F4" s="824"/>
      <c r="G4" s="1192"/>
    </row>
    <row r="5" spans="1:17">
      <c r="A5" s="1430" t="s">
        <v>1535</v>
      </c>
      <c r="B5" s="1431" t="s">
        <v>2718</v>
      </c>
      <c r="C5" s="2891" t="s">
        <v>1536</v>
      </c>
      <c r="D5" s="1433" t="s">
        <v>2894</v>
      </c>
      <c r="E5" s="2892" t="s">
        <v>1537</v>
      </c>
      <c r="F5" s="1433" t="s">
        <v>2894</v>
      </c>
      <c r="G5" s="1434" t="s">
        <v>1222</v>
      </c>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1538</v>
      </c>
      <c r="B6" s="2597" t="s">
        <v>2895</v>
      </c>
      <c r="C6" s="2598" t="s">
        <v>2719</v>
      </c>
      <c r="D6" s="2599" t="s">
        <v>1539</v>
      </c>
      <c r="E6" s="811"/>
      <c r="F6" s="811"/>
      <c r="G6" s="830"/>
      <c r="I6" s="800" t="str">
        <f>IF(COUNTIF(B5,"*上海银行*"),"上海银行","")</f>
        <v/>
      </c>
      <c r="J6" s="800"/>
      <c r="K6" s="2919"/>
      <c r="L6" s="2919"/>
      <c r="M6" s="2919"/>
      <c r="N6" s="800"/>
      <c r="O6" s="800"/>
      <c r="P6" s="800"/>
      <c r="Q6" s="800"/>
    </row>
    <row r="7" spans="1:17" ht="13.5" thickBot="1">
      <c r="A7" s="2894" t="s">
        <v>1540</v>
      </c>
      <c r="B7" s="2600" t="s">
        <v>2896</v>
      </c>
      <c r="C7" s="1525" t="str">
        <f>IF(B7="自然人","姓名","名称")</f>
        <v>名称</v>
      </c>
      <c r="D7" s="1438" t="s">
        <v>2718</v>
      </c>
      <c r="E7" s="825"/>
      <c r="F7" s="825"/>
      <c r="G7" s="1193"/>
    </row>
    <row r="8" spans="1:17" ht="13.5" thickTop="1">
      <c r="A8" s="3257" t="s">
        <v>1541</v>
      </c>
      <c r="B8" s="1439" t="s">
        <v>1542</v>
      </c>
      <c r="C8" s="3269"/>
      <c r="D8" s="3270"/>
      <c r="E8" s="2601" t="s">
        <v>1543</v>
      </c>
      <c r="F8" s="2602" t="s">
        <v>1544</v>
      </c>
      <c r="G8" s="2603" t="str">
        <f>C6</f>
        <v>XX</v>
      </c>
    </row>
    <row r="9" spans="1:17" ht="25.5">
      <c r="A9" s="3257"/>
      <c r="B9" s="259" t="s">
        <v>1545</v>
      </c>
      <c r="C9" s="1431"/>
      <c r="D9" s="1440" t="s">
        <v>2892</v>
      </c>
      <c r="E9" s="2895" t="s">
        <v>1546</v>
      </c>
      <c r="F9" s="2604"/>
      <c r="G9" s="2605"/>
    </row>
    <row r="10" spans="1:17" ht="13.5" thickBot="1">
      <c r="A10" s="3257"/>
      <c r="B10" s="259" t="s">
        <v>1547</v>
      </c>
      <c r="C10" s="3271"/>
      <c r="D10" s="3272"/>
      <c r="E10" s="2896" t="s">
        <v>1548</v>
      </c>
      <c r="F10" s="2606"/>
      <c r="G10" s="2607"/>
    </row>
    <row r="11" spans="1:17" ht="13.5" thickBot="1">
      <c r="A11" s="3257"/>
      <c r="B11" s="1442" t="s">
        <v>1549</v>
      </c>
      <c r="C11" s="3273"/>
      <c r="D11" s="3274"/>
      <c r="E11" s="811"/>
      <c r="F11" s="811"/>
      <c r="G11" s="830"/>
    </row>
    <row r="12" spans="1:17" ht="13.5" thickBot="1">
      <c r="A12" s="3260" t="s">
        <v>2824</v>
      </c>
      <c r="B12" s="2897" t="s">
        <v>1550</v>
      </c>
      <c r="C12" s="808">
        <f>面积清单!C19</f>
        <v>1642.01</v>
      </c>
      <c r="D12" s="1443" t="s">
        <v>1551</v>
      </c>
      <c r="E12" s="1444"/>
      <c r="F12" s="1445"/>
      <c r="G12" s="830"/>
    </row>
    <row r="13" spans="1:17" ht="21" customHeight="1" thickBot="1">
      <c r="A13" s="3261"/>
      <c r="B13" s="2898" t="s">
        <v>1552</v>
      </c>
      <c r="C13" s="809"/>
      <c r="D13" s="1446" t="s">
        <v>1553</v>
      </c>
      <c r="E13" s="1447"/>
      <c r="F13" s="811"/>
      <c r="G13" s="830"/>
      <c r="I13" s="3246" t="s">
        <v>1554</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8"/>
      <c r="B14" s="2912" t="s">
        <v>2825</v>
      </c>
      <c r="C14" s="2609"/>
      <c r="D14" s="811"/>
      <c r="E14" s="811"/>
      <c r="F14" s="811"/>
      <c r="G14" s="830"/>
      <c r="I14" s="3246"/>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10"/>
      <c r="B15" s="2899" t="s">
        <v>1555</v>
      </c>
      <c r="C15" s="826"/>
      <c r="D15" s="825"/>
      <c r="E15" s="825"/>
      <c r="F15" s="825"/>
      <c r="G15" s="1193"/>
      <c r="I15" s="3246"/>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1"/>
    </row>
    <row r="17" spans="1:66" ht="13.5" customHeight="1">
      <c r="A17" s="1455" t="s">
        <v>1559</v>
      </c>
      <c r="B17" s="3275" t="s">
        <v>1560</v>
      </c>
      <c r="C17" s="3276"/>
      <c r="D17" s="3277" t="s">
        <v>1561</v>
      </c>
      <c r="E17" s="3278"/>
      <c r="F17" s="1450" t="s">
        <v>1562</v>
      </c>
      <c r="G17" s="1451"/>
      <c r="J17" s="2901"/>
    </row>
    <row r="18" spans="1:66" ht="24">
      <c r="A18" s="1455"/>
      <c r="B18" s="2613"/>
      <c r="C18" s="1434"/>
      <c r="D18" s="1452" t="s">
        <v>1563</v>
      </c>
      <c r="E18" s="1453"/>
      <c r="F18" s="1454"/>
      <c r="G18" s="1317"/>
      <c r="H18" s="2901"/>
      <c r="J18" s="2901"/>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4"/>
      <c r="D21" s="1455" t="s">
        <v>1566</v>
      </c>
      <c r="E21" s="2619"/>
      <c r="F21" s="811"/>
      <c r="G21" s="1317"/>
    </row>
    <row r="22" spans="1:66">
      <c r="A22" s="1317"/>
      <c r="B22" s="811" t="s">
        <v>1567</v>
      </c>
      <c r="C22" s="2620"/>
      <c r="D22" s="811" t="s">
        <v>1567</v>
      </c>
      <c r="E22" s="2619"/>
      <c r="F22" s="811"/>
      <c r="G22" s="1317"/>
    </row>
    <row r="23" spans="1:66" s="2883" customFormat="1" ht="16.5" thickBot="1">
      <c r="A23" s="1318"/>
      <c r="B23" s="829" t="s">
        <v>1568</v>
      </c>
      <c r="C23" s="809"/>
      <c r="D23" s="829" t="s">
        <v>1569</v>
      </c>
      <c r="E23" s="2621"/>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56" t="s">
        <v>2823</v>
      </c>
      <c r="B24" s="3256"/>
      <c r="C24" s="3256"/>
      <c r="D24" s="3256"/>
      <c r="E24" s="3256"/>
      <c r="F24" s="3256"/>
      <c r="G24" s="3256"/>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1570</v>
      </c>
      <c r="B25" s="811"/>
      <c r="C25" s="811"/>
      <c r="D25" s="811"/>
      <c r="E25" s="811"/>
      <c r="F25" s="811"/>
      <c r="G25" s="1318"/>
      <c r="K25" s="2902"/>
    </row>
    <row r="26" spans="1:66" s="836" customFormat="1" ht="13.5" thickBot="1">
      <c r="A26" s="2622"/>
      <c r="B26" s="807" t="s">
        <v>1571</v>
      </c>
      <c r="C26" s="2622"/>
      <c r="D26" s="807"/>
      <c r="E26" s="2623" t="s">
        <v>1572</v>
      </c>
      <c r="F26" s="2622"/>
      <c r="G26" s="2624" t="s">
        <v>1573</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2"/>
      <c r="B27" s="2625"/>
      <c r="C27" s="2622"/>
      <c r="D27" s="807"/>
      <c r="E27" s="2625"/>
      <c r="F27" s="2622"/>
      <c r="G27" s="2626"/>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1574</v>
      </c>
      <c r="B28" s="801"/>
      <c r="C28" s="3263" t="s">
        <v>1574</v>
      </c>
      <c r="D28" s="3264"/>
      <c r="E28" s="801"/>
      <c r="F28" s="803" t="s">
        <v>1574</v>
      </c>
      <c r="G28" s="801"/>
      <c r="K28" s="2902"/>
    </row>
    <row r="29" spans="1:66">
      <c r="A29" s="804" t="s">
        <v>1575</v>
      </c>
      <c r="B29" s="798"/>
      <c r="C29" s="3265" t="s">
        <v>1576</v>
      </c>
      <c r="D29" s="3266"/>
      <c r="E29" s="798"/>
      <c r="F29" s="804" t="s">
        <v>1576</v>
      </c>
      <c r="G29" s="798"/>
      <c r="K29" s="2902"/>
    </row>
    <row r="30" spans="1:66">
      <c r="A30" s="804" t="s">
        <v>1577</v>
      </c>
      <c r="B30" s="798"/>
      <c r="C30" s="3265" t="s">
        <v>1577</v>
      </c>
      <c r="D30" s="3266"/>
      <c r="E30" s="798"/>
      <c r="F30" s="804" t="s">
        <v>1578</v>
      </c>
      <c r="G30" s="798"/>
      <c r="K30" s="2902"/>
    </row>
    <row r="31" spans="1:66">
      <c r="A31" s="804" t="s">
        <v>1579</v>
      </c>
      <c r="B31" s="798"/>
      <c r="C31" s="3253" t="s">
        <v>1580</v>
      </c>
      <c r="D31" s="811"/>
      <c r="E31" s="2627" t="str">
        <f>E32&amp;" "&amp;E33&amp;" "&amp;E34&amp;" "&amp;E35</f>
        <v xml:space="preserve">   </v>
      </c>
      <c r="F31" s="804" t="s">
        <v>1581</v>
      </c>
      <c r="G31" s="798"/>
    </row>
    <row r="32" spans="1:66">
      <c r="A32" s="804" t="s">
        <v>1582</v>
      </c>
      <c r="B32" s="798"/>
      <c r="C32" s="3254"/>
      <c r="D32" s="259" t="s">
        <v>1583</v>
      </c>
      <c r="E32" s="798"/>
      <c r="F32" s="804" t="s">
        <v>1584</v>
      </c>
      <c r="G32" s="798"/>
    </row>
    <row r="33" spans="1:7" ht="24.75" thickBot="1">
      <c r="A33" s="805" t="s">
        <v>1585</v>
      </c>
      <c r="B33" s="802"/>
      <c r="C33" s="3254"/>
      <c r="D33" s="259" t="s">
        <v>1586</v>
      </c>
      <c r="E33" s="798"/>
      <c r="F33" s="804" t="s">
        <v>1587</v>
      </c>
      <c r="G33" s="798"/>
    </row>
    <row r="34" spans="1:7">
      <c r="A34" s="803" t="s">
        <v>1588</v>
      </c>
      <c r="B34" s="801"/>
      <c r="C34" s="3254"/>
      <c r="D34" s="259" t="s">
        <v>1589</v>
      </c>
      <c r="E34" s="798"/>
      <c r="F34" s="804" t="s">
        <v>1590</v>
      </c>
      <c r="G34" s="798"/>
    </row>
    <row r="35" spans="1:7" ht="13.5" thickBot="1">
      <c r="A35" s="804" t="s">
        <v>1591</v>
      </c>
      <c r="B35" s="798"/>
      <c r="C35" s="3255"/>
      <c r="D35" s="259" t="s">
        <v>1592</v>
      </c>
      <c r="E35" s="798"/>
      <c r="F35" s="805" t="s">
        <v>1593</v>
      </c>
      <c r="G35" s="2628"/>
    </row>
    <row r="36" spans="1:7">
      <c r="A36" s="804" t="s">
        <v>1550</v>
      </c>
      <c r="B36" s="798"/>
      <c r="C36" s="3265" t="s">
        <v>1594</v>
      </c>
      <c r="D36" s="3266"/>
      <c r="E36" s="798"/>
      <c r="F36" s="2629" t="s">
        <v>1595</v>
      </c>
      <c r="G36" s="801"/>
    </row>
    <row r="37" spans="1:7" ht="13.5" thickBot="1">
      <c r="A37" s="804" t="s">
        <v>1596</v>
      </c>
      <c r="B37" s="798"/>
      <c r="C37" s="3267" t="s">
        <v>1597</v>
      </c>
      <c r="D37" s="3268"/>
      <c r="E37" s="802"/>
      <c r="F37" s="1463" t="s">
        <v>1598</v>
      </c>
      <c r="G37" s="798"/>
    </row>
    <row r="38" spans="1:7" ht="13.5" thickBot="1">
      <c r="A38" s="804" t="s">
        <v>1599</v>
      </c>
      <c r="B38" s="798"/>
      <c r="C38" s="3251" t="s">
        <v>1600</v>
      </c>
      <c r="D38" s="1443" t="s">
        <v>1584</v>
      </c>
      <c r="E38" s="801"/>
      <c r="F38" s="805" t="s">
        <v>1601</v>
      </c>
      <c r="G38" s="802"/>
    </row>
    <row r="39" spans="1:7">
      <c r="A39" s="804" t="s">
        <v>1602</v>
      </c>
      <c r="B39" s="798"/>
      <c r="C39" s="3258"/>
      <c r="D39" s="259" t="s">
        <v>1591</v>
      </c>
      <c r="E39" s="798"/>
      <c r="F39" s="803" t="s">
        <v>1603</v>
      </c>
      <c r="G39" s="801"/>
    </row>
    <row r="40" spans="1:7">
      <c r="A40" s="804" t="s">
        <v>1604</v>
      </c>
      <c r="B40" s="798"/>
      <c r="C40" s="3258" t="s">
        <v>1605</v>
      </c>
      <c r="D40" s="259" t="s">
        <v>1550</v>
      </c>
      <c r="E40" s="798"/>
      <c r="F40" s="804" t="s">
        <v>1606</v>
      </c>
      <c r="G40" s="798"/>
    </row>
    <row r="41" spans="1:7" ht="24.75" customHeight="1" thickBot="1">
      <c r="A41" s="805" t="s">
        <v>1607</v>
      </c>
      <c r="B41" s="802"/>
      <c r="C41" s="3259"/>
      <c r="D41" s="1446" t="s">
        <v>1552</v>
      </c>
      <c r="E41" s="802"/>
      <c r="F41" s="805" t="s">
        <v>1608</v>
      </c>
      <c r="G41" s="802"/>
    </row>
    <row r="42" spans="1:7">
      <c r="A42" s="806" t="s">
        <v>1609</v>
      </c>
      <c r="B42" s="2630"/>
      <c r="C42" s="3247" t="s">
        <v>1609</v>
      </c>
      <c r="D42" s="3248"/>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49" t="s">
        <v>1612</v>
      </c>
      <c r="D49" s="3250"/>
      <c r="E49" s="820"/>
      <c r="F49" s="805" t="s">
        <v>1613</v>
      </c>
      <c r="G49" s="802"/>
    </row>
    <row r="50" spans="1:66">
      <c r="A50" s="804" t="s">
        <v>1614</v>
      </c>
      <c r="B50" s="819"/>
      <c r="C50" s="3251" t="s">
        <v>1615</v>
      </c>
      <c r="D50" s="3252"/>
      <c r="E50" s="2632"/>
      <c r="F50" s="837"/>
      <c r="G50" s="838"/>
    </row>
    <row r="51" spans="1:66" ht="13.5" thickBot="1">
      <c r="A51" s="804" t="s">
        <v>1616</v>
      </c>
      <c r="B51" s="819"/>
      <c r="C51" s="3259" t="s">
        <v>1617</v>
      </c>
      <c r="D51" s="3262"/>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79" t="s">
        <v>0</v>
      </c>
      <c r="B1" s="3279" t="s">
        <v>2</v>
      </c>
      <c r="C1" s="3279" t="s">
        <v>3</v>
      </c>
      <c r="D1" s="3280" t="s">
        <v>67</v>
      </c>
      <c r="E1" s="3280" t="s">
        <v>68</v>
      </c>
      <c r="F1" s="3280"/>
      <c r="G1" s="3280"/>
      <c r="H1" s="3280"/>
      <c r="I1" s="3280"/>
      <c r="J1" s="3280"/>
      <c r="K1" s="3280"/>
      <c r="L1" s="3280"/>
      <c r="M1" s="3280"/>
    </row>
    <row r="2" spans="1:13" ht="27" customHeight="1">
      <c r="A2" s="3279"/>
      <c r="B2" s="3279"/>
      <c r="C2" s="3279"/>
      <c r="D2" s="3280"/>
      <c r="E2" s="3280" t="s">
        <v>51</v>
      </c>
      <c r="F2" s="3280" t="s">
        <v>52</v>
      </c>
      <c r="G2" s="3280"/>
      <c r="H2" s="3280"/>
      <c r="I2" s="3280"/>
      <c r="J2" s="3280" t="s">
        <v>53</v>
      </c>
      <c r="K2" s="3280"/>
      <c r="L2" s="3280"/>
      <c r="M2" s="3280"/>
    </row>
    <row r="3" spans="1:13" ht="28.5">
      <c r="A3" s="3279"/>
      <c r="B3" s="3279"/>
      <c r="C3" s="3279"/>
      <c r="D3" s="3280"/>
      <c r="E3" s="32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0" t="s">
        <v>69</v>
      </c>
      <c r="B9" s="3280"/>
      <c r="C9" s="32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E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687" customWidth="1"/>
    <col min="2" max="2" width="16.75" style="2634" customWidth="1"/>
    <col min="3" max="3" width="18.25" style="2673" customWidth="1"/>
    <col min="4" max="4" width="34.125" style="2688" customWidth="1"/>
    <col min="5" max="5" width="17.625" style="2688" customWidth="1"/>
    <col min="6" max="6" width="15.5" style="2633"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4"/>
  </cols>
  <sheetData>
    <row r="1" spans="1:41" ht="19.5" thickBot="1">
      <c r="A1" s="2920" t="s">
        <v>1619</v>
      </c>
      <c r="B1" s="947"/>
      <c r="D1" s="2633"/>
      <c r="E1" s="2633"/>
    </row>
    <row r="2" spans="1:41" s="2637" customFormat="1" ht="15.75" thickBot="1">
      <c r="A2" s="2921" t="s">
        <v>1620</v>
      </c>
      <c r="B2" s="2922">
        <f>项目基本情况!D2</f>
        <v>44547</v>
      </c>
      <c r="C2" s="1685"/>
      <c r="D2" s="3281" t="s">
        <v>1621</v>
      </c>
      <c r="E2" s="2635"/>
      <c r="F2" s="2636"/>
      <c r="G2" s="2967"/>
      <c r="H2" s="2967"/>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2897</v>
      </c>
      <c r="C3" s="1685"/>
      <c r="D3" s="3282"/>
      <c r="E3" s="2639" t="s">
        <v>2901</v>
      </c>
      <c r="F3" s="2636"/>
      <c r="G3" s="2967"/>
      <c r="H3" s="2967"/>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2898</v>
      </c>
      <c r="C4" s="1685"/>
      <c r="D4" s="3282"/>
      <c r="E4" s="2639"/>
      <c r="F4" s="2636"/>
      <c r="G4" s="2967"/>
      <c r="H4" s="2967"/>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1642.01</v>
      </c>
      <c r="C5" s="1685"/>
      <c r="D5" s="2923" t="s">
        <v>1625</v>
      </c>
      <c r="E5" s="2642">
        <f>面积清单!C3</f>
        <v>229.53</v>
      </c>
      <c r="F5" s="2636"/>
      <c r="G5" s="2967"/>
      <c r="H5" s="2967"/>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3" t="s">
        <v>1627</v>
      </c>
      <c r="E6" s="2642"/>
      <c r="F6" s="2636"/>
      <c r="G6" s="2967"/>
      <c r="H6" s="2967"/>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9"/>
      <c r="D7" s="2970"/>
      <c r="E7" s="2970"/>
      <c r="F7" s="2967"/>
      <c r="G7" s="2967"/>
      <c r="H7" s="2967"/>
    </row>
    <row r="8" spans="1:41" s="1685" customFormat="1" ht="15" hidden="1">
      <c r="A8" s="2969"/>
      <c r="D8" s="2970"/>
      <c r="E8" s="2970"/>
      <c r="F8" s="2967"/>
      <c r="G8" s="2967"/>
      <c r="H8" s="2967"/>
    </row>
    <row r="9" spans="1:41" s="1685" customFormat="1" ht="15" hidden="1" thickBot="1">
      <c r="C9" s="3089"/>
      <c r="D9" s="2967"/>
      <c r="E9" s="2967"/>
      <c r="F9" s="2967"/>
      <c r="G9" s="2967"/>
      <c r="H9" s="2967"/>
    </row>
    <row r="10" spans="1:41" s="2637" customFormat="1" ht="15" thickBot="1">
      <c r="A10" s="2924" t="s">
        <v>1628</v>
      </c>
      <c r="B10" s="2646" t="s">
        <v>2899</v>
      </c>
      <c r="C10" s="1685"/>
      <c r="D10" s="2921" t="s">
        <v>1629</v>
      </c>
      <c r="E10" s="2925" t="s">
        <v>1630</v>
      </c>
      <c r="F10" s="3090" t="s">
        <v>2834</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6" t="s">
        <v>1631</v>
      </c>
      <c r="B11" s="2648">
        <v>50</v>
      </c>
      <c r="C11" s="1685"/>
      <c r="D11" s="2927" t="s">
        <v>1632</v>
      </c>
      <c r="E11" s="2649"/>
      <c r="F11" s="1312" t="s">
        <v>1633</v>
      </c>
      <c r="G11" s="1685"/>
      <c r="H11" s="1685"/>
      <c r="I11" s="1685"/>
      <c r="J11" s="1685"/>
      <c r="K11" s="1685"/>
      <c r="L11" s="2709"/>
      <c r="M11" s="2709"/>
      <c r="N11" s="2709"/>
      <c r="O11" s="2709"/>
      <c r="P11" s="2709"/>
      <c r="Q11" s="2709"/>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28" t="s">
        <v>1634</v>
      </c>
      <c r="B12" s="2651">
        <v>57911</v>
      </c>
      <c r="C12" s="1685"/>
      <c r="D12" s="2928" t="s">
        <v>1635</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29" t="s">
        <v>1636</v>
      </c>
      <c r="B13" s="2930">
        <f>IF(B12="",B11-(YEAR($B$2)-B27+B24),ROUNDDOWN(MIN((B12-$B$2)/365,B11),2))</f>
        <v>36.61</v>
      </c>
      <c r="C13" s="2965"/>
      <c r="D13" s="2931" t="s">
        <v>1637</v>
      </c>
      <c r="E13" s="2653"/>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28" t="s">
        <v>1639</v>
      </c>
      <c r="B14" s="2932">
        <f>IF(ISERROR(ROUND(POWER(1+B15,B11-B13)*(POWER(1+B15,B13)-1)/(POWER(1+B15,B11)-1),3)),0,ROUND(POWER(1+B15,B11-B13)*(POWER(1+B15,B13)-1)/(POWER(1+B15,B11)-1),3))</f>
        <v>0.91200000000000003</v>
      </c>
      <c r="C14" s="1685"/>
      <c r="D14" s="2933" t="s">
        <v>1640</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28" t="s">
        <v>1641</v>
      </c>
      <c r="B15" s="2655">
        <v>0.05</v>
      </c>
      <c r="C15" s="2563" t="s">
        <v>2835</v>
      </c>
      <c r="D15" s="2928" t="s">
        <v>1642</v>
      </c>
      <c r="E15" s="2934">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28" t="s">
        <v>1643</v>
      </c>
      <c r="B16" s="2655">
        <v>5.5E-2</v>
      </c>
      <c r="C16" s="2563" t="s">
        <v>2836</v>
      </c>
      <c r="D16" s="2935" t="s">
        <v>1644</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5" t="s">
        <v>2833</v>
      </c>
      <c r="B17" s="3088">
        <v>7.0000000000000007E-2</v>
      </c>
      <c r="C17" s="2563" t="s">
        <v>2837</v>
      </c>
      <c r="D17" s="2924" t="s">
        <v>1646</v>
      </c>
      <c r="E17" s="2657">
        <v>4500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6" t="s">
        <v>1645</v>
      </c>
      <c r="B18" s="3096">
        <v>7.4999999999999997E-2</v>
      </c>
      <c r="C18" s="1685"/>
      <c r="D18" s="2937" t="str">
        <f>IF(B26=0,"建安总额","在建建安")</f>
        <v>建安总额</v>
      </c>
      <c r="E18" s="2938">
        <f>ROUND(B5*E17*IF(B26=0,1,E20),0)</f>
        <v>7389045</v>
      </c>
      <c r="F18" s="2658">
        <f>ROUND(E5*E17*IF(B26=0,1,E20),0)</f>
        <v>1032885</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7" t="str">
        <f>IF(B26=0,"——","续建建安")</f>
        <v>——</v>
      </c>
      <c r="E19" s="2938"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39" t="s">
        <v>1647</v>
      </c>
      <c r="B20" s="1311"/>
      <c r="C20" s="1685"/>
      <c r="D20" s="2941" t="str">
        <f>IF(B26=0,"成新率","工程进度")</f>
        <v>成新率</v>
      </c>
      <c r="E20" s="3175">
        <f>ROUND(1-(2021-B27)/60,2)</f>
        <v>0.87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0" t="s">
        <v>1648</v>
      </c>
      <c r="B21" s="2659">
        <v>0</v>
      </c>
      <c r="C21" s="1685"/>
      <c r="D21" s="2928" t="s">
        <v>1650</v>
      </c>
      <c r="E21" s="2661">
        <v>0.03</v>
      </c>
      <c r="F21" s="2671" t="s">
        <v>2843</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2" t="s">
        <v>1649</v>
      </c>
      <c r="B22" s="2660">
        <v>2</v>
      </c>
      <c r="C22" s="1685"/>
      <c r="D22" s="2928" t="s">
        <v>1652</v>
      </c>
      <c r="E22" s="2664">
        <v>0.05</v>
      </c>
      <c r="F22" s="2671" t="s">
        <v>2841</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3" t="s">
        <v>1651</v>
      </c>
      <c r="B23" s="2663">
        <v>2</v>
      </c>
      <c r="C23" s="1685"/>
      <c r="D23" s="2928" t="s">
        <v>1654</v>
      </c>
      <c r="E23" s="2652">
        <v>200</v>
      </c>
      <c r="F23" s="2671"/>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4" t="s">
        <v>1653</v>
      </c>
      <c r="B24" s="2945">
        <f>B21+B22</f>
        <v>2</v>
      </c>
      <c r="C24" s="1685"/>
      <c r="D24" s="2935" t="s">
        <v>1656</v>
      </c>
      <c r="E24" s="2665">
        <v>1.4999999999999999E-2</v>
      </c>
      <c r="F24" s="2671" t="s">
        <v>2844</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6" t="s">
        <v>1655</v>
      </c>
      <c r="B25" s="2947">
        <f>B21+B23</f>
        <v>2</v>
      </c>
      <c r="C25" s="1685"/>
      <c r="D25" s="2927" t="s">
        <v>1658</v>
      </c>
      <c r="E25" s="2661">
        <v>0.02</v>
      </c>
      <c r="F25" s="2671" t="s">
        <v>2842</v>
      </c>
      <c r="I25" s="2966"/>
    </row>
    <row r="26" spans="1:41" ht="15" thickBot="1">
      <c r="A26" s="2944" t="s">
        <v>1657</v>
      </c>
      <c r="B26" s="2948">
        <f>B22-B23</f>
        <v>0</v>
      </c>
      <c r="D26" s="2928" t="s">
        <v>1660</v>
      </c>
      <c r="E26" s="2664">
        <v>0.02</v>
      </c>
      <c r="F26" s="2671" t="s">
        <v>2842</v>
      </c>
      <c r="G26" s="2967"/>
      <c r="H26" s="2967"/>
      <c r="I26" s="1685"/>
      <c r="J26" s="1685"/>
      <c r="K26" s="1685"/>
      <c r="L26" s="1685"/>
      <c r="M26" s="1685"/>
      <c r="N26" s="1685"/>
    </row>
    <row r="27" spans="1:41" ht="15.75" thickBot="1">
      <c r="A27" s="2949" t="s">
        <v>1659</v>
      </c>
      <c r="B27" s="3177">
        <v>2013</v>
      </c>
      <c r="C27" s="1685"/>
      <c r="D27" s="3155" t="s">
        <v>2902</v>
      </c>
      <c r="E27" s="2950">
        <f ca="1">IF(D27="利息：取LPR",存贷款利率!G1,存贷款利率!G1+F27)</f>
        <v>4.3499999999999997E-2</v>
      </c>
      <c r="F27" s="3156">
        <v>5.0000000000000001E-3</v>
      </c>
      <c r="G27" s="2967"/>
      <c r="H27" s="2967"/>
      <c r="K27" s="1685"/>
      <c r="N27" s="1685"/>
    </row>
    <row r="28" spans="1:41" ht="15" thickBot="1">
      <c r="A28" s="947"/>
      <c r="B28" s="947"/>
      <c r="D28" s="2931" t="s">
        <v>1662</v>
      </c>
      <c r="E28" s="2667">
        <v>0.15</v>
      </c>
      <c r="G28" s="2967"/>
      <c r="H28" s="2967"/>
      <c r="K28" s="1685"/>
      <c r="N28" s="1685"/>
    </row>
    <row r="29" spans="1:41" ht="14.25">
      <c r="A29" s="2951" t="s">
        <v>1661</v>
      </c>
      <c r="B29" s="2666" t="s">
        <v>2900</v>
      </c>
      <c r="D29" s="2933" t="s">
        <v>1663</v>
      </c>
      <c r="E29" s="2952">
        <f>E30+E31</f>
        <v>5.5000000000000007E-2</v>
      </c>
      <c r="F29" s="1310"/>
      <c r="G29" s="2967"/>
      <c r="H29" s="2967"/>
      <c r="K29" s="1685"/>
      <c r="N29" s="1685"/>
    </row>
    <row r="30" spans="1:41" ht="14.25">
      <c r="A30" s="2928" t="str">
        <f>IF(B29="租赁期内按合同租金","合同租金","市场租金")</f>
        <v>市场租金</v>
      </c>
      <c r="B30" s="3176">
        <v>3.5</v>
      </c>
      <c r="D30" s="2935" t="s">
        <v>1665</v>
      </c>
      <c r="E30" s="2669">
        <v>0.05</v>
      </c>
      <c r="F30" s="2954">
        <f>IF(B2&lt;DATE(2016,5,1),0,E30)</f>
        <v>0.05</v>
      </c>
      <c r="G30" s="2967"/>
      <c r="H30" s="2967"/>
      <c r="K30" s="1685"/>
      <c r="N30" s="1685"/>
    </row>
    <row r="31" spans="1:41" ht="14.25">
      <c r="A31" s="2928" t="s">
        <v>1664</v>
      </c>
      <c r="B31" s="2953">
        <f ca="1">存贷款利率!I1</f>
        <v>1.4999999999999999E-2</v>
      </c>
      <c r="D31" s="2935" t="s">
        <v>1667</v>
      </c>
      <c r="E31" s="2955">
        <f>E30*(E32+E33+E34)+E35</f>
        <v>5.000000000000001E-3</v>
      </c>
      <c r="F31" s="1310"/>
      <c r="G31" s="2967"/>
      <c r="H31" s="2967"/>
      <c r="K31" s="1685"/>
      <c r="N31" s="1685"/>
    </row>
    <row r="32" spans="1:41" ht="14.25">
      <c r="A32" s="2928" t="s">
        <v>1666</v>
      </c>
      <c r="B32" s="2655">
        <v>2.5000000000000001E-2</v>
      </c>
      <c r="D32" s="2935" t="s">
        <v>1669</v>
      </c>
      <c r="E32" s="2670">
        <v>0.05</v>
      </c>
      <c r="F32" s="2671" t="s">
        <v>2730</v>
      </c>
      <c r="G32" s="2967"/>
      <c r="H32" s="2967"/>
      <c r="K32" s="1685"/>
      <c r="L32" s="1685"/>
      <c r="M32" s="1685"/>
      <c r="N32" s="1685"/>
    </row>
    <row r="33" spans="1:14" ht="14.25">
      <c r="A33" s="2928" t="s">
        <v>1668</v>
      </c>
      <c r="B33" s="2655">
        <v>0.1</v>
      </c>
      <c r="D33" s="2935" t="s">
        <v>1671</v>
      </c>
      <c r="E33" s="2669">
        <v>0.03</v>
      </c>
      <c r="F33" s="1309" t="s">
        <v>1672</v>
      </c>
      <c r="G33" s="2967"/>
      <c r="H33" s="2967"/>
      <c r="K33" s="1685"/>
      <c r="L33" s="1685"/>
      <c r="M33" s="1685"/>
      <c r="N33" s="1685"/>
    </row>
    <row r="34" spans="1:14" s="2673" customFormat="1" ht="14.25">
      <c r="A34" s="2928" t="s">
        <v>1670</v>
      </c>
      <c r="B34" s="2956">
        <f>收益法!J54</f>
        <v>36.61</v>
      </c>
      <c r="D34" s="2935" t="s">
        <v>1673</v>
      </c>
      <c r="E34" s="2669">
        <v>0.02</v>
      </c>
      <c r="F34" s="1309" t="s">
        <v>1674</v>
      </c>
      <c r="G34" s="2967"/>
      <c r="H34" s="2967"/>
      <c r="I34" s="1685"/>
      <c r="J34" s="1685"/>
      <c r="K34" s="1685"/>
      <c r="L34" s="1685"/>
      <c r="M34" s="1685"/>
      <c r="N34" s="1685"/>
    </row>
    <row r="35" spans="1:14" s="2673" customFormat="1" ht="15" thickBot="1">
      <c r="A35" s="2935" t="str">
        <f>IF(B29="租赁期内按合同租金","剩余租赁期","——")</f>
        <v>——</v>
      </c>
      <c r="B35" s="2672"/>
      <c r="D35" s="2931" t="s">
        <v>1676</v>
      </c>
      <c r="E35" s="2675"/>
      <c r="F35" s="1312" t="s">
        <v>1677</v>
      </c>
      <c r="G35" s="2967"/>
      <c r="H35" s="2967"/>
      <c r="I35" s="1685"/>
      <c r="J35" s="1685"/>
      <c r="K35" s="1685"/>
      <c r="L35" s="1685"/>
      <c r="M35" s="1685"/>
      <c r="N35" s="1685"/>
    </row>
    <row r="36" spans="1:14" s="2673" customFormat="1" ht="15">
      <c r="A36" s="2957" t="s">
        <v>1675</v>
      </c>
      <c r="B36" s="2958"/>
      <c r="D36" s="2959" t="s">
        <v>1678</v>
      </c>
      <c r="E36" s="2677">
        <v>0.03</v>
      </c>
      <c r="F36" s="1311" t="s">
        <v>1679</v>
      </c>
      <c r="G36" s="2967"/>
      <c r="H36" s="2967"/>
      <c r="I36" s="1685"/>
      <c r="J36" s="1685"/>
      <c r="K36" s="1685"/>
      <c r="L36" s="1685"/>
      <c r="M36" s="1685"/>
      <c r="N36" s="1685"/>
    </row>
    <row r="37" spans="1:14" s="2673" customFormat="1" ht="15" thickBot="1">
      <c r="A37" s="2933" t="str">
        <f>IF(B29="租赁期内按合同租金","租金","——")</f>
        <v>——</v>
      </c>
      <c r="B37" s="2676"/>
      <c r="D37" s="2935" t="s">
        <v>1680</v>
      </c>
      <c r="E37" s="2669">
        <v>5.0000000000000001E-4</v>
      </c>
      <c r="F37" s="1311" t="s">
        <v>1681</v>
      </c>
      <c r="G37" s="2967"/>
      <c r="H37" s="2967"/>
      <c r="I37" s="1685"/>
      <c r="J37" s="1685"/>
      <c r="K37" s="1685"/>
      <c r="L37" s="1685"/>
      <c r="M37" s="1685"/>
      <c r="N37" s="1685"/>
    </row>
    <row r="38" spans="1:14" s="2673" customFormat="1" ht="14.25">
      <c r="A38" s="2928" t="str">
        <f>IF(B29="租赁期内按合同租金","年租金增长率","——")</f>
        <v>——</v>
      </c>
      <c r="B38" s="2655"/>
      <c r="D38" s="2960" t="s">
        <v>1682</v>
      </c>
      <c r="E38" s="2961">
        <v>1.2E-2</v>
      </c>
      <c r="F38" s="1311"/>
      <c r="G38" s="2966"/>
      <c r="H38" s="2966"/>
      <c r="I38" s="2967"/>
      <c r="J38" s="1685"/>
      <c r="K38" s="1685"/>
      <c r="L38" s="1685"/>
      <c r="M38" s="1685"/>
      <c r="N38" s="1685"/>
    </row>
    <row r="39" spans="1:14" s="2673" customFormat="1" ht="15" thickBot="1">
      <c r="A39" s="2928" t="str">
        <f>IF(B29="租赁期内按合同租金","空置率","——")</f>
        <v>——</v>
      </c>
      <c r="B39" s="2655"/>
      <c r="D39" s="2931" t="s">
        <v>1683</v>
      </c>
      <c r="E39" s="2962">
        <v>0.12</v>
      </c>
      <c r="F39" s="1311"/>
      <c r="G39" s="2967"/>
      <c r="H39" s="2967"/>
      <c r="I39" s="1685"/>
      <c r="J39" s="1685"/>
      <c r="K39" s="1685"/>
      <c r="L39" s="1685"/>
      <c r="M39" s="1685"/>
      <c r="N39" s="1685"/>
    </row>
    <row r="40" spans="1:14" ht="14.25">
      <c r="A40" s="2928" t="str">
        <f>IF(B29="租赁期内按合同租金","成新率","——")</f>
        <v>——</v>
      </c>
      <c r="B40" s="2655"/>
      <c r="D40" s="2960" t="s">
        <v>1684</v>
      </c>
      <c r="E40" s="2964">
        <f>SUMIF(D42:D51,E41,E42:E51)</f>
        <v>1.5</v>
      </c>
      <c r="F40" s="1311"/>
      <c r="G40" s="2967"/>
      <c r="H40" s="2967"/>
      <c r="I40" s="1685"/>
      <c r="J40" s="1685"/>
      <c r="K40" s="1685"/>
      <c r="L40" s="1685"/>
      <c r="M40" s="1685"/>
      <c r="N40" s="1685"/>
    </row>
    <row r="41" spans="1:14" ht="15" thickBot="1">
      <c r="A41" s="2935" t="str">
        <f>IF(B29="租赁期内按合同租金","租赁期外收益期","——")</f>
        <v>——</v>
      </c>
      <c r="B41" s="2963" t="str">
        <f>IF(B29="租赁期内按合同租金",B34-B35,"——")</f>
        <v>——</v>
      </c>
      <c r="D41" s="2928" t="s">
        <v>1686</v>
      </c>
      <c r="E41" s="2679" t="s">
        <v>70</v>
      </c>
      <c r="F41" s="1311" t="s">
        <v>1687</v>
      </c>
      <c r="G41" s="1772" t="s">
        <v>1688</v>
      </c>
      <c r="H41" s="2967"/>
      <c r="I41" s="1685"/>
      <c r="J41" s="1685"/>
      <c r="K41" s="1685"/>
      <c r="L41" s="1685"/>
      <c r="M41" s="1685"/>
      <c r="N41" s="1685"/>
    </row>
    <row r="42" spans="1:14" ht="14.25">
      <c r="A42" s="2927" t="s">
        <v>1685</v>
      </c>
      <c r="B42" s="2678"/>
      <c r="D42" s="2681" t="s">
        <v>1690</v>
      </c>
      <c r="E42" s="2668"/>
      <c r="F42" s="1311">
        <v>30</v>
      </c>
      <c r="G42" s="2967"/>
      <c r="H42" s="2967"/>
      <c r="I42" s="1685"/>
      <c r="J42" s="1685"/>
      <c r="K42" s="1685"/>
      <c r="L42" s="1685"/>
      <c r="M42" s="1685"/>
      <c r="N42" s="1685"/>
    </row>
    <row r="43" spans="1:14" ht="14.25">
      <c r="A43" s="2928" t="s">
        <v>1689</v>
      </c>
      <c r="B43" s="2680">
        <v>365</v>
      </c>
      <c r="D43" s="2681" t="s">
        <v>1692</v>
      </c>
      <c r="E43" s="2668"/>
      <c r="F43" s="1311">
        <v>24</v>
      </c>
      <c r="G43" s="2967"/>
      <c r="H43" s="2967"/>
      <c r="I43" s="1685"/>
      <c r="J43" s="1685"/>
      <c r="K43" s="1685"/>
      <c r="L43" s="1685"/>
      <c r="M43" s="1685"/>
      <c r="N43" s="1685"/>
    </row>
    <row r="44" spans="1:14" ht="14.25">
      <c r="A44" s="2928" t="s">
        <v>1691</v>
      </c>
      <c r="B44" s="2668"/>
      <c r="D44" s="2681" t="s">
        <v>1694</v>
      </c>
      <c r="E44" s="2668"/>
      <c r="F44" s="1311">
        <v>18</v>
      </c>
      <c r="G44" s="2673"/>
      <c r="H44" s="2673"/>
      <c r="I44" s="2967"/>
      <c r="J44" s="1685"/>
      <c r="K44" s="1685"/>
      <c r="L44" s="1685"/>
      <c r="M44" s="1685"/>
      <c r="N44" s="1685"/>
    </row>
    <row r="45" spans="1:14" ht="14.25">
      <c r="A45" s="2928" t="s">
        <v>1693</v>
      </c>
      <c r="B45" s="2682">
        <v>1.4999999999999999E-2</v>
      </c>
      <c r="C45" s="2563" t="s">
        <v>2840</v>
      </c>
      <c r="D45" s="2681" t="s">
        <v>1696</v>
      </c>
      <c r="E45" s="2668"/>
      <c r="F45" s="1311">
        <v>12</v>
      </c>
      <c r="G45" s="2673"/>
      <c r="H45" s="2673"/>
      <c r="M45" s="1685"/>
      <c r="N45" s="1685"/>
    </row>
    <row r="46" spans="1:14" ht="14.25">
      <c r="A46" s="2928" t="s">
        <v>1695</v>
      </c>
      <c r="B46" s="2683">
        <v>1.5E-3</v>
      </c>
      <c r="C46" s="2563" t="s">
        <v>2838</v>
      </c>
      <c r="D46" s="2681" t="s">
        <v>1458</v>
      </c>
      <c r="E46" s="2668"/>
      <c r="F46" s="1311">
        <v>3</v>
      </c>
      <c r="G46" s="2673"/>
      <c r="H46" s="2673"/>
      <c r="M46" s="1685"/>
      <c r="N46" s="1685"/>
    </row>
    <row r="47" spans="1:14" ht="15" thickBot="1">
      <c r="A47" s="2931" t="s">
        <v>1697</v>
      </c>
      <c r="B47" s="2684">
        <v>0.02</v>
      </c>
      <c r="C47" s="2563" t="s">
        <v>2839</v>
      </c>
      <c r="D47" s="2681" t="s">
        <v>1698</v>
      </c>
      <c r="E47" s="2668">
        <v>1.5</v>
      </c>
      <c r="F47" s="1311">
        <v>1.5</v>
      </c>
      <c r="G47" s="2673"/>
      <c r="H47" s="2673"/>
      <c r="M47" s="1685"/>
      <c r="N47" s="1685"/>
    </row>
    <row r="48" spans="1:14" ht="14.25">
      <c r="A48" s="2673"/>
      <c r="B48" s="2673"/>
      <c r="D48" s="2681" t="s">
        <v>1699</v>
      </c>
      <c r="E48" s="2668"/>
      <c r="F48" s="1311"/>
      <c r="G48" s="2673"/>
      <c r="H48" s="2673"/>
      <c r="M48" s="1685"/>
      <c r="N48" s="1685"/>
    </row>
    <row r="49" spans="1:41" ht="14.25">
      <c r="A49" s="2673"/>
      <c r="B49" s="2673"/>
      <c r="D49" s="2681" t="s">
        <v>1700</v>
      </c>
      <c r="E49" s="2668"/>
      <c r="F49" s="1311"/>
      <c r="G49" s="2673"/>
      <c r="H49" s="2673"/>
      <c r="M49" s="1685"/>
      <c r="N49" s="1685"/>
    </row>
    <row r="50" spans="1:41" ht="14.25">
      <c r="A50" s="2673"/>
      <c r="B50" s="2673"/>
      <c r="D50" s="2681" t="s">
        <v>1701</v>
      </c>
      <c r="E50" s="2668"/>
      <c r="F50" s="1311"/>
      <c r="G50" s="2673"/>
      <c r="H50" s="2673"/>
      <c r="M50" s="1685"/>
      <c r="N50" s="1685"/>
    </row>
    <row r="51" spans="1:41" s="947" customFormat="1" ht="15" thickBot="1">
      <c r="A51" s="2673"/>
      <c r="B51" s="2673"/>
      <c r="C51" s="2673"/>
      <c r="D51" s="2685" t="s">
        <v>1702</v>
      </c>
      <c r="E51" s="2686"/>
      <c r="F51" s="1311"/>
      <c r="G51" s="2673"/>
      <c r="H51" s="2673"/>
      <c r="I51" s="2673"/>
      <c r="J51" s="2673"/>
      <c r="K51" s="2673"/>
      <c r="L51" s="2673"/>
      <c r="M51" s="1685"/>
      <c r="N51" s="1685"/>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5"/>
      <c r="J52" s="1685"/>
      <c r="K52" s="1685"/>
      <c r="L52" s="1685"/>
      <c r="M52" s="1685"/>
      <c r="N52" s="1685"/>
    </row>
    <row r="53" spans="1:41" s="2673" customFormat="1" ht="14.25">
      <c r="D53" s="2967"/>
      <c r="E53" s="2967"/>
      <c r="F53" s="2967"/>
      <c r="G53" s="2967"/>
      <c r="H53" s="2967"/>
      <c r="I53" s="1685"/>
      <c r="J53" s="1685"/>
      <c r="K53" s="1685"/>
      <c r="L53" s="1685"/>
      <c r="M53" s="1685"/>
      <c r="N53" s="1685"/>
    </row>
    <row r="54" spans="1:41" s="2673" customFormat="1" ht="14.25">
      <c r="D54" s="2967"/>
      <c r="E54" s="2967"/>
      <c r="F54" s="2967"/>
      <c r="G54" s="2967"/>
      <c r="H54" s="2967"/>
      <c r="I54" s="1685"/>
      <c r="J54" s="1685"/>
      <c r="K54" s="1685"/>
      <c r="L54" s="1685"/>
      <c r="M54" s="1685"/>
      <c r="N54" s="1685"/>
    </row>
    <row r="55" spans="1:41" s="2673" customFormat="1" ht="14.25">
      <c r="D55" s="2967"/>
      <c r="E55" s="2967"/>
      <c r="F55" s="2967"/>
      <c r="G55" s="2967"/>
      <c r="H55" s="2967"/>
      <c r="I55" s="1685"/>
      <c r="J55" s="1685"/>
      <c r="K55" s="1685"/>
      <c r="L55" s="1685"/>
      <c r="M55" s="1685"/>
      <c r="N55" s="1685"/>
    </row>
    <row r="56" spans="1:41" s="2673" customFormat="1" ht="14.25">
      <c r="D56" s="2967"/>
      <c r="E56" s="2967"/>
      <c r="F56" s="2967"/>
      <c r="G56" s="2967"/>
      <c r="H56" s="2967"/>
      <c r="I56" s="1685"/>
      <c r="J56" s="1685"/>
      <c r="K56" s="1685"/>
      <c r="L56" s="1685"/>
      <c r="M56" s="1685"/>
      <c r="N56" s="1685"/>
    </row>
    <row r="57" spans="1:41" s="2673" customFormat="1" ht="14.25">
      <c r="D57" s="2967"/>
      <c r="E57" s="2967"/>
      <c r="F57" s="2967"/>
      <c r="G57" s="2967"/>
      <c r="H57" s="2967"/>
      <c r="I57" s="1685"/>
      <c r="J57" s="1685"/>
      <c r="K57" s="1685"/>
      <c r="L57" s="1685"/>
      <c r="M57" s="1685"/>
      <c r="N57" s="1685"/>
    </row>
    <row r="58" spans="1:41" s="2673" customFormat="1" ht="14.25">
      <c r="D58" s="2967"/>
      <c r="E58" s="2967"/>
      <c r="F58" s="2967"/>
      <c r="G58" s="2967"/>
      <c r="H58" s="2967"/>
      <c r="I58" s="1685"/>
      <c r="J58" s="1685"/>
      <c r="K58" s="1685"/>
      <c r="L58" s="1685"/>
      <c r="M58" s="1685"/>
      <c r="N58" s="1685"/>
    </row>
    <row r="59" spans="1:41" s="2673" customFormat="1" ht="14.25">
      <c r="D59" s="2967"/>
      <c r="E59" s="2967"/>
      <c r="F59" s="2967"/>
      <c r="G59" s="2967"/>
      <c r="H59" s="2967"/>
      <c r="I59" s="1685"/>
      <c r="J59" s="1685"/>
      <c r="K59" s="1685"/>
      <c r="L59" s="1685"/>
      <c r="M59" s="2968"/>
      <c r="N59" s="1685"/>
    </row>
    <row r="60" spans="1:41" s="2673" customFormat="1" ht="14.25">
      <c r="D60" s="2967"/>
      <c r="E60" s="2967"/>
      <c r="F60" s="2967"/>
      <c r="G60" s="2967"/>
      <c r="H60" s="2967"/>
      <c r="I60" s="1685"/>
      <c r="J60" s="1685"/>
      <c r="K60" s="1685"/>
      <c r="L60" s="1685"/>
      <c r="M60" s="1685"/>
      <c r="N60" s="1685"/>
    </row>
    <row r="61" spans="1:41" s="2673" customFormat="1" ht="14.25">
      <c r="D61" s="2967"/>
      <c r="E61" s="2967"/>
      <c r="F61" s="2967"/>
      <c r="G61" s="2967"/>
      <c r="H61" s="2967"/>
      <c r="I61" s="1685"/>
      <c r="J61" s="1685"/>
      <c r="K61" s="1685"/>
      <c r="L61" s="1685"/>
      <c r="M61" s="1685"/>
      <c r="N61" s="1685"/>
    </row>
    <row r="62" spans="1:41" s="2673" customFormat="1" ht="14.25">
      <c r="D62" s="2967"/>
      <c r="E62" s="2967"/>
      <c r="F62" s="2967"/>
      <c r="G62" s="2967"/>
      <c r="H62" s="2967"/>
      <c r="I62" s="1685"/>
      <c r="J62" s="1685"/>
      <c r="K62" s="1685"/>
      <c r="L62" s="1685"/>
      <c r="M62" s="1685"/>
      <c r="N62" s="1685"/>
    </row>
    <row r="63" spans="1:41" s="2673" customFormat="1" ht="14.25">
      <c r="D63" s="2967"/>
      <c r="E63" s="2967"/>
      <c r="F63" s="2967"/>
      <c r="G63" s="2967"/>
      <c r="H63" s="2967"/>
      <c r="I63" s="1685"/>
      <c r="J63" s="1685"/>
      <c r="K63" s="1685"/>
      <c r="L63" s="1685"/>
      <c r="M63" s="1685"/>
      <c r="N63" s="1685"/>
    </row>
    <row r="64" spans="1:41" s="2673" customFormat="1" ht="14.25">
      <c r="D64" s="2967"/>
      <c r="E64" s="2967"/>
      <c r="F64" s="2967"/>
      <c r="G64" s="2967"/>
      <c r="H64" s="2967"/>
      <c r="I64" s="1685"/>
      <c r="J64" s="1685"/>
      <c r="K64" s="1685"/>
      <c r="L64" s="1685"/>
      <c r="M64" s="1685"/>
      <c r="N64" s="1685"/>
    </row>
    <row r="65" spans="1:14" s="2673" customFormat="1" ht="14.25">
      <c r="D65" s="2967"/>
      <c r="E65" s="2967"/>
      <c r="F65" s="2967"/>
      <c r="G65" s="2967"/>
      <c r="H65" s="2967"/>
      <c r="I65" s="1685"/>
      <c r="J65" s="1685"/>
      <c r="K65" s="1685"/>
      <c r="L65" s="1685"/>
      <c r="M65" s="1685"/>
      <c r="N65" s="1685"/>
    </row>
    <row r="66" spans="1:14" s="2673" customFormat="1" ht="14.25">
      <c r="D66" s="2967"/>
      <c r="E66" s="2967"/>
      <c r="F66" s="2967"/>
      <c r="G66" s="2967"/>
      <c r="H66" s="2967"/>
      <c r="I66" s="1685"/>
      <c r="J66" s="1685"/>
      <c r="K66" s="1685"/>
      <c r="L66" s="1685"/>
      <c r="M66" s="1685"/>
      <c r="N66" s="1685"/>
    </row>
    <row r="67" spans="1:14" s="2673" customFormat="1" ht="14.25">
      <c r="A67" s="2971"/>
      <c r="D67" s="2967"/>
      <c r="E67" s="2967"/>
      <c r="F67" s="2967"/>
      <c r="G67" s="2967"/>
      <c r="H67" s="2967"/>
      <c r="I67" s="1685"/>
      <c r="J67" s="1685"/>
      <c r="K67" s="1685"/>
      <c r="L67" s="1685"/>
      <c r="M67" s="1685"/>
      <c r="N67" s="1685"/>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7"/>
  <sheetViews>
    <sheetView workbookViewId="0">
      <selection activeCell="B32" sqref="B32"/>
    </sheetView>
  </sheetViews>
  <sheetFormatPr defaultRowHeight="13.5"/>
  <cols>
    <col min="7" max="7" width="4.625" customWidth="1"/>
    <col min="8" max="8" width="32.25" customWidth="1"/>
    <col min="9" max="9" width="27.125" customWidth="1"/>
    <col min="10" max="10" width="7" customWidth="1"/>
    <col min="11" max="11" width="5.5" customWidth="1"/>
  </cols>
  <sheetData>
    <row r="2" spans="2:12">
      <c r="G2" s="3167" t="s">
        <v>2918</v>
      </c>
      <c r="H2" s="3167" t="s">
        <v>2919</v>
      </c>
      <c r="I2" s="3167" t="s">
        <v>2920</v>
      </c>
      <c r="J2" s="3167" t="s">
        <v>2921</v>
      </c>
      <c r="K2" s="3167" t="s">
        <v>2922</v>
      </c>
      <c r="L2" s="3168" t="s">
        <v>2957</v>
      </c>
    </row>
    <row r="3" spans="2:12">
      <c r="B3">
        <v>901</v>
      </c>
      <c r="C3">
        <v>229.53</v>
      </c>
      <c r="G3" s="3167">
        <v>1</v>
      </c>
      <c r="H3" s="3167" t="s">
        <v>2924</v>
      </c>
      <c r="I3" s="3167" t="s">
        <v>2941</v>
      </c>
      <c r="J3" s="3167">
        <f>C3</f>
        <v>229.53</v>
      </c>
      <c r="K3" s="3167" t="s">
        <v>2940</v>
      </c>
      <c r="L3" s="3169"/>
    </row>
    <row r="4" spans="2:12">
      <c r="B4">
        <v>902</v>
      </c>
      <c r="C4">
        <v>89.91</v>
      </c>
      <c r="G4" s="3167">
        <v>2</v>
      </c>
      <c r="H4" s="3167" t="s">
        <v>2925</v>
      </c>
      <c r="I4" s="3167" t="s">
        <v>2952</v>
      </c>
      <c r="J4" s="3168">
        <f t="shared" ref="J4:J18" si="0">C4</f>
        <v>89.91</v>
      </c>
      <c r="K4" s="3167" t="s">
        <v>2940</v>
      </c>
      <c r="L4" s="3169"/>
    </row>
    <row r="5" spans="2:12">
      <c r="B5">
        <v>903</v>
      </c>
      <c r="C5">
        <v>111.32</v>
      </c>
      <c r="G5" s="3167">
        <v>3</v>
      </c>
      <c r="H5" s="3167" t="s">
        <v>2926</v>
      </c>
      <c r="I5" s="3167" t="s">
        <v>2953</v>
      </c>
      <c r="J5" s="3167">
        <f t="shared" si="0"/>
        <v>111.32</v>
      </c>
      <c r="K5" s="3167" t="s">
        <v>2940</v>
      </c>
      <c r="L5" s="3169"/>
    </row>
    <row r="6" spans="2:12">
      <c r="B6">
        <v>904</v>
      </c>
      <c r="C6">
        <v>92.76</v>
      </c>
      <c r="G6" s="3167">
        <v>4</v>
      </c>
      <c r="H6" s="3167" t="s">
        <v>2927</v>
      </c>
      <c r="I6" s="3167" t="s">
        <v>2942</v>
      </c>
      <c r="J6" s="3167">
        <f t="shared" si="0"/>
        <v>92.76</v>
      </c>
      <c r="K6" s="3167" t="s">
        <v>2940</v>
      </c>
      <c r="L6" s="3169"/>
    </row>
    <row r="7" spans="2:12">
      <c r="B7">
        <v>905</v>
      </c>
      <c r="C7">
        <v>111.44</v>
      </c>
      <c r="G7" s="3167">
        <v>5</v>
      </c>
      <c r="H7" s="3167" t="s">
        <v>2928</v>
      </c>
      <c r="I7" s="3167" t="s">
        <v>2954</v>
      </c>
      <c r="J7" s="3167">
        <f t="shared" si="0"/>
        <v>111.44</v>
      </c>
      <c r="K7" s="3167" t="s">
        <v>2940</v>
      </c>
      <c r="L7" s="3169"/>
    </row>
    <row r="8" spans="2:12">
      <c r="B8">
        <v>906</v>
      </c>
      <c r="C8">
        <v>91.17</v>
      </c>
      <c r="G8" s="3167">
        <v>6</v>
      </c>
      <c r="H8" s="3167" t="s">
        <v>2929</v>
      </c>
      <c r="I8" s="3167" t="s">
        <v>2943</v>
      </c>
      <c r="J8" s="3167">
        <f t="shared" si="0"/>
        <v>91.17</v>
      </c>
      <c r="K8" s="3167" t="s">
        <v>2940</v>
      </c>
      <c r="L8" s="3169"/>
    </row>
    <row r="9" spans="2:12">
      <c r="B9">
        <v>907</v>
      </c>
      <c r="C9">
        <v>111.05</v>
      </c>
      <c r="G9" s="3167">
        <v>7</v>
      </c>
      <c r="H9" s="3167" t="s">
        <v>2930</v>
      </c>
      <c r="I9" s="3167" t="s">
        <v>2944</v>
      </c>
      <c r="J9" s="3167">
        <f t="shared" si="0"/>
        <v>111.05</v>
      </c>
      <c r="K9" s="3167" t="s">
        <v>2940</v>
      </c>
      <c r="L9" s="3169"/>
    </row>
    <row r="10" spans="2:12">
      <c r="B10">
        <v>908</v>
      </c>
      <c r="C10">
        <v>91.97</v>
      </c>
      <c r="G10" s="3167">
        <v>8</v>
      </c>
      <c r="H10" s="3167" t="s">
        <v>2931</v>
      </c>
      <c r="I10" s="3167" t="s">
        <v>2945</v>
      </c>
      <c r="J10" s="3167">
        <f t="shared" si="0"/>
        <v>91.97</v>
      </c>
      <c r="K10" s="3167" t="s">
        <v>2940</v>
      </c>
      <c r="L10" s="3169"/>
    </row>
    <row r="11" spans="2:12">
      <c r="B11">
        <v>909</v>
      </c>
      <c r="C11">
        <v>113.63</v>
      </c>
      <c r="G11" s="3167">
        <v>9</v>
      </c>
      <c r="H11" s="3167" t="s">
        <v>2932</v>
      </c>
      <c r="I11" s="3167" t="s">
        <v>2946</v>
      </c>
      <c r="J11" s="3167">
        <f t="shared" si="0"/>
        <v>113.63</v>
      </c>
      <c r="K11" s="3167" t="s">
        <v>2940</v>
      </c>
      <c r="L11" s="3169"/>
    </row>
    <row r="12" spans="2:12">
      <c r="B12">
        <v>910</v>
      </c>
      <c r="C12">
        <v>91.97</v>
      </c>
      <c r="G12" s="3167">
        <v>10</v>
      </c>
      <c r="H12" s="3167" t="s">
        <v>2933</v>
      </c>
      <c r="I12" s="3167" t="s">
        <v>2955</v>
      </c>
      <c r="J12" s="3167">
        <f t="shared" si="0"/>
        <v>91.97</v>
      </c>
      <c r="K12" s="3167" t="s">
        <v>2940</v>
      </c>
      <c r="L12" s="3169"/>
    </row>
    <row r="13" spans="2:12">
      <c r="B13">
        <v>911</v>
      </c>
      <c r="C13">
        <v>104.95</v>
      </c>
      <c r="G13" s="3167">
        <v>11</v>
      </c>
      <c r="H13" s="3167" t="s">
        <v>2934</v>
      </c>
      <c r="I13" s="3167" t="s">
        <v>2947</v>
      </c>
      <c r="J13" s="3167">
        <f t="shared" si="0"/>
        <v>104.95</v>
      </c>
      <c r="K13" s="3167" t="s">
        <v>2940</v>
      </c>
      <c r="L13" s="3169"/>
    </row>
    <row r="14" spans="2:12">
      <c r="B14">
        <v>912</v>
      </c>
      <c r="C14">
        <v>88.79</v>
      </c>
      <c r="G14" s="3167">
        <v>12</v>
      </c>
      <c r="H14" s="3167" t="s">
        <v>2935</v>
      </c>
      <c r="I14" s="3167" t="s">
        <v>2948</v>
      </c>
      <c r="J14" s="3167">
        <f t="shared" si="0"/>
        <v>88.79</v>
      </c>
      <c r="K14" s="3167" t="s">
        <v>2940</v>
      </c>
      <c r="L14" s="3169"/>
    </row>
    <row r="15" spans="2:12">
      <c r="B15">
        <v>913</v>
      </c>
      <c r="C15">
        <v>84.75</v>
      </c>
      <c r="G15" s="3167">
        <v>13</v>
      </c>
      <c r="H15" s="3167" t="s">
        <v>2936</v>
      </c>
      <c r="I15" s="3167" t="s">
        <v>2949</v>
      </c>
      <c r="J15" s="3167">
        <f t="shared" si="0"/>
        <v>84.75</v>
      </c>
      <c r="K15" s="3167" t="s">
        <v>2940</v>
      </c>
      <c r="L15" s="3169"/>
    </row>
    <row r="16" spans="2:12">
      <c r="B16">
        <v>914</v>
      </c>
      <c r="C16">
        <v>77.17</v>
      </c>
      <c r="G16" s="3167">
        <v>14</v>
      </c>
      <c r="H16" s="3167" t="s">
        <v>2937</v>
      </c>
      <c r="I16" s="3167" t="s">
        <v>2950</v>
      </c>
      <c r="J16" s="3167">
        <f t="shared" si="0"/>
        <v>77.17</v>
      </c>
      <c r="K16" s="3167" t="s">
        <v>2940</v>
      </c>
      <c r="L16" s="3169"/>
    </row>
    <row r="17" spans="2:12">
      <c r="B17">
        <v>915</v>
      </c>
      <c r="C17">
        <v>84.11</v>
      </c>
      <c r="G17" s="3167">
        <v>15</v>
      </c>
      <c r="H17" s="3167" t="s">
        <v>2938</v>
      </c>
      <c r="I17" s="3167" t="s">
        <v>2951</v>
      </c>
      <c r="J17" s="3167">
        <f t="shared" si="0"/>
        <v>84.11</v>
      </c>
      <c r="K17" s="3167" t="s">
        <v>2940</v>
      </c>
      <c r="L17" s="3169"/>
    </row>
    <row r="18" spans="2:12">
      <c r="B18">
        <v>916</v>
      </c>
      <c r="C18">
        <v>67.489999999999995</v>
      </c>
      <c r="G18" s="3167">
        <v>16</v>
      </c>
      <c r="H18" s="3167" t="s">
        <v>2939</v>
      </c>
      <c r="I18" s="3167" t="s">
        <v>2956</v>
      </c>
      <c r="J18" s="3167">
        <f t="shared" si="0"/>
        <v>67.489999999999995</v>
      </c>
      <c r="K18" s="3167" t="s">
        <v>2940</v>
      </c>
      <c r="L18" s="3169"/>
    </row>
    <row r="19" spans="2:12">
      <c r="B19" s="1341" t="s">
        <v>2891</v>
      </c>
      <c r="C19">
        <f>SUM(C3:C18)</f>
        <v>1642.01</v>
      </c>
      <c r="G19" s="3283" t="s">
        <v>2923</v>
      </c>
      <c r="H19" s="3283"/>
      <c r="I19" s="3283"/>
      <c r="J19" s="3167">
        <f>C19</f>
        <v>1642.01</v>
      </c>
      <c r="K19" s="3167"/>
      <c r="L19" s="3169"/>
    </row>
    <row r="25" spans="2:12">
      <c r="B25" s="3163">
        <v>1</v>
      </c>
    </row>
    <row r="26" spans="2:12">
      <c r="B26" s="3163">
        <v>2</v>
      </c>
    </row>
    <row r="27" spans="2:12">
      <c r="B27" s="3163">
        <v>3</v>
      </c>
    </row>
    <row r="28" spans="2:12">
      <c r="B28" s="3163">
        <v>4</v>
      </c>
    </row>
    <row r="29" spans="2:12">
      <c r="B29">
        <v>5</v>
      </c>
    </row>
    <row r="30" spans="2:12">
      <c r="B30">
        <v>6</v>
      </c>
    </row>
    <row r="31" spans="2:12">
      <c r="B31">
        <v>7</v>
      </c>
    </row>
    <row r="32" spans="2:12">
      <c r="B32">
        <v>8</v>
      </c>
    </row>
    <row r="33" spans="2:2">
      <c r="B33" s="3163">
        <v>9</v>
      </c>
    </row>
    <row r="34" spans="2:2">
      <c r="B34" s="3163">
        <v>10</v>
      </c>
    </row>
    <row r="35" spans="2:2">
      <c r="B35" s="3163">
        <v>11</v>
      </c>
    </row>
    <row r="36" spans="2:2">
      <c r="B36" s="3171"/>
    </row>
    <row r="37" spans="2:2">
      <c r="B37" s="3171"/>
    </row>
  </sheetData>
  <mergeCells count="1">
    <mergeCell ref="G19:I19"/>
  </mergeCells>
  <phoneticPr fontId="146" type="noConversion"/>
  <pageMargins left="0.70866141732283472" right="0.70866141732283472" top="0.74803149606299213" bottom="0.74803149606299213" header="0.31496062992125984" footer="0.31496062992125984"/>
  <pageSetup paperSize="9" scale="14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09" customWidth="1"/>
    <col min="4" max="4" width="2.625" style="2709" customWidth="1"/>
    <col min="5" max="5" width="5.875" style="2709" customWidth="1"/>
    <col min="6" max="6" width="27" style="2650"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7"/>
  </cols>
  <sheetData>
    <row r="1" spans="1:29" s="2694" customFormat="1" ht="19.5" thickBot="1">
      <c r="A1" s="3284" t="s">
        <v>1703</v>
      </c>
      <c r="B1" s="3285"/>
      <c r="C1" s="3285"/>
      <c r="D1" s="3285"/>
      <c r="E1" s="3285"/>
      <c r="F1" s="3285"/>
      <c r="G1" s="3285"/>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4" customFormat="1" ht="13.5" thickBot="1">
      <c r="A2" s="3097"/>
      <c r="B2" s="3098"/>
      <c r="C2" s="3099" t="s">
        <v>2845</v>
      </c>
      <c r="D2" s="3100"/>
      <c r="E2" s="3097"/>
      <c r="F2" s="3101"/>
      <c r="G2" s="3099" t="s">
        <v>2846</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4" customFormat="1" ht="36">
      <c r="A3" s="3103" t="s">
        <v>2847</v>
      </c>
      <c r="B3" s="3104" t="s">
        <v>2848</v>
      </c>
      <c r="C3" s="3105" t="s">
        <v>2849</v>
      </c>
      <c r="D3" s="3106"/>
      <c r="E3" s="3107" t="s">
        <v>2847</v>
      </c>
      <c r="F3" s="3108" t="s">
        <v>2850</v>
      </c>
      <c r="G3" s="3109" t="s">
        <v>2851</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4" customFormat="1" ht="24.75">
      <c r="A4" s="3107"/>
      <c r="B4" s="3091" t="s">
        <v>2852</v>
      </c>
      <c r="C4" s="3110" t="s">
        <v>2853</v>
      </c>
      <c r="D4" s="3106"/>
      <c r="E4" s="3111"/>
      <c r="F4" s="3093" t="s">
        <v>2854</v>
      </c>
      <c r="G4" s="3112" t="s">
        <v>2855</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4" customFormat="1" ht="24.75">
      <c r="A5" s="3107"/>
      <c r="B5" s="3091" t="s">
        <v>2856</v>
      </c>
      <c r="C5" s="3110" t="s">
        <v>2857</v>
      </c>
      <c r="D5" s="3106"/>
      <c r="E5" s="3111"/>
      <c r="F5" s="3091" t="s">
        <v>2858</v>
      </c>
      <c r="G5" s="3112" t="s">
        <v>2859</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4" customFormat="1" ht="36">
      <c r="A6" s="3107"/>
      <c r="B6" s="3091" t="s">
        <v>2860</v>
      </c>
      <c r="C6" s="3112" t="s">
        <v>2855</v>
      </c>
      <c r="D6" s="3106"/>
      <c r="E6" s="3111"/>
      <c r="F6" s="3091" t="s">
        <v>2861</v>
      </c>
      <c r="G6" s="3112" t="s">
        <v>2862</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4" customFormat="1" ht="24.75" thickBot="1">
      <c r="A7" s="3107"/>
      <c r="B7" s="3091" t="s">
        <v>2858</v>
      </c>
      <c r="C7" s="3112" t="s">
        <v>2859</v>
      </c>
      <c r="D7" s="2980"/>
      <c r="E7" s="3113"/>
      <c r="F7" s="3114" t="s">
        <v>2863</v>
      </c>
      <c r="G7" s="3115" t="s">
        <v>2864</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4" customFormat="1" ht="12.75">
      <c r="A8" s="3107"/>
      <c r="B8" s="3091" t="s">
        <v>2861</v>
      </c>
      <c r="C8" s="3112" t="s">
        <v>2862</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4" customFormat="1" ht="24">
      <c r="A9" s="3107"/>
      <c r="B9" s="3091" t="s">
        <v>2865</v>
      </c>
      <c r="C9" s="3110" t="s">
        <v>2866</v>
      </c>
      <c r="D9" s="3106"/>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6"/>
      <c r="B10" s="3095" t="s">
        <v>2867</v>
      </c>
      <c r="C10" s="3117"/>
      <c r="D10" s="3106"/>
      <c r="E10" s="3106"/>
      <c r="F10" s="2975"/>
      <c r="G10" s="2975"/>
      <c r="H10" s="1498"/>
      <c r="I10" s="3118"/>
      <c r="J10" s="3119"/>
      <c r="K10" s="1498"/>
      <c r="L10" s="3118"/>
      <c r="M10" s="3119"/>
      <c r="N10" s="1498"/>
      <c r="O10" s="3118"/>
      <c r="P10" s="3119"/>
      <c r="Q10" s="1498"/>
      <c r="R10" s="3118"/>
      <c r="S10" s="3102"/>
      <c r="T10" s="3102"/>
      <c r="U10" s="3102"/>
      <c r="V10" s="3102"/>
      <c r="W10" s="3102"/>
      <c r="X10" s="3102"/>
      <c r="Y10" s="3102"/>
      <c r="Z10" s="3102"/>
      <c r="AA10" s="3102"/>
      <c r="AB10" s="3102"/>
      <c r="AC10" s="3102"/>
    </row>
    <row r="11" spans="1:29" s="2673" customFormat="1" ht="12.75">
      <c r="A11" s="3120"/>
      <c r="B11" s="2980"/>
      <c r="C11" s="3106"/>
      <c r="D11" s="3106"/>
      <c r="E11" s="3106"/>
      <c r="F11" s="2980"/>
      <c r="G11" s="3121"/>
      <c r="H11" s="1498"/>
      <c r="I11" s="3118"/>
      <c r="J11" s="3119"/>
      <c r="K11" s="1498"/>
      <c r="L11" s="3118"/>
      <c r="M11" s="3119"/>
      <c r="N11" s="1498"/>
      <c r="O11" s="3118"/>
      <c r="P11" s="3119"/>
      <c r="Q11" s="1498"/>
      <c r="R11" s="3118"/>
      <c r="S11" s="3102"/>
      <c r="T11" s="3102"/>
      <c r="U11" s="3102"/>
      <c r="V11" s="3102"/>
      <c r="W11" s="3102"/>
      <c r="X11" s="3102"/>
      <c r="Y11" s="3102"/>
      <c r="Z11" s="3102"/>
      <c r="AA11" s="3102"/>
      <c r="AB11" s="3102"/>
      <c r="AC11" s="3102"/>
    </row>
    <row r="12" spans="1:29" s="2694" customFormat="1" ht="18">
      <c r="A12" s="2645"/>
      <c r="B12" s="2698"/>
      <c r="C12" s="2697"/>
      <c r="D12" s="2699"/>
      <c r="E12" s="2697"/>
      <c r="F12" s="2698"/>
      <c r="G12" s="1843"/>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1709</v>
      </c>
      <c r="B13" s="2699"/>
      <c r="C13" s="2699"/>
      <c r="D13" s="2695"/>
      <c r="E13" s="2699"/>
      <c r="F13" s="2699"/>
      <c r="G13" s="2699"/>
    </row>
    <row r="14" spans="1:29" s="2634" customFormat="1" ht="13.5" thickBot="1">
      <c r="A14" s="3122"/>
      <c r="B14" s="3122"/>
      <c r="C14" s="3123" t="s">
        <v>2868</v>
      </c>
      <c r="D14" s="3106"/>
      <c r="E14" s="3124"/>
      <c r="F14" s="3124"/>
      <c r="G14" s="3099" t="s">
        <v>2869</v>
      </c>
      <c r="H14" s="3125"/>
      <c r="I14" s="3126"/>
      <c r="J14" s="3125"/>
      <c r="K14" s="3125"/>
      <c r="L14" s="3126"/>
      <c r="M14" s="3125"/>
      <c r="N14" s="3125"/>
      <c r="O14" s="3126"/>
      <c r="P14" s="3125"/>
      <c r="Q14" s="3125"/>
      <c r="R14" s="3127"/>
      <c r="S14" s="3102"/>
      <c r="T14" s="3102"/>
      <c r="U14" s="3102"/>
      <c r="V14" s="3102"/>
      <c r="W14" s="3102"/>
      <c r="X14" s="3102"/>
      <c r="Y14" s="3102"/>
      <c r="Z14" s="3102"/>
      <c r="AA14" s="3102"/>
      <c r="AB14" s="3102"/>
      <c r="AC14" s="3102"/>
    </row>
    <row r="15" spans="1:29" s="2634" customFormat="1" ht="38.25">
      <c r="A15" s="3128" t="s">
        <v>2870</v>
      </c>
      <c r="B15" s="3129" t="s">
        <v>2848</v>
      </c>
      <c r="C15" s="3130" t="str">
        <f>C3</f>
        <v>估价对象周边居住用地比例、居住小区规模和社区发展完善程度，综合评价居住社区成熟度一般</v>
      </c>
      <c r="D15" s="3106"/>
      <c r="E15" s="3131" t="s">
        <v>2871</v>
      </c>
      <c r="F15" s="3129" t="s">
        <v>2872</v>
      </c>
      <c r="G15" s="3132" t="str">
        <f>G3</f>
        <v>估价对象位于XX开发区，园区建设成熟度XX，产业集聚程度XX</v>
      </c>
      <c r="H15" s="3125"/>
      <c r="I15" s="3126"/>
      <c r="J15" s="3125"/>
      <c r="K15" s="3125"/>
      <c r="L15" s="3126"/>
      <c r="M15" s="3125"/>
      <c r="N15" s="3125"/>
      <c r="O15" s="3126"/>
      <c r="P15" s="3125"/>
      <c r="Q15" s="3125"/>
      <c r="R15" s="3127"/>
      <c r="S15" s="3102"/>
      <c r="T15" s="3102"/>
      <c r="U15" s="3102"/>
      <c r="V15" s="3102"/>
      <c r="W15" s="3102"/>
      <c r="X15" s="3102"/>
      <c r="Y15" s="3102"/>
      <c r="Z15" s="3102"/>
      <c r="AA15" s="3102"/>
      <c r="AB15" s="3102"/>
      <c r="AC15" s="3102"/>
    </row>
    <row r="16" spans="1:29" s="2634" customFormat="1" ht="25.5">
      <c r="A16" s="3133"/>
      <c r="B16" s="2574" t="s">
        <v>2852</v>
      </c>
      <c r="C16" s="3134" t="str">
        <f>C4</f>
        <v>估价对象位于XX商圈，周边商业氛围成熟，人流量大，商业繁华度好</v>
      </c>
      <c r="D16" s="3106"/>
      <c r="E16" s="3135"/>
      <c r="F16" s="3092" t="s">
        <v>2854</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2"/>
      <c r="T16" s="3102"/>
      <c r="U16" s="3102"/>
      <c r="V16" s="3102"/>
      <c r="W16" s="3102"/>
      <c r="X16" s="3102"/>
      <c r="Y16" s="3102"/>
      <c r="Z16" s="3102"/>
      <c r="AA16" s="3102"/>
      <c r="AB16" s="3102"/>
      <c r="AC16" s="3102"/>
    </row>
    <row r="17" spans="1:29" s="2634" customFormat="1" ht="25.5">
      <c r="A17" s="3133"/>
      <c r="B17" s="2574" t="s">
        <v>2856</v>
      </c>
      <c r="C17" s="3134" t="str">
        <f>C5</f>
        <v>估价对象位于XX商圈，周边办公楼项目较多，入驻率高，办公集聚程度较好</v>
      </c>
      <c r="D17" s="2980"/>
      <c r="E17" s="3135"/>
      <c r="F17" s="3092" t="s">
        <v>2873</v>
      </c>
      <c r="G17" s="3137"/>
      <c r="H17" s="3125"/>
      <c r="I17" s="3126"/>
      <c r="J17" s="3125"/>
      <c r="K17" s="3125"/>
      <c r="L17" s="3126"/>
      <c r="M17" s="3125"/>
      <c r="N17" s="3125"/>
      <c r="O17" s="3126"/>
      <c r="P17" s="3125"/>
      <c r="Q17" s="3125"/>
      <c r="R17" s="3127"/>
      <c r="S17" s="3102"/>
      <c r="T17" s="3102"/>
      <c r="U17" s="3102"/>
      <c r="V17" s="3102"/>
      <c r="W17" s="3102"/>
      <c r="X17" s="3102"/>
      <c r="Y17" s="3102"/>
      <c r="Z17" s="3102"/>
      <c r="AA17" s="3102"/>
      <c r="AB17" s="3102"/>
      <c r="AC17" s="3102"/>
    </row>
    <row r="18" spans="1:29" s="2634" customFormat="1" ht="38.25">
      <c r="A18" s="3133"/>
      <c r="B18" s="3092" t="s">
        <v>2860</v>
      </c>
      <c r="C18" s="3136" t="str">
        <f>C6</f>
        <v>估价对象周边道路状况、公共交通通达情况、停车便捷程度，综合评价交通便捷度较好</v>
      </c>
      <c r="D18" s="2980"/>
      <c r="E18" s="3135"/>
      <c r="F18" s="3092" t="s">
        <v>2863</v>
      </c>
      <c r="G18" s="3136" t="str">
        <f>G7</f>
        <v>该园区内是否有污染型企业，绿化情况，卫生条件，整体环境状况判断</v>
      </c>
      <c r="H18" s="3125"/>
      <c r="I18" s="3126"/>
      <c r="J18" s="3125"/>
      <c r="K18" s="3125"/>
      <c r="L18" s="3126"/>
      <c r="M18" s="3125"/>
      <c r="N18" s="3125"/>
      <c r="O18" s="3126"/>
      <c r="P18" s="3125"/>
      <c r="Q18" s="3125"/>
      <c r="R18" s="3127"/>
      <c r="S18" s="3102"/>
      <c r="T18" s="3102"/>
      <c r="U18" s="3102"/>
      <c r="V18" s="3102"/>
      <c r="W18" s="3102"/>
      <c r="X18" s="3102"/>
      <c r="Y18" s="3102"/>
      <c r="Z18" s="3102"/>
      <c r="AA18" s="3102"/>
      <c r="AB18" s="3102"/>
      <c r="AC18" s="3102"/>
    </row>
    <row r="19" spans="1:29" s="2634" customFormat="1" ht="12.75">
      <c r="A19" s="3133"/>
      <c r="B19" s="3092" t="s">
        <v>2874</v>
      </c>
      <c r="C19" s="3137"/>
      <c r="D19" s="3106"/>
      <c r="E19" s="3135"/>
      <c r="F19" s="3091" t="s">
        <v>2858</v>
      </c>
      <c r="G19" s="3136" t="str">
        <f>G5</f>
        <v>估价对象所在区域公共配套设施齐备情况</v>
      </c>
      <c r="H19" s="3125"/>
      <c r="I19" s="3126"/>
      <c r="J19" s="3125"/>
      <c r="K19" s="3125"/>
      <c r="L19" s="3126"/>
      <c r="M19" s="3125"/>
      <c r="N19" s="3125"/>
      <c r="O19" s="3126"/>
      <c r="P19" s="3125"/>
      <c r="Q19" s="3125"/>
      <c r="R19" s="3127"/>
      <c r="S19" s="3102"/>
      <c r="T19" s="3102"/>
      <c r="U19" s="3102"/>
      <c r="V19" s="3102"/>
      <c r="W19" s="3102"/>
      <c r="X19" s="3102"/>
      <c r="Y19" s="3102"/>
      <c r="Z19" s="3102"/>
      <c r="AA19" s="3102"/>
      <c r="AB19" s="3102"/>
      <c r="AC19" s="3102"/>
    </row>
    <row r="20" spans="1:29" s="2634" customFormat="1" ht="25.5">
      <c r="A20" s="3133"/>
      <c r="B20" s="3092" t="s">
        <v>2875</v>
      </c>
      <c r="C20" s="3134" t="str">
        <f>C9</f>
        <v>区域自然环境：；人文环境；综合评价环境状况一般</v>
      </c>
      <c r="D20" s="2980"/>
      <c r="E20" s="3135"/>
      <c r="F20" s="3091" t="s">
        <v>2861</v>
      </c>
      <c r="G20" s="3136" t="str">
        <f>G6</f>
        <v>估价对象所在区域基础设施水平</v>
      </c>
      <c r="H20" s="3125"/>
      <c r="I20" s="3126"/>
      <c r="J20" s="3125"/>
      <c r="K20" s="3125"/>
      <c r="L20" s="3126"/>
      <c r="M20" s="3125"/>
      <c r="N20" s="3125"/>
      <c r="O20" s="3126"/>
      <c r="P20" s="3125"/>
      <c r="Q20" s="3125"/>
      <c r="R20" s="3127"/>
      <c r="S20" s="3102"/>
      <c r="T20" s="3102"/>
      <c r="U20" s="3102"/>
      <c r="V20" s="3102"/>
      <c r="W20" s="3102"/>
      <c r="X20" s="3102"/>
      <c r="Y20" s="3102"/>
      <c r="Z20" s="3102"/>
      <c r="AA20" s="3102"/>
      <c r="AB20" s="3102"/>
      <c r="AC20" s="3102"/>
    </row>
    <row r="21" spans="1:29" s="2634" customFormat="1" ht="25.5">
      <c r="A21" s="3133"/>
      <c r="B21" s="3091" t="s">
        <v>2858</v>
      </c>
      <c r="C21" s="3136" t="str">
        <f>C7</f>
        <v>估价对象所在区域公共配套设施齐备情况</v>
      </c>
      <c r="D21" s="3106"/>
      <c r="E21" s="3135"/>
      <c r="F21" s="3092" t="s">
        <v>2876</v>
      </c>
      <c r="G21" s="3138"/>
      <c r="H21" s="3125"/>
      <c r="I21" s="3126"/>
      <c r="J21" s="3125"/>
      <c r="K21" s="3125"/>
      <c r="L21" s="3126"/>
      <c r="M21" s="3125"/>
      <c r="N21" s="3125"/>
      <c r="O21" s="3126"/>
      <c r="P21" s="3125"/>
      <c r="Q21" s="3125"/>
      <c r="R21" s="3127"/>
      <c r="S21" s="3102"/>
      <c r="T21" s="3102"/>
      <c r="U21" s="3102"/>
      <c r="V21" s="3102"/>
      <c r="W21" s="3102"/>
      <c r="X21" s="3102"/>
      <c r="Y21" s="3102"/>
      <c r="Z21" s="3102"/>
      <c r="AA21" s="3102"/>
      <c r="AB21" s="3102"/>
      <c r="AC21" s="3102"/>
    </row>
    <row r="22" spans="1:29" s="2634" customFormat="1" ht="12.75">
      <c r="A22" s="3133"/>
      <c r="B22" s="3091" t="s">
        <v>2861</v>
      </c>
      <c r="C22" s="3136" t="str">
        <f>C8</f>
        <v>估价对象所在区域基础设施水平</v>
      </c>
      <c r="D22" s="3106"/>
      <c r="E22" s="3135"/>
      <c r="F22" s="3092" t="s">
        <v>2867</v>
      </c>
      <c r="G22" s="3139"/>
      <c r="H22" s="3125"/>
      <c r="I22" s="3126"/>
      <c r="J22" s="3125"/>
      <c r="K22" s="3125"/>
      <c r="L22" s="3126"/>
      <c r="M22" s="3125"/>
      <c r="N22" s="3125"/>
      <c r="O22" s="3126"/>
      <c r="P22" s="3125"/>
      <c r="Q22" s="3125"/>
      <c r="R22" s="3127"/>
      <c r="S22" s="3102"/>
      <c r="T22" s="3102"/>
      <c r="U22" s="3102"/>
      <c r="V22" s="3102"/>
      <c r="W22" s="3102"/>
      <c r="X22" s="3102"/>
      <c r="Y22" s="3102"/>
      <c r="Z22" s="3102"/>
      <c r="AA22" s="3102"/>
      <c r="AB22" s="3102"/>
      <c r="AC22" s="3102"/>
    </row>
    <row r="23" spans="1:29" s="3102" customFormat="1" ht="13.5" thickBot="1">
      <c r="A23" s="3133"/>
      <c r="B23" s="3092" t="s">
        <v>2876</v>
      </c>
      <c r="C23" s="3138"/>
      <c r="D23" s="3125"/>
      <c r="E23" s="3140"/>
      <c r="F23" s="3094" t="s">
        <v>2877</v>
      </c>
      <c r="G23" s="3141"/>
      <c r="H23" s="3125"/>
      <c r="I23" s="3126"/>
      <c r="J23" s="3125"/>
      <c r="K23" s="3125"/>
      <c r="L23" s="3126"/>
      <c r="M23" s="3125"/>
      <c r="N23" s="3125"/>
      <c r="O23" s="3126"/>
      <c r="P23" s="3125"/>
      <c r="Q23" s="3125"/>
      <c r="R23" s="3127"/>
    </row>
    <row r="24" spans="1:29" s="3102" customFormat="1" ht="13.5" thickBot="1">
      <c r="A24" s="3142"/>
      <c r="B24" s="3094" t="s">
        <v>2878</v>
      </c>
      <c r="C24" s="3143">
        <f>C10</f>
        <v>0</v>
      </c>
      <c r="D24" s="3125"/>
      <c r="E24" s="3144"/>
      <c r="F24" s="3144"/>
      <c r="G24" s="3145"/>
      <c r="H24" s="3125"/>
      <c r="I24" s="3126"/>
      <c r="J24" s="3125"/>
      <c r="K24" s="3125"/>
      <c r="L24" s="3126"/>
      <c r="M24" s="3125"/>
      <c r="N24" s="3125"/>
      <c r="O24" s="3126"/>
      <c r="P24" s="3125"/>
      <c r="Q24" s="3125"/>
      <c r="R24" s="3127"/>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G29" sqref="G29"/>
    </sheetView>
  </sheetViews>
  <sheetFormatPr defaultColWidth="14.625" defaultRowHeight="13.5"/>
  <cols>
    <col min="1" max="1" width="24.375" style="2583" customWidth="1"/>
    <col min="2" max="16384" width="14.625" style="2583"/>
  </cols>
  <sheetData>
    <row r="1" spans="1:9" ht="16.5">
      <c r="A1" s="2581" t="s">
        <v>1212</v>
      </c>
      <c r="B1" s="2581">
        <f>SUM(B14:B23)</f>
        <v>1642.01</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44547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4683.5599999999995</v>
      </c>
      <c r="C5" s="2581">
        <f ca="1">ROUND(B5*10000/$B$1,0)</f>
        <v>28523</v>
      </c>
      <c r="D5" s="2581" t="e">
        <f ca="1">ROUND(B5*10000/$B$2,0)</f>
        <v>#DIV/0!</v>
      </c>
      <c r="E5" s="1634"/>
      <c r="F5" s="2582"/>
      <c r="G5" s="2582"/>
    </row>
    <row r="6" spans="1:9" ht="16.5">
      <c r="A6" s="2581" t="s">
        <v>1220</v>
      </c>
      <c r="B6" s="2581">
        <f ca="1">SUM(G14:G23)</f>
        <v>4683.5599999999995</v>
      </c>
      <c r="C6" s="2581">
        <f t="shared" ref="C6:C8" ca="1" si="0">ROUND(B6*10000/$B$1,0)</f>
        <v>28523</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 ca="1">SUM(I14:I23)</f>
        <v>4681.2199999999993</v>
      </c>
      <c r="C8" s="2581">
        <f t="shared" ca="1" si="0"/>
        <v>28509</v>
      </c>
      <c r="D8" s="2581" t="e">
        <f t="shared" ca="1"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5" t="s">
        <v>1238</v>
      </c>
      <c r="B14" s="2915">
        <f>项目基本情况!C12</f>
        <v>1642.01</v>
      </c>
      <c r="C14" s="2915">
        <f>项目基本情况!C13</f>
        <v>0</v>
      </c>
      <c r="D14" s="2915">
        <f ca="1">Sheet1!E21</f>
        <v>4683.5599999999995</v>
      </c>
      <c r="E14" s="2915">
        <f ca="1">ROUND(D14*10000/B14,0)</f>
        <v>28523</v>
      </c>
      <c r="F14" s="2915" t="e">
        <f ca="1">ROUND(D14*10000/C14,0)</f>
        <v>#DIV/0!</v>
      </c>
      <c r="G14" s="2915">
        <f ca="1">D14</f>
        <v>4683.5599999999995</v>
      </c>
      <c r="H14" s="2915" t="str">
        <f>IF('数据-取费表'!B3="万元",IF(A14="估价对象1（结果表）",结果表!D127,'结果表 (1修多)'!D131),IF(A14="估价对象1（结果表）",结果表!D127,'结果表 (1修多)'!D131)/10000)</f>
        <v>——</v>
      </c>
      <c r="I14" s="2915">
        <f ca="1">Sheet1!G21</f>
        <v>4681.2199999999993</v>
      </c>
    </row>
    <row r="15" spans="1:9" ht="16.5">
      <c r="A15" s="2588" t="s">
        <v>1229</v>
      </c>
      <c r="B15" s="2589"/>
      <c r="C15" s="2589"/>
      <c r="D15" s="2589"/>
      <c r="E15" s="2915" t="e">
        <f t="shared" ref="E15:E23" si="2">ROUND(D15*10000/B15,0)</f>
        <v>#DIV/0!</v>
      </c>
      <c r="F15" s="2915" t="e">
        <f t="shared" ref="F15:F23" si="3">ROUND(D15*10000/C15,0)</f>
        <v>#DIV/0!</v>
      </c>
      <c r="G15" s="1305"/>
      <c r="H15" s="1305"/>
      <c r="I15" s="2589"/>
    </row>
    <row r="16" spans="1:9" ht="16.5">
      <c r="A16" s="2588" t="s">
        <v>1230</v>
      </c>
      <c r="B16" s="2589"/>
      <c r="C16" s="2589"/>
      <c r="D16" s="2589"/>
      <c r="E16" s="2915" t="e">
        <f t="shared" si="2"/>
        <v>#DIV/0!</v>
      </c>
      <c r="F16" s="2915" t="e">
        <f t="shared" si="3"/>
        <v>#DIV/0!</v>
      </c>
      <c r="G16" s="1305"/>
      <c r="H16" s="1305"/>
      <c r="I16" s="2589"/>
    </row>
    <row r="17" spans="1:9" ht="16.5">
      <c r="A17" s="2588" t="s">
        <v>1231</v>
      </c>
      <c r="B17" s="2589"/>
      <c r="C17" s="2589"/>
      <c r="D17" s="2589"/>
      <c r="E17" s="2915" t="e">
        <f t="shared" si="2"/>
        <v>#DIV/0!</v>
      </c>
      <c r="F17" s="2915" t="e">
        <f t="shared" si="3"/>
        <v>#DIV/0!</v>
      </c>
      <c r="G17" s="1305"/>
      <c r="H17" s="1305"/>
      <c r="I17" s="2589"/>
    </row>
    <row r="18" spans="1:9" ht="16.5">
      <c r="A18" s="2588" t="s">
        <v>1232</v>
      </c>
      <c r="B18" s="2589"/>
      <c r="C18" s="2589"/>
      <c r="D18" s="2589"/>
      <c r="E18" s="2915" t="e">
        <f t="shared" si="2"/>
        <v>#DIV/0!</v>
      </c>
      <c r="F18" s="2915" t="e">
        <f t="shared" si="3"/>
        <v>#DIV/0!</v>
      </c>
      <c r="G18" s="2589"/>
      <c r="H18" s="2589"/>
      <c r="I18" s="2589"/>
    </row>
    <row r="19" spans="1:9" ht="16.5">
      <c r="A19" s="2588" t="s">
        <v>1233</v>
      </c>
      <c r="B19" s="2589"/>
      <c r="C19" s="2589"/>
      <c r="D19" s="2589"/>
      <c r="E19" s="2915" t="e">
        <f t="shared" si="2"/>
        <v>#DIV/0!</v>
      </c>
      <c r="F19" s="2915" t="e">
        <f t="shared" si="3"/>
        <v>#DIV/0!</v>
      </c>
      <c r="G19" s="2589"/>
      <c r="H19" s="2589"/>
      <c r="I19" s="2589"/>
    </row>
    <row r="20" spans="1:9" ht="16.5">
      <c r="A20" s="2588" t="s">
        <v>1234</v>
      </c>
      <c r="B20" s="2589"/>
      <c r="C20" s="2589"/>
      <c r="D20" s="2589"/>
      <c r="E20" s="2915" t="e">
        <f t="shared" si="2"/>
        <v>#DIV/0!</v>
      </c>
      <c r="F20" s="2915" t="e">
        <f t="shared" si="3"/>
        <v>#DIV/0!</v>
      </c>
      <c r="G20" s="2589"/>
      <c r="H20" s="2589"/>
      <c r="I20" s="2589"/>
    </row>
    <row r="21" spans="1:9" ht="16.5">
      <c r="A21" s="2588" t="s">
        <v>1235</v>
      </c>
      <c r="B21" s="2589"/>
      <c r="C21" s="2589"/>
      <c r="D21" s="2589"/>
      <c r="E21" s="2915" t="e">
        <f t="shared" si="2"/>
        <v>#DIV/0!</v>
      </c>
      <c r="F21" s="2915" t="e">
        <f t="shared" si="3"/>
        <v>#DIV/0!</v>
      </c>
      <c r="G21" s="2589"/>
      <c r="H21" s="2589"/>
      <c r="I21" s="2589"/>
    </row>
    <row r="22" spans="1:9" ht="16.5">
      <c r="A22" s="2588" t="s">
        <v>1236</v>
      </c>
      <c r="B22" s="2589"/>
      <c r="C22" s="2589"/>
      <c r="D22" s="2589"/>
      <c r="E22" s="2915" t="e">
        <f t="shared" si="2"/>
        <v>#DIV/0!</v>
      </c>
      <c r="F22" s="2915" t="e">
        <f t="shared" si="3"/>
        <v>#DIV/0!</v>
      </c>
      <c r="G22" s="2589"/>
      <c r="H22" s="2589"/>
      <c r="I22" s="2589"/>
    </row>
    <row r="23" spans="1:9" ht="16.5">
      <c r="A23" s="2588" t="s">
        <v>1237</v>
      </c>
      <c r="B23" s="2589"/>
      <c r="C23" s="2589"/>
      <c r="D23" s="2589"/>
      <c r="E23" s="2916" t="e">
        <f t="shared" si="2"/>
        <v>#DIV/0!</v>
      </c>
      <c r="F23" s="2916"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49" zoomScale="80" zoomScaleNormal="100" zoomScaleSheetLayoutView="80" zoomScalePageLayoutView="80" workbookViewId="0">
      <selection activeCell="C77" sqref="C77"/>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1879</v>
      </c>
      <c r="B1" s="1461"/>
      <c r="C1" s="1461"/>
      <c r="D1" s="1461"/>
      <c r="E1" s="1461"/>
      <c r="F1" s="1461"/>
      <c r="G1" s="1461"/>
      <c r="H1" s="1461"/>
      <c r="I1" s="1461"/>
    </row>
    <row r="2" spans="1:15" ht="21.75" customHeight="1">
      <c r="A2" s="3383" t="s">
        <v>1880</v>
      </c>
      <c r="B2" s="3383"/>
      <c r="C2" s="3383"/>
      <c r="D2" s="3383"/>
      <c r="E2" s="3383"/>
      <c r="F2" s="3383"/>
      <c r="G2" s="3383"/>
      <c r="H2" s="3383"/>
      <c r="I2" s="3383"/>
      <c r="J2" s="2873"/>
    </row>
    <row r="3" spans="1:15" ht="12.75">
      <c r="A3" s="3384" t="s">
        <v>1711</v>
      </c>
      <c r="B3" s="3385"/>
      <c r="C3" s="3385"/>
      <c r="D3" s="3385"/>
      <c r="E3" s="3385"/>
      <c r="F3" s="3385"/>
      <c r="G3" s="3385"/>
      <c r="H3" s="3385"/>
      <c r="I3" s="3385"/>
      <c r="J3" s="2843"/>
    </row>
    <row r="4" spans="1:15" ht="14.25">
      <c r="A4" s="2711" t="s">
        <v>1712</v>
      </c>
      <c r="B4" s="2711" t="s">
        <v>1713</v>
      </c>
      <c r="C4" s="2712" t="s">
        <v>2911</v>
      </c>
      <c r="D4" s="2712" t="s">
        <v>2912</v>
      </c>
      <c r="E4" s="3302" t="s">
        <v>1881</v>
      </c>
      <c r="F4" s="3307"/>
      <c r="G4" s="3307"/>
      <c r="H4" s="3307"/>
      <c r="I4" s="3308"/>
      <c r="J4" s="2844"/>
      <c r="L4" s="1461" t="str">
        <f>IF(ISNUMBER(FIND("比较法",'结果表 (1修多)'!C4)),"比较法",IF(ISNUMBER(FIND("成本法",'结果表 (1修多)'!C4)),"成本法",IF(ISNUMBER(FIND("假设开发法",'结果表 (1修多)'!C4)),"假设开发法",IF(ISNUMBER(FIND("收益法",'结果表 (1修多)'!C4)),"收益法","基准地价系数修正法"))))</f>
        <v>比较法</v>
      </c>
      <c r="M4" s="1461" t="str">
        <f>IF(ISNUMBER(FIND("比较法",'结果表 (1修多)'!D4)),"比较法",IF(ISNUMBER(FIND("成本法",'结果表 (1修多)'!D4)),"成本法",IF(ISNUMBER(FIND("假设开发法",'结果表 (1修多)'!D4)),"假设开发法",IF(ISNUMBER(FIND("收益法",'结果表 (1修多)'!D4)),"收益法","基准地价系数修正法"))))</f>
        <v>收益法</v>
      </c>
      <c r="N4" s="1461"/>
      <c r="O4" s="1461"/>
    </row>
    <row r="5" spans="1:15" ht="12.75">
      <c r="A5" s="3386" t="s">
        <v>1715</v>
      </c>
      <c r="B5" s="3386">
        <v>25</v>
      </c>
      <c r="C5" s="3387"/>
      <c r="D5" s="3390"/>
      <c r="E5" s="12" t="s">
        <v>1716</v>
      </c>
      <c r="F5" s="2089"/>
      <c r="G5" s="2089"/>
      <c r="H5" s="2089"/>
      <c r="I5" s="2084"/>
      <c r="J5" s="2844"/>
    </row>
    <row r="6" spans="1:15" ht="12.75">
      <c r="A6" s="3386"/>
      <c r="B6" s="3386"/>
      <c r="C6" s="3388"/>
      <c r="D6" s="3390"/>
      <c r="E6" s="12" t="s">
        <v>1717</v>
      </c>
      <c r="F6" s="2089"/>
      <c r="G6" s="2089"/>
      <c r="H6" s="2089"/>
      <c r="I6" s="2084"/>
      <c r="J6" s="2844"/>
    </row>
    <row r="7" spans="1:15" ht="12.75">
      <c r="A7" s="3386"/>
      <c r="B7" s="3386"/>
      <c r="C7" s="3389"/>
      <c r="D7" s="3390"/>
      <c r="E7" s="12" t="s">
        <v>1718</v>
      </c>
      <c r="F7" s="2089"/>
      <c r="G7" s="2089"/>
      <c r="H7" s="2089"/>
      <c r="I7" s="2084"/>
      <c r="J7" s="2844"/>
    </row>
    <row r="8" spans="1:15" ht="12.75">
      <c r="A8" s="3386" t="s">
        <v>1719</v>
      </c>
      <c r="B8" s="3386">
        <v>15</v>
      </c>
      <c r="C8" s="3387"/>
      <c r="D8" s="3390"/>
      <c r="E8" s="12" t="s">
        <v>1720</v>
      </c>
      <c r="F8" s="2089"/>
      <c r="G8" s="2089"/>
      <c r="H8" s="2089"/>
      <c r="I8" s="2084"/>
      <c r="J8" s="2844"/>
    </row>
    <row r="9" spans="1:15" ht="12.75">
      <c r="A9" s="3386"/>
      <c r="B9" s="3386"/>
      <c r="C9" s="3389"/>
      <c r="D9" s="3390"/>
      <c r="E9" s="12" t="s">
        <v>1721</v>
      </c>
      <c r="F9" s="2089"/>
      <c r="G9" s="2089"/>
      <c r="H9" s="2089"/>
      <c r="I9" s="2084"/>
      <c r="J9" s="2844"/>
    </row>
    <row r="10" spans="1:15" ht="12.75">
      <c r="A10" s="3386" t="s">
        <v>1722</v>
      </c>
      <c r="B10" s="3386">
        <v>15</v>
      </c>
      <c r="C10" s="3387"/>
      <c r="D10" s="3390"/>
      <c r="E10" s="12" t="s">
        <v>1723</v>
      </c>
      <c r="F10" s="2089"/>
      <c r="G10" s="2089"/>
      <c r="H10" s="2089"/>
      <c r="I10" s="2084"/>
      <c r="J10" s="2844"/>
    </row>
    <row r="11" spans="1:15" ht="12.75">
      <c r="A11" s="3386"/>
      <c r="B11" s="3386"/>
      <c r="C11" s="3389"/>
      <c r="D11" s="3390"/>
      <c r="E11" s="12" t="s">
        <v>1724</v>
      </c>
      <c r="F11" s="2089"/>
      <c r="G11" s="2089"/>
      <c r="H11" s="2089"/>
      <c r="I11" s="2084"/>
      <c r="J11" s="2844"/>
    </row>
    <row r="12" spans="1:15" ht="12.75">
      <c r="A12" s="3386" t="s">
        <v>1725</v>
      </c>
      <c r="B12" s="3386">
        <v>15</v>
      </c>
      <c r="C12" s="3387"/>
      <c r="D12" s="3390"/>
      <c r="E12" s="12" t="s">
        <v>1726</v>
      </c>
      <c r="F12" s="2089"/>
      <c r="G12" s="2089"/>
      <c r="H12" s="2089"/>
      <c r="I12" s="2084"/>
      <c r="J12" s="2844"/>
    </row>
    <row r="13" spans="1:15" ht="12.75">
      <c r="A13" s="3386"/>
      <c r="B13" s="3386"/>
      <c r="C13" s="3389"/>
      <c r="D13" s="3390"/>
      <c r="E13" s="12" t="s">
        <v>1727</v>
      </c>
      <c r="F13" s="2089"/>
      <c r="G13" s="2089"/>
      <c r="H13" s="2089"/>
      <c r="I13" s="2084"/>
      <c r="J13" s="2844"/>
    </row>
    <row r="14" spans="1:15" ht="12.75">
      <c r="A14" s="3386" t="s">
        <v>1728</v>
      </c>
      <c r="B14" s="3386">
        <v>30</v>
      </c>
      <c r="C14" s="3395">
        <v>7</v>
      </c>
      <c r="D14" s="3398">
        <f>10-C14</f>
        <v>3</v>
      </c>
      <c r="E14" s="12" t="s">
        <v>1729</v>
      </c>
      <c r="F14" s="2089"/>
      <c r="G14" s="2089"/>
      <c r="H14" s="2089"/>
      <c r="I14" s="2084"/>
      <c r="J14" s="2844"/>
    </row>
    <row r="15" spans="1:15" ht="12.75">
      <c r="A15" s="3386"/>
      <c r="B15" s="3386"/>
      <c r="C15" s="3396"/>
      <c r="D15" s="3398"/>
      <c r="E15" s="12" t="s">
        <v>1730</v>
      </c>
      <c r="F15" s="2089"/>
      <c r="G15" s="2089"/>
      <c r="H15" s="2089"/>
      <c r="I15" s="2084"/>
      <c r="J15" s="2844"/>
    </row>
    <row r="16" spans="1:15" ht="12.75">
      <c r="A16" s="3386"/>
      <c r="B16" s="3386"/>
      <c r="C16" s="3397"/>
      <c r="D16" s="3398"/>
      <c r="E16" s="12" t="s">
        <v>1731</v>
      </c>
      <c r="F16" s="2089"/>
      <c r="G16" s="2089"/>
      <c r="H16" s="2089"/>
      <c r="I16" s="2084"/>
      <c r="J16" s="2844"/>
    </row>
    <row r="17" spans="1:36" ht="15">
      <c r="A17" s="2713" t="s">
        <v>1732</v>
      </c>
      <c r="B17" s="2094"/>
      <c r="C17" s="2714">
        <f>SUM(C5:C16)</f>
        <v>7</v>
      </c>
      <c r="D17" s="2714">
        <f>SUM(D5:D16)</f>
        <v>3</v>
      </c>
      <c r="E17" s="2563"/>
      <c r="F17" s="2563"/>
      <c r="G17" s="2563"/>
      <c r="H17" s="2563"/>
      <c r="I17" s="2563"/>
      <c r="J17" s="2845"/>
    </row>
    <row r="18" spans="1:36" ht="32.450000000000003" customHeight="1" thickBot="1">
      <c r="A18" s="2715" t="s">
        <v>1733</v>
      </c>
      <c r="B18" s="2716"/>
      <c r="C18" s="2717">
        <f>ROUND(C17/SUM(C17:D17),2)</f>
        <v>0.7</v>
      </c>
      <c r="D18" s="2717">
        <f>1-C18</f>
        <v>0.30000000000000004</v>
      </c>
      <c r="E18" s="3399" t="s">
        <v>2813</v>
      </c>
      <c r="F18" s="3400"/>
      <c r="G18" s="3400"/>
      <c r="H18" s="3400"/>
      <c r="I18" s="3400"/>
      <c r="J18" s="2845"/>
    </row>
    <row r="19" spans="1:36" ht="15">
      <c r="A19" s="2718" t="s">
        <v>1734</v>
      </c>
      <c r="B19" s="2719" t="s">
        <v>1735</v>
      </c>
      <c r="C19" s="2720">
        <f ca="1">SUMIF(INDIRECT("'"&amp;C4&amp;"'"&amp;"!A:A"),'结果表 (1修多)'!B19,INDIRECT("'"&amp;C4&amp;"'"&amp;"!B:B"))</f>
        <v>749</v>
      </c>
      <c r="D19" s="2721">
        <f ca="1">SUMIF(INDIRECT("'"&amp;D4&amp;"'"&amp;"!A:A"),'结果表 (1修多)'!B19,INDIRECT("'"&amp;D4&amp;"'"&amp;"!B:B"))</f>
        <v>415</v>
      </c>
      <c r="E19" s="2718" t="s">
        <v>1736</v>
      </c>
      <c r="F19" s="2719" t="s">
        <v>1735</v>
      </c>
      <c r="G19" s="2722">
        <f ca="1">ROUND(C19*$C$18+D19*$D$18,0)</f>
        <v>649</v>
      </c>
      <c r="H19" s="2723" t="str">
        <f>'数据-取费表'!B3</f>
        <v>万元</v>
      </c>
      <c r="I19" s="2563"/>
      <c r="J19" s="2845"/>
    </row>
    <row r="20" spans="1:36" ht="15">
      <c r="A20" s="2724"/>
      <c r="B20" s="1694" t="s">
        <v>1737</v>
      </c>
      <c r="C20" s="1919">
        <f ca="1">SUMIF(INDIRECT("'"&amp;C4&amp;"'"&amp;"!A:A"),'结果表 (1修多)'!B20,INDIRECT("'"&amp;C4&amp;"'"&amp;"!B:B"))</f>
        <v>32620</v>
      </c>
      <c r="D20" s="1922">
        <f ca="1">SUMIF(INDIRECT("'"&amp;D4&amp;"'"&amp;"!A:A"),'结果表 (1修多)'!B20,INDIRECT("'"&amp;D4&amp;"'"&amp;"!B:B"))</f>
        <v>18070</v>
      </c>
      <c r="E20" s="2724"/>
      <c r="F20" s="1694" t="s">
        <v>1737</v>
      </c>
      <c r="G20" s="2093">
        <f ca="1">ROUND(C20*$C$18+D20*$D$18,0)</f>
        <v>28255</v>
      </c>
      <c r="H20" s="2725" t="s">
        <v>1738</v>
      </c>
      <c r="I20" s="2563"/>
      <c r="J20" s="2845"/>
    </row>
    <row r="21" spans="1:36" ht="15" customHeight="1" thickBot="1">
      <c r="A21" s="2726"/>
      <c r="B21" s="2727"/>
      <c r="C21" s="2727"/>
      <c r="D21" s="2728"/>
      <c r="E21" s="2726"/>
      <c r="F21" s="2727"/>
      <c r="G21" s="2729"/>
      <c r="H21" s="2730"/>
      <c r="I21" s="2563"/>
      <c r="J21" s="2845"/>
    </row>
    <row r="22" spans="1:36" ht="15" thickBot="1">
      <c r="A22" s="2731" t="s">
        <v>1739</v>
      </c>
      <c r="B22" s="2732"/>
      <c r="C22" s="2647"/>
      <c r="D22" s="2733">
        <f ca="1">IF(C19&lt;D19,D19/C19-1,C19/D19-1)</f>
        <v>0.80481927710843371</v>
      </c>
      <c r="E22" s="947"/>
      <c r="F22" s="947"/>
      <c r="G22" s="947"/>
      <c r="H22" s="947"/>
      <c r="I22" s="947"/>
      <c r="J22" s="2845"/>
    </row>
    <row r="23" spans="1:36" ht="13.5" thickBot="1">
      <c r="A23" s="2563"/>
      <c r="B23" s="2563"/>
      <c r="C23" s="2563"/>
      <c r="D23" s="2563"/>
      <c r="E23" s="947"/>
      <c r="F23" s="947"/>
      <c r="G23" s="947"/>
      <c r="H23" s="947"/>
      <c r="I23" s="947"/>
      <c r="J23" s="2845"/>
    </row>
    <row r="24" spans="1:36" ht="21.75" customHeight="1">
      <c r="A24" s="3391" t="s">
        <v>1740</v>
      </c>
      <c r="B24" s="2719" t="s">
        <v>1735</v>
      </c>
      <c r="C24" s="2722">
        <f>D30</f>
        <v>0</v>
      </c>
      <c r="D24" s="2674"/>
      <c r="E24" s="947"/>
      <c r="F24" s="947"/>
      <c r="G24" s="947"/>
      <c r="H24" s="947"/>
      <c r="I24" s="947"/>
      <c r="J24" s="2845"/>
    </row>
    <row r="25" spans="1:36" ht="21.75" customHeight="1">
      <c r="A25" s="3392"/>
      <c r="B25" s="1694" t="s">
        <v>1737</v>
      </c>
      <c r="C25" s="2734">
        <f>IF(B30=0,0,C30)</f>
        <v>0</v>
      </c>
      <c r="D25" s="2735"/>
      <c r="E25" s="947"/>
      <c r="F25" s="947"/>
      <c r="G25" s="947"/>
      <c r="H25" s="947"/>
      <c r="I25" s="947"/>
      <c r="J25" s="2845"/>
    </row>
    <row r="26" spans="1:36" ht="13.5" customHeight="1">
      <c r="A26" s="2736" t="s">
        <v>1741</v>
      </c>
      <c r="B26" s="2737" t="s">
        <v>1742</v>
      </c>
      <c r="C26" s="2737" t="s">
        <v>1743</v>
      </c>
      <c r="D26" s="2738" t="s">
        <v>1744</v>
      </c>
      <c r="E26" s="947"/>
      <c r="F26" s="947"/>
      <c r="G26" s="947"/>
      <c r="H26" s="947"/>
      <c r="I26" s="947"/>
      <c r="J26" s="2845"/>
    </row>
    <row r="27" spans="1:36" ht="14.25">
      <c r="A27" s="2739" t="s">
        <v>1882</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1883</v>
      </c>
      <c r="B30" s="2773"/>
      <c r="C30" s="2773"/>
      <c r="D30" s="2773"/>
      <c r="E30" s="2740" t="s">
        <v>2817</v>
      </c>
      <c r="F30" s="2563"/>
      <c r="G30" s="2563"/>
      <c r="H30" s="2563"/>
      <c r="I30" s="2563"/>
      <c r="J30" s="2845"/>
    </row>
    <row r="31" spans="1:36" s="2838" customFormat="1" ht="27.6" customHeight="1" thickTop="1" thickBot="1">
      <c r="A31" s="2833"/>
      <c r="B31" s="2834"/>
      <c r="C31" s="2834"/>
      <c r="D31" s="2834"/>
      <c r="E31" s="2834"/>
      <c r="F31" s="2834"/>
      <c r="G31" s="2834"/>
      <c r="H31" s="2834"/>
      <c r="I31" s="2835" t="s">
        <v>2818</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5" customFormat="1" ht="16.5" thickTop="1" thickBot="1">
      <c r="A32" s="3294" t="s">
        <v>1884</v>
      </c>
      <c r="B32" s="3294"/>
      <c r="C32" s="3294"/>
      <c r="D32" s="3294"/>
      <c r="E32" s="3294"/>
      <c r="F32" s="3294"/>
      <c r="G32" s="3294"/>
      <c r="H32" s="3294"/>
      <c r="I32" s="3294"/>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4" t="s">
        <v>1885</v>
      </c>
      <c r="C33" s="2775">
        <f ca="1">典型户型修正!R27</f>
        <v>28255</v>
      </c>
      <c r="D33" s="2563" t="s">
        <v>1886</v>
      </c>
      <c r="E33" s="947"/>
      <c r="F33" s="947"/>
      <c r="G33" s="947"/>
      <c r="H33" s="947"/>
      <c r="I33" s="947"/>
      <c r="J33" s="2845"/>
    </row>
    <row r="34" spans="1:16" ht="15">
      <c r="A34" s="1512" t="s">
        <v>1887</v>
      </c>
      <c r="B34" s="2776" t="s">
        <v>1888</v>
      </c>
      <c r="C34" s="2777">
        <f ca="1">典型户型修正!B2</f>
        <v>4684</v>
      </c>
      <c r="D34" s="2778" t="str">
        <f>IF('数据-取费表'!B3="万元","万元","元")</f>
        <v>万元</v>
      </c>
      <c r="E34" s="947"/>
      <c r="F34" s="947"/>
      <c r="G34" s="947"/>
      <c r="H34" s="947"/>
      <c r="I34" s="947"/>
      <c r="J34" s="2845"/>
    </row>
    <row r="35" spans="1:16" ht="15.75" thickBot="1">
      <c r="A35" s="1513"/>
      <c r="B35" s="2779" t="s">
        <v>1889</v>
      </c>
      <c r="C35" s="2728">
        <f ca="1">典型户型修正!B3</f>
        <v>28526</v>
      </c>
      <c r="D35" s="2563" t="s">
        <v>1890</v>
      </c>
      <c r="E35" s="947"/>
      <c r="F35" s="947"/>
      <c r="G35" s="947"/>
      <c r="H35" s="947"/>
      <c r="I35" s="947"/>
      <c r="J35" s="2845"/>
    </row>
    <row r="36" spans="1:16" ht="15">
      <c r="A36" s="1514"/>
      <c r="B36" s="1468" t="s">
        <v>1891</v>
      </c>
      <c r="C36" s="2780">
        <f>IF('数据-取费表'!B3="万元",典型户型修正!V25,典型户型修正!U25)</f>
        <v>0</v>
      </c>
      <c r="D36" s="2563" t="str">
        <f>D34</f>
        <v>万元</v>
      </c>
      <c r="E36" s="947"/>
      <c r="F36" s="947"/>
      <c r="G36" s="947"/>
      <c r="H36" s="947"/>
      <c r="I36" s="947"/>
      <c r="J36" s="2845"/>
    </row>
    <row r="37" spans="1:16" ht="15.75" thickBot="1">
      <c r="A37" s="1467"/>
      <c r="B37" s="1469" t="s">
        <v>1892</v>
      </c>
      <c r="C37" s="2781">
        <f>IF('数据-取费表'!B3="万元",典型户型修正!Y25,典型户型修正!X25)</f>
        <v>0</v>
      </c>
      <c r="D37" s="2563" t="str">
        <f>D34</f>
        <v>万元</v>
      </c>
      <c r="E37" s="947"/>
      <c r="F37" s="947"/>
      <c r="G37" s="947"/>
      <c r="H37" s="947"/>
      <c r="I37" s="947"/>
      <c r="J37" s="2845"/>
    </row>
    <row r="38" spans="1:16" ht="15.75" thickBot="1">
      <c r="A38" s="3391" t="s">
        <v>1893</v>
      </c>
      <c r="B38" s="1468" t="s">
        <v>1894</v>
      </c>
      <c r="C38" s="2755"/>
      <c r="D38" s="2756"/>
      <c r="E38" s="1680"/>
      <c r="F38" s="1680"/>
      <c r="G38" s="947"/>
      <c r="H38" s="947"/>
      <c r="I38" s="947"/>
      <c r="J38" s="2845"/>
    </row>
    <row r="39" spans="1:16" ht="15.75" thickBot="1">
      <c r="A39" s="3393"/>
      <c r="B39" s="2094" t="s">
        <v>1895</v>
      </c>
      <c r="C39" s="2757"/>
      <c r="D39" s="1311"/>
      <c r="E39" s="1311"/>
      <c r="F39" s="1680"/>
      <c r="G39" s="1311"/>
      <c r="H39" s="1311"/>
      <c r="I39" s="1311"/>
      <c r="J39" s="2849"/>
    </row>
    <row r="40" spans="1:16" ht="15.75" thickBot="1">
      <c r="A40" s="3394"/>
      <c r="B40" s="1469" t="s">
        <v>1896</v>
      </c>
      <c r="C40" s="2758"/>
      <c r="D40" s="2759" t="s">
        <v>1897</v>
      </c>
      <c r="E40" s="1311"/>
      <c r="F40" s="1680"/>
      <c r="G40" s="1311"/>
      <c r="H40" s="1311"/>
      <c r="I40" s="1311"/>
      <c r="J40" s="2849"/>
    </row>
    <row r="41" spans="1:16" ht="15">
      <c r="A41" s="2724" t="s">
        <v>1898</v>
      </c>
      <c r="B41" s="2760" t="s">
        <v>1899</v>
      </c>
      <c r="C41" s="2761" t="s">
        <v>1900</v>
      </c>
      <c r="D41" s="2761" t="s">
        <v>1901</v>
      </c>
      <c r="E41" s="2762" t="s">
        <v>1902</v>
      </c>
      <c r="F41" s="1680"/>
      <c r="G41" s="1311"/>
      <c r="H41" s="1311"/>
      <c r="I41" s="1311"/>
      <c r="J41" s="2849"/>
    </row>
    <row r="42" spans="1:16" ht="14.25">
      <c r="A42" s="2763" t="s">
        <v>1903</v>
      </c>
      <c r="B42" s="2764"/>
      <c r="C42" s="2765"/>
      <c r="D42" s="2765"/>
      <c r="E42" s="2766"/>
      <c r="F42" s="1680"/>
      <c r="G42" s="1311"/>
      <c r="H42" s="1311"/>
      <c r="I42" s="1311"/>
      <c r="J42" s="2849"/>
    </row>
    <row r="43" spans="1:16" ht="14.25">
      <c r="A43" s="2763" t="s">
        <v>1904</v>
      </c>
      <c r="B43" s="2764"/>
      <c r="C43" s="2765"/>
      <c r="D43" s="2765"/>
      <c r="E43" s="2766"/>
      <c r="F43" s="1680"/>
      <c r="G43" s="1311"/>
      <c r="H43" s="1311"/>
      <c r="I43" s="1311"/>
      <c r="J43" s="2849"/>
    </row>
    <row r="44" spans="1:16" ht="15" thickBot="1">
      <c r="A44" s="2767"/>
      <c r="B44" s="2768"/>
      <c r="C44" s="2769"/>
      <c r="D44" s="2769"/>
      <c r="E44" s="2754"/>
      <c r="F44" s="1680"/>
      <c r="G44" s="1311"/>
      <c r="H44" s="1311"/>
      <c r="I44" s="1311"/>
      <c r="J44" s="2849"/>
    </row>
    <row r="45" spans="1:16" ht="12.75">
      <c r="A45" s="1481"/>
      <c r="B45" s="1481"/>
      <c r="C45" s="1481"/>
      <c r="D45" s="1481"/>
      <c r="E45" s="1481"/>
      <c r="F45" s="1437"/>
      <c r="G45" s="1437"/>
      <c r="H45" s="1437"/>
      <c r="I45" s="2770"/>
      <c r="J45" s="2850"/>
    </row>
    <row r="46" spans="1:16" ht="18.75">
      <c r="A46" s="1471" t="s">
        <v>1905</v>
      </c>
      <c r="B46" s="1472"/>
      <c r="C46" s="1472"/>
      <c r="D46" s="2782"/>
      <c r="E46" s="2782"/>
      <c r="F46" s="2782"/>
      <c r="G46" s="2782"/>
      <c r="H46" s="2782"/>
      <c r="I46" s="2839" t="s">
        <v>2812</v>
      </c>
      <c r="J46" s="2875"/>
      <c r="K46" s="1475" t="s">
        <v>1763</v>
      </c>
      <c r="L46" s="1476"/>
      <c r="M46" s="1476"/>
      <c r="N46" s="1476"/>
      <c r="O46" s="1476"/>
      <c r="P46" s="1476"/>
    </row>
    <row r="47" spans="1:16" ht="14.25" customHeight="1" thickBot="1">
      <c r="A47" s="3297" t="s">
        <v>1906</v>
      </c>
      <c r="B47" s="3298"/>
      <c r="C47" s="3324"/>
      <c r="D47" s="246">
        <f ca="1">ROUND(I104*F47,0)</f>
        <v>4684</v>
      </c>
      <c r="E47" s="1542" t="s">
        <v>1907</v>
      </c>
      <c r="F47" s="3170">
        <v>1</v>
      </c>
      <c r="G47" s="2562" t="s">
        <v>1908</v>
      </c>
      <c r="H47" s="947"/>
      <c r="I47" s="947"/>
      <c r="J47" s="2845"/>
      <c r="K47" s="3402" t="s">
        <v>1767</v>
      </c>
      <c r="L47" s="3402"/>
      <c r="M47" s="3402"/>
      <c r="N47" s="3402"/>
      <c r="O47" s="3402"/>
      <c r="P47" s="3402"/>
    </row>
    <row r="48" spans="1:16" ht="14.25" customHeight="1">
      <c r="A48" s="3403" t="s">
        <v>1768</v>
      </c>
      <c r="B48" s="3404"/>
      <c r="C48" s="3404"/>
      <c r="D48" s="3404"/>
      <c r="E48" s="3404"/>
      <c r="F48" s="3404"/>
      <c r="G48" s="3405"/>
      <c r="H48" s="2977"/>
      <c r="I48" s="947"/>
      <c r="J48" s="2845"/>
      <c r="K48" s="2513">
        <v>1</v>
      </c>
      <c r="L48" s="3377" t="s">
        <v>1769</v>
      </c>
      <c r="M48" s="3377"/>
      <c r="N48" s="3406"/>
      <c r="O48" s="3406"/>
      <c r="P48" s="3406"/>
    </row>
    <row r="49" spans="1:17" ht="12" customHeight="1">
      <c r="A49" s="38" t="s">
        <v>1770</v>
      </c>
      <c r="B49" s="39"/>
      <c r="C49" s="40"/>
      <c r="D49" s="1099" t="s">
        <v>1771</v>
      </c>
      <c r="E49" s="235" t="s">
        <v>1772</v>
      </c>
      <c r="F49" s="41" t="s">
        <v>1773</v>
      </c>
      <c r="G49" s="2564" t="s">
        <v>1774</v>
      </c>
      <c r="H49" s="2977"/>
      <c r="I49" s="947"/>
      <c r="J49" s="2845"/>
      <c r="K49" s="2513">
        <v>2</v>
      </c>
      <c r="L49" s="3377" t="s">
        <v>1775</v>
      </c>
      <c r="M49" s="3377"/>
      <c r="N49" s="3407">
        <f>'数据-取费表'!B2</f>
        <v>44547</v>
      </c>
      <c r="O49" s="3407"/>
      <c r="P49" s="3407"/>
    </row>
    <row r="50" spans="1:17" ht="25.5">
      <c r="A50" s="3408" t="s">
        <v>1776</v>
      </c>
      <c r="B50" s="3301"/>
      <c r="C50" s="3301"/>
      <c r="D50" s="12">
        <f ca="1">IF(H50="情况1",0,IF(H50="情况2",D54,IF(H50="情况3",D55,IF(H50="情况4",D56))))</f>
        <v>0</v>
      </c>
      <c r="E50" s="2092" t="str">
        <f>IF(H50="情况4","(销售额-原购置价)×税（费）率","销售额×税（费）率")</f>
        <v>(销售额-原购置价)×税（费）率</v>
      </c>
      <c r="F50" s="2565">
        <f>IF(H50="情况1","免征",'数据-取费表'!E29)</f>
        <v>5.5000000000000007E-2</v>
      </c>
      <c r="G50" s="2566" t="s">
        <v>1777</v>
      </c>
      <c r="H50" s="2567" t="s">
        <v>2914</v>
      </c>
      <c r="I50" s="2977"/>
      <c r="J50" s="2852"/>
      <c r="K50" s="2513">
        <v>3</v>
      </c>
      <c r="L50" s="3377" t="s">
        <v>1778</v>
      </c>
      <c r="M50" s="3377"/>
      <c r="N50" s="3378">
        <f ca="1">I104</f>
        <v>4684</v>
      </c>
      <c r="O50" s="3378"/>
      <c r="P50" s="3378"/>
    </row>
    <row r="51" spans="1:17" ht="25.5" customHeight="1">
      <c r="A51" s="2091" t="s">
        <v>1779</v>
      </c>
      <c r="B51" s="3307" t="s">
        <v>1780</v>
      </c>
      <c r="C51" s="3307"/>
      <c r="D51" s="2568">
        <v>0</v>
      </c>
      <c r="E51" s="261" t="s">
        <v>1781</v>
      </c>
      <c r="F51" s="2569" t="s">
        <v>48</v>
      </c>
      <c r="G51" s="3379"/>
      <c r="H51" s="2570" t="s">
        <v>2737</v>
      </c>
      <c r="I51" s="2571"/>
      <c r="J51" s="2853"/>
      <c r="K51" s="2513">
        <v>4</v>
      </c>
      <c r="L51" s="3377" t="str">
        <f>IF(项目基本情况!F5="房地产抵押价值","房地产抵押价值","抵押担保权已注销时的房地产抵押价值")</f>
        <v>房地产抵押价值</v>
      </c>
      <c r="M51" s="3377"/>
      <c r="N51" s="3378">
        <f ca="1">IF(项目基本情况!F5="房地产抵押价值",I112,I114)</f>
        <v>4684</v>
      </c>
      <c r="O51" s="3378"/>
      <c r="P51" s="3378"/>
    </row>
    <row r="52" spans="1:17" ht="25.5" customHeight="1">
      <c r="A52" s="2081"/>
      <c r="B52" s="3307" t="s">
        <v>1782</v>
      </c>
      <c r="C52" s="3307"/>
      <c r="D52" s="2572"/>
      <c r="E52" s="269"/>
      <c r="F52" s="2569"/>
      <c r="G52" s="3380"/>
      <c r="H52" s="2573" t="s">
        <v>2738</v>
      </c>
      <c r="I52" s="2571"/>
      <c r="J52" s="2853"/>
      <c r="K52" s="3377" t="s">
        <v>1783</v>
      </c>
      <c r="L52" s="3377"/>
      <c r="M52" s="3377"/>
      <c r="N52" s="3377"/>
      <c r="O52" s="3377"/>
      <c r="P52" s="3377"/>
    </row>
    <row r="53" spans="1:17" ht="20.45" customHeight="1">
      <c r="A53" s="2574"/>
      <c r="B53" s="3307" t="s">
        <v>1784</v>
      </c>
      <c r="C53" s="3307"/>
      <c r="D53" s="1099"/>
      <c r="E53" s="264"/>
      <c r="F53" s="2569"/>
      <c r="G53" s="3381"/>
      <c r="H53" s="2573" t="s">
        <v>2739</v>
      </c>
      <c r="I53" s="2571"/>
      <c r="J53" s="2853"/>
      <c r="K53" s="2514" t="s">
        <v>1785</v>
      </c>
      <c r="L53" s="3377" t="s">
        <v>1786</v>
      </c>
      <c r="M53" s="3377"/>
      <c r="N53" s="2514" t="s">
        <v>1787</v>
      </c>
      <c r="O53" s="2514" t="s">
        <v>1788</v>
      </c>
      <c r="P53" s="2514" t="s">
        <v>1789</v>
      </c>
    </row>
    <row r="54" spans="1:17" ht="24" customHeight="1">
      <c r="A54" s="2082" t="s">
        <v>1790</v>
      </c>
      <c r="B54" s="3307" t="s">
        <v>1791</v>
      </c>
      <c r="C54" s="3307"/>
      <c r="D54" s="1099">
        <f ca="1">ROUND(D47*'数据-取费表'!E29/(1+'数据-取费表'!F30),0)</f>
        <v>245</v>
      </c>
      <c r="E54" s="2092" t="s">
        <v>1792</v>
      </c>
      <c r="F54" s="2575">
        <f>'数据-取费表'!E29</f>
        <v>5.5000000000000007E-2</v>
      </c>
      <c r="G54" s="2576"/>
      <c r="H54" s="947"/>
      <c r="I54" s="2978"/>
      <c r="J54" s="2853"/>
      <c r="K54" s="2513">
        <v>1</v>
      </c>
      <c r="L54" s="3373" t="s">
        <v>1793</v>
      </c>
      <c r="M54" s="3373"/>
      <c r="N54" s="2515">
        <f ca="1">D50</f>
        <v>0</v>
      </c>
      <c r="O54" s="2513" t="str">
        <f>E50</f>
        <v>(销售额-原购置价)×税（费）率</v>
      </c>
      <c r="P54" s="2516">
        <f>F50</f>
        <v>5.5000000000000007E-2</v>
      </c>
    </row>
    <row r="55" spans="1:17" ht="12" customHeight="1">
      <c r="A55" s="2082" t="s">
        <v>1794</v>
      </c>
      <c r="B55" s="3302" t="s">
        <v>2831</v>
      </c>
      <c r="C55" s="3308"/>
      <c r="D55" s="1099">
        <f ca="1">ROUND(D47*'数据-取费表'!E29/(1+'数据-取费表'!F30),0)</f>
        <v>245</v>
      </c>
      <c r="E55" s="2092" t="s">
        <v>1792</v>
      </c>
      <c r="F55" s="2575">
        <f>'数据-取费表'!E29</f>
        <v>5.5000000000000007E-2</v>
      </c>
      <c r="G55" s="2576"/>
      <c r="H55" s="947"/>
      <c r="I55" s="2978"/>
      <c r="J55" s="2853"/>
      <c r="K55" s="2513">
        <v>2</v>
      </c>
      <c r="L55" s="3373" t="s">
        <v>1795</v>
      </c>
      <c r="M55" s="3373"/>
      <c r="N55" s="2515">
        <f t="shared" ref="N55:P56" ca="1" si="1">D57</f>
        <v>2</v>
      </c>
      <c r="O55" s="2513" t="str">
        <f t="shared" si="1"/>
        <v>销售额×税（费）率</v>
      </c>
      <c r="P55" s="2516">
        <f t="shared" si="1"/>
        <v>5.0000000000000001E-4</v>
      </c>
    </row>
    <row r="56" spans="1:17" ht="12" customHeight="1">
      <c r="A56" s="2082" t="s">
        <v>1796</v>
      </c>
      <c r="B56" s="3302" t="s">
        <v>2832</v>
      </c>
      <c r="C56" s="3308"/>
      <c r="D56" s="1099">
        <f ca="1">C70</f>
        <v>0</v>
      </c>
      <c r="E56" s="264" t="s">
        <v>1797</v>
      </c>
      <c r="F56" s="2575">
        <f>'数据-取费表'!E29</f>
        <v>5.5000000000000007E-2</v>
      </c>
      <c r="G56" s="2576"/>
      <c r="H56" s="2979"/>
      <c r="I56" s="2978"/>
      <c r="J56" s="2853"/>
      <c r="K56" s="2513">
        <v>3</v>
      </c>
      <c r="L56" s="3373" t="s">
        <v>1798</v>
      </c>
      <c r="M56" s="3373"/>
      <c r="N56" s="2515">
        <f t="shared" ca="1" si="1"/>
        <v>0</v>
      </c>
      <c r="O56" s="2513" t="str">
        <f t="shared" si="1"/>
        <v>增值额×税（费）率</v>
      </c>
      <c r="P56" s="2517" t="str">
        <f t="shared" si="1"/>
        <v>——</v>
      </c>
    </row>
    <row r="57" spans="1:17" ht="24" customHeight="1">
      <c r="A57" s="3300" t="s">
        <v>1799</v>
      </c>
      <c r="B57" s="3301"/>
      <c r="C57" s="3301"/>
      <c r="D57" s="12">
        <f ca="1">IF(H57="个人住宅",0,ROUND(D47*I57,0))</f>
        <v>2</v>
      </c>
      <c r="E57" s="2092" t="s">
        <v>1800</v>
      </c>
      <c r="F57" s="2575">
        <f>IF(H57="正常",I57,"免征")</f>
        <v>5.0000000000000001E-4</v>
      </c>
      <c r="G57" s="2576"/>
      <c r="H57" s="2567" t="s">
        <v>1801</v>
      </c>
      <c r="I57" s="74">
        <f>'数据-取费表'!E37</f>
        <v>5.0000000000000001E-4</v>
      </c>
      <c r="J57" s="2853"/>
      <c r="K57" s="2513" t="str">
        <f>IF(H61="非个人房产","",4)</f>
        <v/>
      </c>
      <c r="L57" s="3373" t="str">
        <f>IF(H61="非个人房产","——","个人所得税")</f>
        <v>——</v>
      </c>
      <c r="M57" s="3373"/>
      <c r="N57" s="2518" t="str">
        <f>D61</f>
        <v>——</v>
      </c>
      <c r="O57" s="2519" t="str">
        <f>E61</f>
        <v>——</v>
      </c>
      <c r="P57" s="2520" t="str">
        <f>F61</f>
        <v>——</v>
      </c>
    </row>
    <row r="58" spans="1:17" ht="24.75">
      <c r="A58" s="3300" t="s">
        <v>1802</v>
      </c>
      <c r="B58" s="3301"/>
      <c r="C58" s="3301"/>
      <c r="D58" s="12">
        <f ca="1">IF(H58="个人住宅",D59,D60)</f>
        <v>0</v>
      </c>
      <c r="E58" s="2092" t="s">
        <v>1803</v>
      </c>
      <c r="F58" s="2575" t="str">
        <f>IF(H58="正常",F60,"免征")</f>
        <v>——</v>
      </c>
      <c r="G58" s="2577" t="s">
        <v>1804</v>
      </c>
      <c r="H58" s="2578" t="s">
        <v>1801</v>
      </c>
      <c r="I58" s="2980"/>
      <c r="J58" s="2853"/>
      <c r="K58" s="2513" t="str">
        <f>IF(项目基本情况!I6="上海银行",IF(K57="",4,K57+1),"")</f>
        <v/>
      </c>
      <c r="L58" s="3375" t="str">
        <f>IF(项目基本情况!I6="上海银行","其他处置费用","")</f>
        <v/>
      </c>
      <c r="M58" s="3376"/>
      <c r="N58" s="2515" t="str">
        <f>IF(项目基本情况!I6="上海银行",N71,"")</f>
        <v/>
      </c>
      <c r="O58" s="3375" t="str">
        <f>IF(项目基本情况!I6="上海银行","包含处置中涉及的律师、诉讼、拍卖、评估等费用","")</f>
        <v/>
      </c>
      <c r="P58" s="3382"/>
    </row>
    <row r="59" spans="1:17" ht="12.75">
      <c r="A59" s="2082" t="s">
        <v>1779</v>
      </c>
      <c r="B59" s="3302" t="s">
        <v>1805</v>
      </c>
      <c r="C59" s="3308"/>
      <c r="D59" s="2568">
        <v>0</v>
      </c>
      <c r="E59" s="261" t="s">
        <v>1781</v>
      </c>
      <c r="F59" s="235"/>
      <c r="G59" s="2576"/>
      <c r="H59" s="2980"/>
      <c r="I59" s="2980"/>
      <c r="J59" s="2853"/>
      <c r="K59" s="3373">
        <f>IF(AND(K57="",K58=""),4,IF(项目基本情况!I6="上海银行",K58+1,K57+1))</f>
        <v>4</v>
      </c>
      <c r="L59" s="3373" t="s">
        <v>1806</v>
      </c>
      <c r="M59" s="2521" t="s">
        <v>1807</v>
      </c>
      <c r="N59" s="2522"/>
      <c r="O59" s="2523">
        <f ca="1">SUMIF(N54:N58,"&lt;9e307")</f>
        <v>2</v>
      </c>
      <c r="P59" s="2524"/>
      <c r="Q59" s="1306">
        <f ca="1">O59/N51</f>
        <v>4.2698548249359521E-4</v>
      </c>
    </row>
    <row r="60" spans="1:17" ht="24.75">
      <c r="A60" s="2082" t="s">
        <v>1790</v>
      </c>
      <c r="B60" s="3302" t="s">
        <v>1808</v>
      </c>
      <c r="C60" s="3307"/>
      <c r="D60" s="12">
        <f ca="1">IF(H60="转让取得",C83,C99)</f>
        <v>0</v>
      </c>
      <c r="E60" s="2092" t="s">
        <v>1803</v>
      </c>
      <c r="F60" s="235" t="s">
        <v>48</v>
      </c>
      <c r="G60" s="2576"/>
      <c r="H60" s="2578" t="s">
        <v>2913</v>
      </c>
      <c r="I60" s="2980"/>
      <c r="J60" s="2853"/>
      <c r="K60" s="3373"/>
      <c r="L60" s="3373"/>
      <c r="M60" s="2521" t="s">
        <v>1809</v>
      </c>
      <c r="N60" s="2525"/>
      <c r="O60" s="2526" t="str">
        <f ca="1">IF(H19="元",NUMBERSTRING(INT(O59),2)&amp;"元整",NUMBERSTRING(INT(O59*10000),2)&amp;"元整")</f>
        <v>贰万元整</v>
      </c>
      <c r="P60" s="2527"/>
    </row>
    <row r="61" spans="1:17" ht="24.75" thickBot="1">
      <c r="A61" s="3286" t="s">
        <v>1810</v>
      </c>
      <c r="B61" s="3287"/>
      <c r="C61" s="3287"/>
      <c r="D61" s="69" t="str">
        <f>IF(H61="非个人房产","——",IF(H61="个人住宅（满五唯一有凭证）",0,IF(H61="个人其他（无凭证）",ROUND(D47*F61,0),ROUND(C69*F61,0))))</f>
        <v>——</v>
      </c>
      <c r="E61" s="2083" t="str">
        <f>IF(H61="非个人房产","——",IF(H61="个人其他（无凭证）","销售额×税（费）率",IF(H61="个人住宅（满五唯一有凭证）","免征","差额计税")))</f>
        <v>——</v>
      </c>
      <c r="F61" s="2783" t="str">
        <f>IF(OR(H61="非个人房产",H61="个人住宅（满五唯一有凭证）"),"——",IF(H61="个人其他（有凭证）",20%,1%))</f>
        <v>——</v>
      </c>
      <c r="G61" s="2823" t="s">
        <v>2810</v>
      </c>
      <c r="H61" s="2096" t="s">
        <v>2820</v>
      </c>
      <c r="I61" s="2881" t="s">
        <v>2822</v>
      </c>
      <c r="J61" s="2853"/>
      <c r="K61" s="3371">
        <f>K59+1</f>
        <v>5</v>
      </c>
      <c r="L61" s="3373" t="s">
        <v>1811</v>
      </c>
      <c r="M61" s="2513" t="s">
        <v>1807</v>
      </c>
      <c r="N61" s="2528"/>
      <c r="O61" s="2529">
        <f ca="1">N51-O59</f>
        <v>4682</v>
      </c>
      <c r="P61" s="2530"/>
    </row>
    <row r="62" spans="1:17" ht="12" customHeight="1">
      <c r="A62" s="1457"/>
      <c r="B62" s="2563"/>
      <c r="C62" s="2563"/>
      <c r="D62" s="2563"/>
      <c r="E62" s="1457"/>
      <c r="F62" s="2980"/>
      <c r="G62" s="2980"/>
      <c r="H62" s="2975"/>
      <c r="I62" s="947"/>
      <c r="J62" s="2853"/>
      <c r="K62" s="3372"/>
      <c r="L62" s="3373"/>
      <c r="M62" s="2521" t="s">
        <v>1809</v>
      </c>
      <c r="N62" s="2525"/>
      <c r="O62" s="2526" t="str">
        <f ca="1">IF(H19="元",NUMBERSTRING(INT(O61),2)&amp;"元整",NUMBERSTRING(INT(O61*10000),2)&amp;"元整")</f>
        <v>肆仟陆佰捌拾贰万元整</v>
      </c>
      <c r="P62" s="2527"/>
    </row>
    <row r="63" spans="1:17" ht="13.5" thickBot="1">
      <c r="A63" s="3374" t="s">
        <v>1812</v>
      </c>
      <c r="B63" s="3374"/>
      <c r="C63" s="3374"/>
      <c r="D63" s="3374"/>
      <c r="E63" s="3374"/>
      <c r="F63" s="2980"/>
      <c r="G63" s="2980"/>
      <c r="H63" s="2975"/>
      <c r="I63" s="947"/>
      <c r="J63" s="2845"/>
      <c r="K63" s="2513">
        <f>K61+1</f>
        <v>6</v>
      </c>
      <c r="L63" s="3373" t="s">
        <v>1813</v>
      </c>
      <c r="M63" s="3373"/>
      <c r="N63" s="2531"/>
      <c r="O63" s="2532">
        <f ca="1">IF(H19="元",ROUND(O61/项目基本情况!C12,0),ROUND(O61*10000/项目基本情况!C12,0))</f>
        <v>28514</v>
      </c>
      <c r="P63" s="2533"/>
    </row>
    <row r="64" spans="1:17" ht="12.75">
      <c r="A64" s="3355" t="s">
        <v>1814</v>
      </c>
      <c r="B64" s="3356"/>
      <c r="C64" s="1607"/>
      <c r="D64" s="1607" t="s">
        <v>1815</v>
      </c>
      <c r="E64" s="45" t="s">
        <v>1816</v>
      </c>
      <c r="F64" s="2980"/>
      <c r="G64" s="2980"/>
      <c r="H64" s="2975"/>
      <c r="I64" s="947"/>
      <c r="J64" s="2845"/>
      <c r="K64" s="1308"/>
      <c r="L64" s="1308"/>
      <c r="M64" s="1308"/>
      <c r="N64" s="1308"/>
      <c r="O64" s="1308"/>
    </row>
    <row r="65" spans="1:36" ht="12.75">
      <c r="A65" s="46">
        <v>1</v>
      </c>
      <c r="B65" s="47" t="s">
        <v>1817</v>
      </c>
      <c r="C65" s="2784">
        <f ca="1">ROUND((C66+C67)/(1+'数据-取费表'!F30),0)</f>
        <v>4461</v>
      </c>
      <c r="D65" s="47"/>
      <c r="E65" s="48"/>
      <c r="F65" s="2980"/>
      <c r="G65" s="2980"/>
      <c r="H65" s="2975"/>
      <c r="I65" s="947"/>
      <c r="J65" s="2845"/>
      <c r="K65" s="3401" t="s">
        <v>1818</v>
      </c>
      <c r="L65" s="1307" t="s">
        <v>1819</v>
      </c>
      <c r="M65" s="1307">
        <f ca="1">IF(N51&gt;10000,N51*0.5%,IF(AND(N51&gt;1000,N51&lt;=10000),N51*1%,IF(AND(N51&gt;100,N51&lt;=1000),N51*3%,IF(AND(N51&gt;10,N51&lt;=100),N51*5%,N51*8%))))</f>
        <v>46.84</v>
      </c>
      <c r="N65" s="235">
        <f ca="1">ROUND(M65,1)</f>
        <v>46.8</v>
      </c>
      <c r="O65" s="2534"/>
    </row>
    <row r="66" spans="1:36" ht="12.75">
      <c r="A66" s="49" t="s">
        <v>71</v>
      </c>
      <c r="B66" s="50" t="s">
        <v>1820</v>
      </c>
      <c r="C66" s="2785">
        <f ca="1">D47</f>
        <v>4684</v>
      </c>
      <c r="D66" s="50" t="s">
        <v>41</v>
      </c>
      <c r="E66" s="52"/>
      <c r="F66" s="2980"/>
      <c r="G66" s="2980"/>
      <c r="H66" s="2975"/>
      <c r="I66" s="947"/>
      <c r="J66" s="2845"/>
      <c r="K66" s="3401"/>
      <c r="L66" s="1307" t="s">
        <v>1821</v>
      </c>
      <c r="M66" s="1307">
        <f ca="1">IF(N51&gt;2000,N51*0.5%,IF(AND(N51&gt;1000,N51&lt;=2000),N51*0.6%,IF(AND(N51&gt;500,N51&lt;=1000),N51*0.7%,IF(AND(N51&gt;200,N51&lt;=500),N51*0.8%,IF(AND(N51&gt;100,N51&lt;=200),N51*0.9%,IF(AND(N51&gt;50,N51&lt;=100),N51*1%,IF(AND(N51&gt;20,N51&lt;=50),N51*1.5%,IF(AND(N51&gt;10,N51&lt;=20),N51*2%,IF(AND(N51&gt;1,N51&lt;=10),N51*2.5%)))))))))</f>
        <v>23.42</v>
      </c>
      <c r="N66" s="235">
        <f t="shared" ref="N66:N67" ca="1" si="2">ROUND(M66,1)</f>
        <v>23.4</v>
      </c>
      <c r="O66" s="2534" t="s">
        <v>1822</v>
      </c>
    </row>
    <row r="67" spans="1:36" ht="12.75">
      <c r="A67" s="49" t="s">
        <v>72</v>
      </c>
      <c r="B67" s="50" t="s">
        <v>1823</v>
      </c>
      <c r="C67" s="2786"/>
      <c r="D67" s="50"/>
      <c r="E67" s="52"/>
      <c r="F67" s="2980"/>
      <c r="G67" s="2980"/>
      <c r="H67" s="2975"/>
      <c r="I67" s="947"/>
      <c r="J67" s="2845"/>
      <c r="K67" s="3401"/>
      <c r="L67" s="1307" t="s">
        <v>1824</v>
      </c>
      <c r="M67" s="1307">
        <f ca="1">IF(N51&gt;1000,N51*0.1%,IF(AND(N51&gt;500,N51&lt;=1000),N51*0.5%,IF(AND(N51&gt;50,N51&lt;=500),N51*1%,IF(AND(N51&gt;1,N51&lt;=50),N51*1.5%))))</f>
        <v>4.6840000000000002</v>
      </c>
      <c r="N67" s="235">
        <f t="shared" ca="1" si="2"/>
        <v>4.7</v>
      </c>
      <c r="O67" s="2534" t="s">
        <v>1822</v>
      </c>
    </row>
    <row r="68" spans="1:36" ht="12.75">
      <c r="A68" s="53" t="s">
        <v>47</v>
      </c>
      <c r="B68" s="54" t="s">
        <v>1825</v>
      </c>
      <c r="C68" s="2787">
        <f>C77/1.05</f>
        <v>4739.0476190476193</v>
      </c>
      <c r="D68" s="54" t="s">
        <v>41</v>
      </c>
      <c r="E68" s="1316" t="s">
        <v>1826</v>
      </c>
      <c r="F68" s="2980"/>
      <c r="G68" s="2980"/>
      <c r="H68" s="2975"/>
      <c r="I68" s="947"/>
      <c r="J68" s="2845"/>
      <c r="K68" s="3401"/>
      <c r="L68" s="1307" t="s">
        <v>1827</v>
      </c>
      <c r="M68" s="1307">
        <f ca="1">N51*0.5%</f>
        <v>23.42</v>
      </c>
      <c r="N68" s="235">
        <f ca="1">IF(M68&gt;0.5,0.5,ROUND(M68,0))</f>
        <v>0.5</v>
      </c>
      <c r="O68" s="2534" t="s">
        <v>1828</v>
      </c>
    </row>
    <row r="69" spans="1:36" ht="12.75">
      <c r="A69" s="53" t="s">
        <v>42</v>
      </c>
      <c r="B69" s="54" t="s">
        <v>1829</v>
      </c>
      <c r="C69" s="2788">
        <f ca="1">C65-C68</f>
        <v>-278.04761904761926</v>
      </c>
      <c r="D69" s="50" t="s">
        <v>41</v>
      </c>
      <c r="E69" s="52"/>
      <c r="F69" s="2980"/>
      <c r="G69" s="2980"/>
      <c r="H69" s="2975"/>
      <c r="I69" s="947"/>
      <c r="J69" s="2845"/>
      <c r="K69" s="3401"/>
      <c r="L69" s="1307" t="s">
        <v>1830</v>
      </c>
      <c r="M69" s="1307">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534"/>
    </row>
    <row r="70" spans="1:36" ht="13.5" thickBot="1">
      <c r="A70" s="55" t="s">
        <v>46</v>
      </c>
      <c r="B70" s="56" t="s">
        <v>1831</v>
      </c>
      <c r="C70" s="2789">
        <f ca="1">IF(C69&lt;=0,0,ROUND(C69*D70,0))</f>
        <v>0</v>
      </c>
      <c r="D70" s="2242">
        <f>'数据-取费表'!E29</f>
        <v>5.5000000000000007E-2</v>
      </c>
      <c r="E70" s="57"/>
      <c r="F70" s="2980"/>
      <c r="G70" s="2980"/>
      <c r="H70" s="2975"/>
      <c r="I70" s="947"/>
      <c r="J70" s="2845"/>
      <c r="K70" s="3401"/>
      <c r="L70" s="1307" t="s">
        <v>1832</v>
      </c>
      <c r="M70" s="1307">
        <f ca="1">IF(N51&gt;10000,N51*0.5%,IF(AND(N51&gt;5000,N51&lt;=10000),N51*1%,IF(AND(N51&gt;1000,N51&lt;=5000),N51*2%,IF(AND(N51&gt;200,N51&lt;=1000),N51*3%,N51*5%))))</f>
        <v>93.68</v>
      </c>
      <c r="N70" s="235">
        <f ca="1">ROUND(M70,1)</f>
        <v>93.7</v>
      </c>
      <c r="O70" s="2534"/>
    </row>
    <row r="71" spans="1:36" s="1465" customFormat="1" ht="7.5" customHeight="1">
      <c r="A71" s="1477"/>
      <c r="B71" s="1478"/>
      <c r="C71" s="2790"/>
      <c r="D71" s="2285"/>
      <c r="E71" s="1481"/>
      <c r="F71" s="1457"/>
      <c r="G71" s="1457"/>
      <c r="H71" s="1481"/>
      <c r="I71" s="2563"/>
      <c r="J71" s="2845"/>
      <c r="K71" s="3401"/>
      <c r="L71" s="1307" t="s">
        <v>1833</v>
      </c>
      <c r="M71" s="1307"/>
      <c r="N71" s="235">
        <f ca="1">ROUND(SUM(N65:N70),0)</f>
        <v>172</v>
      </c>
      <c r="O71" s="2535">
        <f ca="1">N71/N51</f>
        <v>3.6720751494449186E-2</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66" t="s">
        <v>1834</v>
      </c>
      <c r="B72" s="3367"/>
      <c r="C72" s="3367"/>
      <c r="D72" s="3367"/>
      <c r="E72" s="3367"/>
      <c r="F72" s="3367"/>
      <c r="G72" s="3367"/>
      <c r="H72" s="3367"/>
      <c r="I72" s="1482"/>
      <c r="J72" s="2854"/>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55" t="s">
        <v>1814</v>
      </c>
      <c r="B73" s="3356"/>
      <c r="C73" s="1607"/>
      <c r="D73" s="1607" t="s">
        <v>1815</v>
      </c>
      <c r="E73" s="58" t="s">
        <v>1816</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1835</v>
      </c>
      <c r="C74" s="2788">
        <f ca="1">ROUND(D47/(1+'数据-取费表'!F30),0)</f>
        <v>4461</v>
      </c>
      <c r="D74" s="50" t="s">
        <v>41</v>
      </c>
      <c r="E74" s="2088"/>
      <c r="F74" s="2089"/>
      <c r="G74" s="2089"/>
      <c r="H74" s="62"/>
      <c r="I74" s="2791"/>
      <c r="J74" s="2876"/>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1837</v>
      </c>
      <c r="C75" s="2788">
        <f ca="1">C76+C80</f>
        <v>4906</v>
      </c>
      <c r="D75" s="50" t="s">
        <v>41</v>
      </c>
      <c r="E75" s="2088"/>
      <c r="F75" s="2089"/>
      <c r="G75" s="2089"/>
      <c r="H75" s="62"/>
      <c r="I75" s="2791"/>
      <c r="J75" s="2876"/>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1838</v>
      </c>
      <c r="C76" s="50">
        <f>ROUND(IF(G79="2016年5月1日后购买",C77/(1+'数据-取费表'!F30)+C78+C79,C77+C78+C79),0)</f>
        <v>4884</v>
      </c>
      <c r="D76" s="50" t="s">
        <v>41</v>
      </c>
      <c r="E76" s="2088"/>
      <c r="F76" s="2089"/>
      <c r="G76" s="2089"/>
      <c r="H76" s="62"/>
      <c r="I76" s="2791"/>
      <c r="J76" s="2876"/>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1839</v>
      </c>
      <c r="C77" s="3180">
        <v>4976</v>
      </c>
      <c r="D77" s="50" t="s">
        <v>41</v>
      </c>
      <c r="E77" s="64" t="s">
        <v>1840</v>
      </c>
      <c r="F77" s="2792" t="s">
        <v>2915</v>
      </c>
      <c r="G77" s="64" t="s">
        <v>1841</v>
      </c>
      <c r="H77" s="2793"/>
      <c r="I77" s="608"/>
      <c r="J77" s="287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1842</v>
      </c>
      <c r="C78" s="50">
        <f>IF(F77="购房发票",ROUND(C77*H77*D78,0),0)</f>
        <v>0</v>
      </c>
      <c r="D78" s="2794">
        <v>0.05</v>
      </c>
      <c r="E78" s="3302" t="s">
        <v>1843</v>
      </c>
      <c r="F78" s="3307"/>
      <c r="G78" s="3307"/>
      <c r="H78" s="3368"/>
      <c r="I78" s="2791"/>
      <c r="J78" s="287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1844</v>
      </c>
      <c r="C79" s="50">
        <f>ROUND(IF(G79="个人住宅",0,IF(G79="2016年5月1日前购买",C77*D79,C77*D79/(1+'数据-取费表'!F30))),0)</f>
        <v>145</v>
      </c>
      <c r="D79" s="2795">
        <f>'数据-取费表'!E36+'数据-取费表'!E37</f>
        <v>3.0499999999999999E-2</v>
      </c>
      <c r="E79" s="12" t="s">
        <v>1845</v>
      </c>
      <c r="F79" s="2095"/>
      <c r="G79" s="1486" t="s">
        <v>1846</v>
      </c>
      <c r="H79" s="2090"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1847</v>
      </c>
      <c r="C80" s="2796">
        <f ca="1">ROUND(D47*D80/(1+'数据-取费表'!F30),0)</f>
        <v>22</v>
      </c>
      <c r="D80" s="2797">
        <f>'数据-取费表'!E31</f>
        <v>5.000000000000001E-3</v>
      </c>
      <c r="E80" s="3357" t="s">
        <v>1848</v>
      </c>
      <c r="F80" s="3358"/>
      <c r="G80" s="3358"/>
      <c r="H80" s="3359"/>
      <c r="I80" s="609"/>
      <c r="J80" s="2878"/>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1849</v>
      </c>
      <c r="C81" s="2788">
        <f ca="1">C74-C75</f>
        <v>-445</v>
      </c>
      <c r="D81" s="50" t="s">
        <v>41</v>
      </c>
      <c r="E81" s="2088"/>
      <c r="F81" s="2089"/>
      <c r="G81" s="2089"/>
      <c r="H81" s="62"/>
      <c r="I81" s="2791"/>
      <c r="J81" s="287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1850</v>
      </c>
      <c r="C82" s="2798">
        <f ca="1">IF(C81&lt;=0,0,C81/C75)</f>
        <v>0</v>
      </c>
      <c r="D82" s="50" t="s">
        <v>41</v>
      </c>
      <c r="E82" s="12" t="str">
        <f ca="1">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1"/>
      <c r="J82" s="287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1851</v>
      </c>
      <c r="C83" s="2799">
        <f ca="1">ROUND(IF(C81&lt;=0,0,IF(C82&gt;=200%,C81*60%-C75*35%,IF(C82&gt;=100%,C81*50%-C75*15%,IF(C82&gt;=50%,C81*40%-C75*5%,IF(C82&lt;50%,C81*30%,0))))),0)</f>
        <v>0</v>
      </c>
      <c r="D83" s="217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66" t="s">
        <v>1852</v>
      </c>
      <c r="B85" s="3367"/>
      <c r="C85" s="3367"/>
      <c r="D85" s="3367"/>
      <c r="E85" s="3367"/>
      <c r="F85" s="3367"/>
      <c r="G85" s="3367"/>
      <c r="H85" s="3367"/>
      <c r="I85" s="608"/>
      <c r="J85" s="287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55" t="s">
        <v>1814</v>
      </c>
      <c r="B86" s="3356"/>
      <c r="C86" s="1607"/>
      <c r="D86" s="1607" t="s">
        <v>1815</v>
      </c>
      <c r="E86" s="58" t="s">
        <v>1816</v>
      </c>
      <c r="F86" s="59"/>
      <c r="G86" s="59"/>
      <c r="H86" s="72"/>
      <c r="I86" s="608"/>
      <c r="J86" s="287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1835</v>
      </c>
      <c r="C87" s="2788">
        <f ca="1">ROUND(D47/(1+'数据-取费表'!F30),0)</f>
        <v>4461</v>
      </c>
      <c r="D87" s="50" t="s">
        <v>41</v>
      </c>
      <c r="E87" s="2088"/>
      <c r="F87" s="2089"/>
      <c r="G87" s="2089"/>
      <c r="H87" s="73"/>
      <c r="I87" s="608"/>
      <c r="J87" s="287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1837</v>
      </c>
      <c r="C88" s="2788">
        <f ca="1">IF(H90="仅含出让金",C89+C92+C93+C94+C95+C96,C89+C93+C94+C95+C96)</f>
        <v>22</v>
      </c>
      <c r="D88" s="2800"/>
      <c r="E88" s="2088"/>
      <c r="F88" s="2089"/>
      <c r="G88" s="2089"/>
      <c r="H88" s="73"/>
      <c r="I88" s="608"/>
      <c r="J88" s="2877"/>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1853</v>
      </c>
      <c r="C89" s="2796">
        <f>C90+C91</f>
        <v>0</v>
      </c>
      <c r="D89" s="2797"/>
      <c r="E89" s="2085"/>
      <c r="F89" s="2086"/>
      <c r="G89" s="2086"/>
      <c r="H89" s="2087"/>
      <c r="I89" s="608"/>
      <c r="J89" s="287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1854</v>
      </c>
      <c r="C90" s="2801"/>
      <c r="D90" s="2797"/>
      <c r="E90" s="74" t="s">
        <v>1855</v>
      </c>
      <c r="F90" s="2086"/>
      <c r="G90" s="75" t="s">
        <v>1856</v>
      </c>
      <c r="H90" s="1488"/>
      <c r="I90" s="608"/>
      <c r="J90" s="2877"/>
      <c r="K90" s="2972" t="s">
        <v>2814</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1844</v>
      </c>
      <c r="C91" s="2796">
        <f>ROUND(C90*D91,0)</f>
        <v>0</v>
      </c>
      <c r="D91" s="2797">
        <f>'数据-取费表'!E36+'数据-取费表'!E37</f>
        <v>3.0499999999999999E-2</v>
      </c>
      <c r="E91" s="74" t="s">
        <v>1857</v>
      </c>
      <c r="F91" s="2086"/>
      <c r="G91" s="2086"/>
      <c r="H91" s="2087"/>
      <c r="I91" s="608"/>
      <c r="J91" s="287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1858</v>
      </c>
      <c r="C92" s="2801"/>
      <c r="D92" s="2797"/>
      <c r="E92" s="74" t="str">
        <f>IF(H90="-","土地取得成本中已包含该笔费用"," ")</f>
        <v xml:space="preserve"> </v>
      </c>
      <c r="F92" s="2086"/>
      <c r="G92" s="3369" t="s">
        <v>2733</v>
      </c>
      <c r="H92" s="3370"/>
      <c r="I92" s="608"/>
      <c r="J92" s="2877"/>
      <c r="K92" s="2972" t="s">
        <v>2815</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1859</v>
      </c>
      <c r="C93" s="2796">
        <f>IF(H93="——",成本法!C33,I93)</f>
        <v>0</v>
      </c>
      <c r="D93" s="2797"/>
      <c r="E93" s="3357" t="s">
        <v>1860</v>
      </c>
      <c r="F93" s="3358"/>
      <c r="G93" s="3358"/>
      <c r="H93" s="1489" t="s">
        <v>1861</v>
      </c>
      <c r="I93" s="2802"/>
      <c r="J93" s="2879"/>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1862</v>
      </c>
      <c r="C94" s="2796">
        <f>ROUND((C89+C92+C93)*D94,0)</f>
        <v>0</v>
      </c>
      <c r="D94" s="2797">
        <v>0.1</v>
      </c>
      <c r="E94" s="3357" t="s">
        <v>1863</v>
      </c>
      <c r="F94" s="3358"/>
      <c r="G94" s="3358"/>
      <c r="H94" s="3359"/>
      <c r="I94" s="608"/>
      <c r="J94" s="2877"/>
      <c r="K94" s="2973" t="s">
        <v>2816</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1847</v>
      </c>
      <c r="C95" s="2796">
        <f ca="1">ROUND(D47*D95/(1+'数据-取费表'!F30),0)</f>
        <v>22</v>
      </c>
      <c r="D95" s="2797">
        <f>'数据-取费表'!E31</f>
        <v>5.000000000000001E-3</v>
      </c>
      <c r="E95" s="3357" t="s">
        <v>1848</v>
      </c>
      <c r="F95" s="3358"/>
      <c r="G95" s="3358"/>
      <c r="H95" s="3359"/>
      <c r="I95" s="608"/>
      <c r="J95" s="287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1864</v>
      </c>
      <c r="C96" s="2796">
        <f>ROUND((C89+C92+C93)*D96,0)</f>
        <v>0</v>
      </c>
      <c r="D96" s="2797">
        <v>0.2</v>
      </c>
      <c r="E96" s="3357" t="s">
        <v>1865</v>
      </c>
      <c r="F96" s="3358"/>
      <c r="G96" s="3358"/>
      <c r="H96" s="3359"/>
      <c r="I96" s="608"/>
      <c r="J96" s="287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1849</v>
      </c>
      <c r="C97" s="2788">
        <f ca="1">ROUND(C87-C88,0)</f>
        <v>4439</v>
      </c>
      <c r="D97" s="50" t="s">
        <v>41</v>
      </c>
      <c r="E97" s="2088"/>
      <c r="F97" s="2089"/>
      <c r="G97" s="2089"/>
      <c r="H97" s="73"/>
      <c r="I97" s="608"/>
      <c r="J97" s="287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1850</v>
      </c>
      <c r="C98" s="2798">
        <f ca="1">IF(C97&lt;=0,0,C97/C88)</f>
        <v>201.77272727272728</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9"/>
      <c r="G98" s="2089"/>
      <c r="H98" s="73"/>
      <c r="I98" s="608"/>
      <c r="J98" s="2877"/>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1851</v>
      </c>
      <c r="C99" s="67">
        <f ca="1">ROUND(IF(C97&lt;=0,0,IF(C98&gt;=200%,C97*60%-C88*35%,IF(C98&gt;=100%,C97*50%-C88*15%,IF(C98&gt;=50%,C97*40%-C88*5%,IF(C98&lt;50%,C97*30%,0))))),0)</f>
        <v>2656</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6"/>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1866</v>
      </c>
      <c r="B100" s="1461"/>
      <c r="C100" s="1461"/>
      <c r="D100" s="1461"/>
      <c r="E100" s="812"/>
      <c r="F100" s="812"/>
      <c r="G100" s="812"/>
      <c r="H100" s="1470"/>
      <c r="I100" s="1461"/>
    </row>
    <row r="101" spans="1:36" ht="15">
      <c r="A101" s="3360" t="s">
        <v>1867</v>
      </c>
      <c r="B101" s="3361"/>
      <c r="C101" s="3361"/>
      <c r="D101" s="3362"/>
      <c r="E101" s="1461"/>
      <c r="F101" s="3363" t="s">
        <v>2773</v>
      </c>
      <c r="G101" s="3364"/>
      <c r="H101" s="3364"/>
      <c r="I101" s="3365"/>
      <c r="J101" s="2880"/>
    </row>
    <row r="102" spans="1:36" ht="15">
      <c r="A102" s="3348" t="s">
        <v>1869</v>
      </c>
      <c r="B102" s="3349"/>
      <c r="C102" s="2803" t="str">
        <f>C4</f>
        <v>比较法-办公</v>
      </c>
      <c r="D102" s="2804" t="str">
        <f>D4</f>
        <v>收益法</v>
      </c>
      <c r="E102" s="1461"/>
      <c r="F102" s="3317" t="s">
        <v>2774</v>
      </c>
      <c r="G102" s="3318"/>
      <c r="H102" s="3312" t="s">
        <v>2775</v>
      </c>
      <c r="I102" s="3313"/>
      <c r="J102" s="2860"/>
    </row>
    <row r="103" spans="1:36" ht="12.75">
      <c r="A103" s="3350" t="s">
        <v>2769</v>
      </c>
      <c r="B103" s="2307" t="str">
        <f>IF(H19="元","总价（元）","总价（万元）")</f>
        <v>总价（万元）</v>
      </c>
      <c r="C103" s="1307">
        <f ca="1">C19</f>
        <v>749</v>
      </c>
      <c r="D103" s="2807">
        <f ca="1">D19</f>
        <v>415</v>
      </c>
      <c r="E103" s="1461"/>
      <c r="F103" s="3351"/>
      <c r="G103" s="3352"/>
      <c r="H103" s="3304">
        <f>典型户型修正!B25</f>
        <v>1642.01</v>
      </c>
      <c r="I103" s="3313"/>
      <c r="J103" s="2860"/>
    </row>
    <row r="104" spans="1:36" ht="12.75">
      <c r="A104" s="3350"/>
      <c r="B104" s="2307" t="s">
        <v>2770</v>
      </c>
      <c r="C104" s="2808">
        <f ca="1">C20</f>
        <v>32620</v>
      </c>
      <c r="D104" s="2809">
        <f ca="1">D20</f>
        <v>18070</v>
      </c>
      <c r="E104" s="1461"/>
      <c r="F104" s="3295" t="s">
        <v>2776</v>
      </c>
      <c r="G104" s="3296"/>
      <c r="H104" s="2817" t="str">
        <f>C110</f>
        <v>总价（万元）</v>
      </c>
      <c r="I104" s="2818">
        <f ca="1">H125</f>
        <v>4684</v>
      </c>
      <c r="J104" s="2860"/>
    </row>
    <row r="105" spans="1:36" ht="12.75">
      <c r="A105" s="3350" t="s">
        <v>2771</v>
      </c>
      <c r="B105" s="2245" t="str">
        <f>B103</f>
        <v>总价（万元）</v>
      </c>
      <c r="C105" s="12">
        <f ca="1">ROUND(IF('数据-取费表'!B4="总价",G19,IF(H19="元",G20*'数据-取费表'!E5,G20*'数据-取费表'!E5/10000)),0)</f>
        <v>649</v>
      </c>
      <c r="D105" s="2810"/>
      <c r="E105" s="1461"/>
      <c r="F105" s="3295"/>
      <c r="G105" s="3296"/>
      <c r="H105" s="2817" t="s">
        <v>2777</v>
      </c>
      <c r="I105" s="52">
        <f ca="1">I125</f>
        <v>28526</v>
      </c>
      <c r="J105" s="2844"/>
    </row>
    <row r="106" spans="1:36" ht="12.75">
      <c r="A106" s="3350"/>
      <c r="B106" s="2307" t="s">
        <v>2770</v>
      </c>
      <c r="C106" s="1481">
        <f ca="1">ROUND(IF('数据-取费表'!B4="楼面单价",G20,IF(H19="元",G19/'数据-取费表'!E5,G19*10000/'数据-取费表'!E5)),0)</f>
        <v>28275</v>
      </c>
      <c r="D106" s="2810"/>
      <c r="E106" s="1461"/>
      <c r="F106" s="3295"/>
      <c r="G106" s="3296"/>
      <c r="H106" s="3353"/>
      <c r="I106" s="3354"/>
      <c r="J106" s="2861"/>
    </row>
    <row r="107" spans="1:36" ht="12.75">
      <c r="A107" s="3292" t="s">
        <v>2772</v>
      </c>
      <c r="B107" s="2811" t="str">
        <f>B103</f>
        <v>总价（万元）</v>
      </c>
      <c r="C107" s="2812">
        <f ca="1">H125</f>
        <v>4684</v>
      </c>
      <c r="D107" s="2813"/>
      <c r="E107" s="1461"/>
      <c r="F107" s="3344" t="s">
        <v>2778</v>
      </c>
      <c r="G107" s="3345"/>
      <c r="H107" s="2819" t="str">
        <f>C112</f>
        <v>总额（万元）</v>
      </c>
      <c r="I107" s="2818">
        <f>SUMIF(I108:I110,"&lt;9E307")</f>
        <v>0</v>
      </c>
      <c r="J107" s="2860"/>
    </row>
    <row r="108" spans="1:36" ht="15" thickBot="1">
      <c r="A108" s="3293"/>
      <c r="B108" s="2814" t="s">
        <v>2770</v>
      </c>
      <c r="C108" s="2815">
        <f ca="1">I125</f>
        <v>28526</v>
      </c>
      <c r="D108" s="2816"/>
      <c r="E108" s="1461"/>
      <c r="F108" s="3321" t="s">
        <v>2779</v>
      </c>
      <c r="G108" s="3322"/>
      <c r="H108" s="2819" t="str">
        <f>C113</f>
        <v>总额（万元）</v>
      </c>
      <c r="I108" s="2820">
        <f>IF(D38="同一抵押权人同一抵押物续贷",C38&amp;"（续贷，未扣减，详见特别提示）",C38)</f>
        <v>0</v>
      </c>
      <c r="J108" s="2844"/>
      <c r="L108" s="1464" t="str">
        <f>IF(D125=0,"本次评估不存在"&amp;A125&amp;"。","本次评估"&amp;A125&amp;"为"&amp;D125&amp;"元人民币。")</f>
        <v>本次评估不存在北京市房地产。</v>
      </c>
      <c r="M108" s="1461"/>
      <c r="N108" s="1461"/>
      <c r="O108" s="1461"/>
      <c r="P108" s="1461"/>
      <c r="Q108" s="1461"/>
    </row>
    <row r="109" spans="1:36" ht="15">
      <c r="A109" s="3341" t="s">
        <v>1870</v>
      </c>
      <c r="B109" s="3342"/>
      <c r="C109" s="3342"/>
      <c r="D109" s="3343"/>
      <c r="E109" s="1461"/>
      <c r="F109" s="3321" t="s">
        <v>2780</v>
      </c>
      <c r="G109" s="3322"/>
      <c r="H109" s="2819" t="str">
        <f>C114</f>
        <v>总额（万元）</v>
      </c>
      <c r="I109" s="52">
        <f>C39</f>
        <v>0</v>
      </c>
      <c r="J109" s="2844"/>
    </row>
    <row r="110" spans="1:36" ht="12.75">
      <c r="A110" s="3295" t="s">
        <v>2783</v>
      </c>
      <c r="B110" s="3296"/>
      <c r="C110" s="2817" t="str">
        <f>B103</f>
        <v>总价（万元）</v>
      </c>
      <c r="D110" s="2818">
        <f ca="1">H125</f>
        <v>4684</v>
      </c>
      <c r="E110" s="1461"/>
      <c r="F110" s="3321" t="s">
        <v>2781</v>
      </c>
      <c r="G110" s="3322"/>
      <c r="H110" s="2819" t="str">
        <f>C115</f>
        <v>总额（万元）</v>
      </c>
      <c r="I110" s="52">
        <f>C40</f>
        <v>0</v>
      </c>
      <c r="J110" s="2844"/>
    </row>
    <row r="111" spans="1:36" ht="12.75">
      <c r="A111" s="3295"/>
      <c r="B111" s="3296"/>
      <c r="C111" s="2817" t="s">
        <v>2784</v>
      </c>
      <c r="D111" s="52">
        <f ca="1">I125</f>
        <v>28526</v>
      </c>
      <c r="E111" s="1461"/>
      <c r="F111" s="3295"/>
      <c r="G111" s="3296"/>
      <c r="H111" s="3319"/>
      <c r="I111" s="3320"/>
      <c r="J111" s="2862"/>
    </row>
    <row r="112" spans="1:36" ht="28.5" customHeight="1">
      <c r="A112" s="3346" t="s">
        <v>2778</v>
      </c>
      <c r="B112" s="3347"/>
      <c r="C112" s="2819" t="str">
        <f>IF(H19="元","总额（元）","总额（万元）")</f>
        <v>总额（万元）</v>
      </c>
      <c r="D112" s="2818">
        <f>IF(D38="正常操作",I108+I109+I110,I109+I110)</f>
        <v>0</v>
      </c>
      <c r="E112" s="1461"/>
      <c r="F112" s="3323" t="str">
        <f>IF(项目基本情况!F5="已注销","——","3.房地产抵押价值")</f>
        <v>3.房地产抵押价值</v>
      </c>
      <c r="G112" s="3324"/>
      <c r="H112" s="1481" t="str">
        <f>C116</f>
        <v>总价（万元）</v>
      </c>
      <c r="I112" s="2818">
        <f ca="1">IF(F112="——","——",I104-I107)</f>
        <v>4684</v>
      </c>
      <c r="J112" s="2860"/>
    </row>
    <row r="113" spans="1:27" ht="12.75">
      <c r="A113" s="3321" t="s">
        <v>2785</v>
      </c>
      <c r="B113" s="3322"/>
      <c r="C113" s="2819" t="str">
        <f>C112</f>
        <v>总额（万元）</v>
      </c>
      <c r="D113" s="52">
        <f>IF(D38="同一抵押权人同一抵押物续贷",C38&amp;"（未扣减，详见特别提示）",C38)</f>
        <v>0</v>
      </c>
      <c r="E113" s="1461"/>
      <c r="F113" s="3325"/>
      <c r="G113" s="3326"/>
      <c r="H113" s="2817" t="s">
        <v>2777</v>
      </c>
      <c r="I113" s="2821">
        <f ca="1">D117</f>
        <v>28526</v>
      </c>
      <c r="J113" s="2863"/>
    </row>
    <row r="114" spans="1:27" ht="12.75">
      <c r="A114" s="3321" t="s">
        <v>2786</v>
      </c>
      <c r="B114" s="3322"/>
      <c r="C114" s="2819" t="str">
        <f>C112</f>
        <v>总额（万元）</v>
      </c>
      <c r="D114" s="52">
        <f>C39</f>
        <v>0</v>
      </c>
      <c r="E114" s="1461"/>
      <c r="F114" s="3323" t="str">
        <f>IF(项目基本情况!F5="已注销及未注销","4.抵押担保权已注销时的房地产抵押价值",IF(项目基本情况!F5="已注销","3.抵押担保权已注销时的房地产抵押价值","——"))</f>
        <v>——</v>
      </c>
      <c r="G114" s="3324"/>
      <c r="H114" s="1481" t="str">
        <f>C118</f>
        <v>总价（万元）</v>
      </c>
      <c r="I114" s="2818" t="str">
        <f>IF(F114="——","——",I104-I109-I110)</f>
        <v>——</v>
      </c>
      <c r="J114" s="2860"/>
    </row>
    <row r="115" spans="1:27" ht="12.75">
      <c r="A115" s="3321" t="s">
        <v>2787</v>
      </c>
      <c r="B115" s="3322"/>
      <c r="C115" s="2819" t="str">
        <f>C112</f>
        <v>总额（万元）</v>
      </c>
      <c r="D115" s="52">
        <f>C40</f>
        <v>0</v>
      </c>
      <c r="E115" s="1461"/>
      <c r="F115" s="3325"/>
      <c r="G115" s="3326"/>
      <c r="H115" s="2817" t="s">
        <v>2777</v>
      </c>
      <c r="I115" s="52" t="str">
        <f>D119</f>
        <v>——</v>
      </c>
      <c r="J115" s="2844"/>
    </row>
    <row r="116" spans="1:27" ht="12.75">
      <c r="A116" s="3295" t="str">
        <f>IF(项目基本情况!F5="已注销","——","3.房地产抵押价值")</f>
        <v>3.房地产抵押价值</v>
      </c>
      <c r="B116" s="3296"/>
      <c r="C116" s="2817" t="str">
        <f>B103</f>
        <v>总价（万元）</v>
      </c>
      <c r="D116" s="2818">
        <f ca="1">IF(A116="——","——",D110-D112)</f>
        <v>4684</v>
      </c>
      <c r="E116" s="1461"/>
      <c r="F116" s="3323" t="str">
        <f>IF(项目基本情况!G5="抵押净值",IF(OR(项目基本情况!F5="已注销",项目基本情况!F5="房地产抵押价值"),"4.抵押净值","5.抵押净值"),"——")</f>
        <v>4.抵押净值</v>
      </c>
      <c r="G116" s="3324"/>
      <c r="H116" s="2817" t="str">
        <f>C120</f>
        <v>总价（万元）</v>
      </c>
      <c r="I116" s="2818">
        <f ca="1">IF(F116="——","——",O61)</f>
        <v>4682</v>
      </c>
      <c r="J116" s="2860"/>
    </row>
    <row r="117" spans="1:27" ht="13.5" thickBot="1">
      <c r="A117" s="3295"/>
      <c r="B117" s="3296"/>
      <c r="C117" s="2817" t="s">
        <v>2784</v>
      </c>
      <c r="D117" s="52">
        <f ca="1">ROUND(IF(D116=D110,D111,IF(H19="元",D116/B125,D116*10000/B125)),0)</f>
        <v>28526</v>
      </c>
      <c r="E117" s="1461"/>
      <c r="F117" s="3332"/>
      <c r="G117" s="3333"/>
      <c r="H117" s="2822" t="s">
        <v>2777</v>
      </c>
      <c r="I117" s="2806">
        <f ca="1">D121</f>
        <v>28514</v>
      </c>
      <c r="J117" s="2844"/>
    </row>
    <row r="118" spans="1:27" ht="15.75">
      <c r="A118" s="3295" t="str">
        <f>IF(项目基本情况!F5="已注销及未注销","4.抵押担保权已注销时的房地产抵押价值",IF(项目基本情况!F5="已注销","3.抵押担保权已注销时的房地产抵押价值","——"))</f>
        <v>——</v>
      </c>
      <c r="B118" s="3296"/>
      <c r="C118" s="2817" t="str">
        <f>B103</f>
        <v>总价（万元）</v>
      </c>
      <c r="D118" s="2818" t="str">
        <f>IF(A118="——","——",D110-D114-D115)</f>
        <v>——</v>
      </c>
      <c r="E118" s="1461"/>
      <c r="F118" s="3336"/>
      <c r="G118" s="3336"/>
      <c r="H118" s="3337"/>
      <c r="I118" s="3337"/>
      <c r="J118" s="2864"/>
      <c r="O118" s="32"/>
      <c r="P118" s="32"/>
    </row>
    <row r="119" spans="1:27" s="1308" customFormat="1" ht="12.75">
      <c r="A119" s="3295"/>
      <c r="B119" s="3296"/>
      <c r="C119" s="2817" t="s">
        <v>2784</v>
      </c>
      <c r="D119" s="52" t="str">
        <f>IF(A118="——","——",IF(H19="元",ROUND(D118/B125,0),ROUND(D118*10000/B125,0)))</f>
        <v>——</v>
      </c>
      <c r="E119" s="1461"/>
      <c r="F119" s="3338" t="str">
        <f>IF(B33="总价","（以上估价结果中楼面单价为总价除以建筑面积得出）","（以上估价结果中总价为楼面单价乘以建筑面积得出）")</f>
        <v>（以上估价结果中总价为楼面单价乘以建筑面积得出）</v>
      </c>
      <c r="G119" s="3338"/>
      <c r="H119" s="3338"/>
      <c r="I119" s="3338"/>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5" t="str">
        <f>IF(项目基本情况!G5="抵押净值",IF(OR(项目基本情况!F5="已注销",项目基本情况!F5="房地产抵押价值"),"4.抵押净值","5.抵押净值"),"——")</f>
        <v>4.抵押净值</v>
      </c>
      <c r="B120" s="3296"/>
      <c r="C120" s="2817" t="str">
        <f>B103</f>
        <v>总价（万元）</v>
      </c>
      <c r="D120" s="2818">
        <f ca="1">IF(A120="——","——",O61)</f>
        <v>4682</v>
      </c>
      <c r="E120" s="1461"/>
      <c r="F120" s="1515"/>
      <c r="G120" s="1515"/>
      <c r="H120" s="1515"/>
      <c r="I120" s="1515"/>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34"/>
      <c r="B121" s="3335"/>
      <c r="C121" s="2822" t="s">
        <v>2784</v>
      </c>
      <c r="D121" s="2806">
        <f ca="1">IF(D120=D110,D111,IF(A120="——","——",O63))</f>
        <v>28514</v>
      </c>
      <c r="E121" s="1461"/>
      <c r="F121" s="1515"/>
      <c r="G121" s="1515"/>
      <c r="H121" s="1515"/>
      <c r="I121" s="1515"/>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9" t="s">
        <v>1909</v>
      </c>
      <c r="B122" s="3340"/>
      <c r="C122" s="3340"/>
      <c r="D122" s="3340"/>
      <c r="E122" s="3340"/>
      <c r="F122" s="3340"/>
      <c r="G122" s="3340"/>
      <c r="H122" s="3340"/>
      <c r="I122" s="3340"/>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00" t="s">
        <v>2788</v>
      </c>
      <c r="B123" s="3327" t="s">
        <v>2789</v>
      </c>
      <c r="C123" s="3327" t="s">
        <v>2795</v>
      </c>
      <c r="D123" s="3329" t="s">
        <v>2790</v>
      </c>
      <c r="E123" s="3330"/>
      <c r="F123" s="3301" t="s">
        <v>2796</v>
      </c>
      <c r="G123" s="3301"/>
      <c r="H123" s="3301" t="s">
        <v>2791</v>
      </c>
      <c r="I123" s="3331"/>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00"/>
      <c r="B124" s="3328"/>
      <c r="C124" s="3328"/>
      <c r="D124" s="2092" t="s">
        <v>2792</v>
      </c>
      <c r="E124" s="2092" t="s">
        <v>2797</v>
      </c>
      <c r="F124" s="2092" t="s">
        <v>2792</v>
      </c>
      <c r="G124" s="2092" t="s">
        <v>2793</v>
      </c>
      <c r="H124" s="2092" t="s">
        <v>2792</v>
      </c>
      <c r="I124" s="52" t="s">
        <v>2793</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1642.01</v>
      </c>
      <c r="C125" s="1456"/>
      <c r="D125" s="2092">
        <f>C36</f>
        <v>0</v>
      </c>
      <c r="E125" s="2092">
        <f>ROUND(IF(H19="元",D125/B125,D125*10000/B125),0)</f>
        <v>0</v>
      </c>
      <c r="F125" s="2092">
        <f>C37</f>
        <v>0</v>
      </c>
      <c r="G125" s="2092">
        <f>ROUND(IF(H19="元",F125/B125,F125*10000/B125),0)</f>
        <v>0</v>
      </c>
      <c r="H125" s="2092">
        <f ca="1">C34</f>
        <v>4684</v>
      </c>
      <c r="I125" s="52">
        <f ca="1">C35</f>
        <v>28526</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00" t="s">
        <v>2794</v>
      </c>
      <c r="B126" s="3301"/>
      <c r="C126" s="3301"/>
      <c r="D126" s="3314" t="str">
        <f>IF(H19="元",NUMBERSTRING(INT(D125),2)&amp;"元整",NUMBERSTRING(INT(D125*10000),2)&amp;"元整")</f>
        <v>零元整</v>
      </c>
      <c r="E126" s="3315"/>
      <c r="F126" s="3314" t="str">
        <f>IF(H19="元",NUMBERSTRING(INT(F125),2)&amp;"元整",NUMBERSTRING(INT(F125*10000),2)&amp;"元整")</f>
        <v>零元整</v>
      </c>
      <c r="G126" s="3315"/>
      <c r="H126" s="3314" t="str">
        <f ca="1">IF(H19="元",NUMBERSTRING(INT(H125),2)&amp;"元整",NUMBERSTRING(INT(H125*10000),2)&amp;"元整")</f>
        <v>肆仟陆佰捌拾肆万元整</v>
      </c>
      <c r="I126" s="3316"/>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7" t="str">
        <f>IF(项目基本情况!D5="房地产市场价值","——",MID(A112,3,LEN(A112)-2))</f>
        <v>估价师所知悉的法定优先受偿款</v>
      </c>
      <c r="B127" s="3312"/>
      <c r="C127" s="3318"/>
      <c r="D127" s="3304">
        <f>I107</f>
        <v>0</v>
      </c>
      <c r="E127" s="3312"/>
      <c r="F127" s="3312"/>
      <c r="G127" s="3312"/>
      <c r="H127" s="3312"/>
      <c r="I127" s="3313"/>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06" t="s">
        <v>2794</v>
      </c>
      <c r="B128" s="3307"/>
      <c r="C128" s="3308"/>
      <c r="D128" s="3309">
        <f>H111</f>
        <v>0</v>
      </c>
      <c r="E128" s="3310"/>
      <c r="F128" s="3310"/>
      <c r="G128" s="3310"/>
      <c r="H128" s="3310"/>
      <c r="I128" s="3311"/>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5" t="str">
        <f>IF(项目基本情况!D5="房地产市场价值","——",MID(A116,3,LEN(A116)-2))</f>
        <v>房地产抵押价值</v>
      </c>
      <c r="B129" s="3296"/>
      <c r="C129" s="3296"/>
      <c r="D129" s="3304">
        <f ca="1">I112</f>
        <v>4684</v>
      </c>
      <c r="E129" s="3312"/>
      <c r="F129" s="3312"/>
      <c r="G129" s="3312"/>
      <c r="H129" s="3312"/>
      <c r="I129" s="3313"/>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00" t="s">
        <v>2794</v>
      </c>
      <c r="B130" s="3301"/>
      <c r="C130" s="3301"/>
      <c r="D130" s="3309">
        <f ca="1">I113</f>
        <v>28526</v>
      </c>
      <c r="E130" s="3310"/>
      <c r="F130" s="3310"/>
      <c r="G130" s="3310"/>
      <c r="H130" s="3310"/>
      <c r="I130" s="3311"/>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5" t="str">
        <f>IF(项目基本情况!D5="房地产市场价值","——",MID(A118,3,LEN(A118)-2))</f>
        <v/>
      </c>
      <c r="B131" s="3296"/>
      <c r="C131" s="3296"/>
      <c r="D131" s="3297" t="str">
        <f>I114</f>
        <v>——</v>
      </c>
      <c r="E131" s="3298"/>
      <c r="F131" s="3298"/>
      <c r="G131" s="3298"/>
      <c r="H131" s="3298"/>
      <c r="I131" s="3299"/>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00" t="s">
        <v>2794</v>
      </c>
      <c r="B132" s="3301"/>
      <c r="C132" s="3302"/>
      <c r="D132" s="3303" t="str">
        <f>I115</f>
        <v>——</v>
      </c>
      <c r="E132" s="3303"/>
      <c r="F132" s="3303"/>
      <c r="G132" s="3303"/>
      <c r="H132" s="3303"/>
      <c r="I132" s="3303"/>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5" t="str">
        <f>IF(项目基本情况!D5="房地产市场价值","——",MID(F116,3,LEN(F116)-2))</f>
        <v>抵押净值</v>
      </c>
      <c r="B133" s="3296"/>
      <c r="C133" s="3304"/>
      <c r="D133" s="3305">
        <f ca="1">I116</f>
        <v>4682</v>
      </c>
      <c r="E133" s="3305"/>
      <c r="F133" s="3305"/>
      <c r="G133" s="3305"/>
      <c r="H133" s="3305"/>
      <c r="I133" s="3305"/>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6" t="s">
        <v>2794</v>
      </c>
      <c r="B134" s="3287"/>
      <c r="C134" s="3287"/>
      <c r="D134" s="3288">
        <f>H118</f>
        <v>0</v>
      </c>
      <c r="E134" s="3289"/>
      <c r="F134" s="3289"/>
      <c r="G134" s="3289"/>
      <c r="H134" s="3289"/>
      <c r="I134" s="3290"/>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91" t="str">
        <f>IF(B33="总价","（以上估价结果中楼面单价为总价除以建筑面积得出）","（以上估价结果中总价为楼面单价乘以建筑面积得出）")</f>
        <v>（以上估价结果中总价为楼面单价乘以建筑面积得出）</v>
      </c>
      <c r="B136" s="3291"/>
      <c r="C136" s="3291"/>
      <c r="D136" s="3291"/>
      <c r="E136" s="3291"/>
      <c r="F136" s="3291"/>
      <c r="G136" s="3291"/>
      <c r="H136" s="3291"/>
      <c r="I136" s="3291"/>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1872</v>
      </c>
      <c r="B137" s="1492"/>
      <c r="C137" s="1493" t="s">
        <v>1873</v>
      </c>
      <c r="D137" s="1494"/>
      <c r="E137" s="1494"/>
      <c r="F137" s="1494"/>
      <c r="G137" s="1494"/>
      <c r="H137" s="1495"/>
      <c r="I137" s="1496"/>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1874</v>
      </c>
      <c r="G143" s="1505"/>
      <c r="H143" s="1505"/>
      <c r="I143" s="1506" t="s">
        <v>1875</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1876</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1877</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1878</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1877</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83" priority="9" stopIfTrue="1" operator="equal">
      <formula>25</formula>
    </cfRule>
  </conditionalFormatting>
  <conditionalFormatting sqref="C8:C9">
    <cfRule type="cellIs" dxfId="182" priority="8" stopIfTrue="1" operator="equal">
      <formula>15</formula>
    </cfRule>
  </conditionalFormatting>
  <conditionalFormatting sqref="C14:C16">
    <cfRule type="cellIs" dxfId="181" priority="7" stopIfTrue="1" operator="equal">
      <formula>30</formula>
    </cfRule>
  </conditionalFormatting>
  <conditionalFormatting sqref="D5:D7">
    <cfRule type="cellIs" dxfId="180" priority="6" stopIfTrue="1" operator="equal">
      <formula>25</formula>
    </cfRule>
  </conditionalFormatting>
  <conditionalFormatting sqref="D8:D9">
    <cfRule type="cellIs" dxfId="179" priority="5" stopIfTrue="1" operator="equal">
      <formula>15</formula>
    </cfRule>
  </conditionalFormatting>
  <conditionalFormatting sqref="C10:D13">
    <cfRule type="cellIs" dxfId="178" priority="4" stopIfTrue="1" operator="equal">
      <formula>15</formula>
    </cfRule>
  </conditionalFormatting>
  <conditionalFormatting sqref="D14:D16">
    <cfRule type="cellIs" dxfId="177" priority="3" stopIfTrue="1" operator="equal">
      <formula>30</formula>
    </cfRule>
  </conditionalFormatting>
  <conditionalFormatting sqref="C92">
    <cfRule type="expression" dxfId="176" priority="2" stopIfTrue="1">
      <formula>$H$90&lt;&gt;"仅含出让金"</formula>
    </cfRule>
  </conditionalFormatting>
  <conditionalFormatting sqref="C93">
    <cfRule type="expression" dxfId="175" priority="1" stopIfTrue="1">
      <formula>$H$93="由企业提供"</formula>
    </cfRule>
  </conditionalFormatting>
  <dataValidations disablePrompts="1"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1911</v>
      </c>
      <c r="B2" s="82">
        <f ca="1">IF(D2="——",IF(C2="元",C52,ROUND(C52/10000,0)),IF(C2="元",C52,ROUND(C52/10000,0))-E2)</f>
        <v>1109</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1912</v>
      </c>
      <c r="B3" s="84">
        <f ca="1">ROUND(C52/IF(B1="仅计算典型户型",'数据-取费表'!E5,'数据-取费表'!B5),0)</f>
        <v>6753</v>
      </c>
      <c r="C3" s="79" t="s">
        <v>1913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1914</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1915</v>
      </c>
      <c r="B5" s="89" t="s">
        <v>1916</v>
      </c>
      <c r="C5" s="111">
        <f>C6+C7+C8</f>
        <v>1030500</v>
      </c>
      <c r="D5" s="111" t="s">
        <v>1917</v>
      </c>
      <c r="E5" s="1166" t="s">
        <v>1918</v>
      </c>
      <c r="F5" s="1166" t="s">
        <v>1919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1920</v>
      </c>
      <c r="B6" s="93" t="s">
        <v>1921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1922</v>
      </c>
      <c r="B7" s="93" t="s">
        <v>1923</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1924</v>
      </c>
      <c r="B8" s="93" t="s">
        <v>1925</v>
      </c>
      <c r="C8" s="115">
        <f>IF(G8="已包含在土地购买价格中","0",'数据-取费表'!E13)</f>
        <v>0</v>
      </c>
      <c r="D8" s="1170"/>
      <c r="E8" s="115"/>
      <c r="F8" s="1169"/>
      <c r="G8" s="1518"/>
    </row>
    <row r="9" spans="1:123" s="91" customFormat="1" ht="13.5" customHeight="1">
      <c r="A9" s="993" t="s">
        <v>945</v>
      </c>
      <c r="B9" s="97" t="s">
        <v>1926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1927</v>
      </c>
      <c r="C10" s="1171">
        <f>ROUND(D10*E10,0)</f>
        <v>328402</v>
      </c>
      <c r="D10" s="1172">
        <f>IF('数据-取费表'!B10&lt;&gt;"住宅",IF(B1="仅计算典型户型",'数据-取费表'!E5,'数据-取费表'!B5),0)</f>
        <v>1642.01</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1929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1925</v>
      </c>
      <c r="C14" s="111"/>
      <c r="D14" s="115"/>
      <c r="E14" s="1168"/>
      <c r="F14" s="1168"/>
      <c r="G14" s="95" t="s">
        <v>1931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1932</v>
      </c>
      <c r="C15" s="115"/>
      <c r="D15" s="115"/>
      <c r="E15" s="1168"/>
      <c r="F15" s="1168"/>
      <c r="G15" s="95" t="s">
        <v>1933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1934</v>
      </c>
      <c r="C17" s="1174"/>
      <c r="D17" s="1174"/>
      <c r="E17" s="1174"/>
      <c r="F17" s="1174"/>
      <c r="G17" s="95" t="s">
        <v>1933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1935</v>
      </c>
      <c r="C18" s="115">
        <v>0</v>
      </c>
      <c r="D18" s="115"/>
      <c r="E18" s="1168"/>
      <c r="F18" s="1169">
        <v>3.0499999999999999E-2</v>
      </c>
      <c r="G18" s="95" t="s">
        <v>1936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1937</v>
      </c>
      <c r="B19" s="89" t="s">
        <v>1938</v>
      </c>
      <c r="C19" s="111">
        <f>IF(G19="已包含在土地取得成本中","0",ROUND(D19*E19,0))</f>
        <v>328402</v>
      </c>
      <c r="D19" s="1175">
        <f>IF(B1="仅计算典型户型",'数据-取费表'!E5,'数据-取费表'!B5)</f>
        <v>1642.01</v>
      </c>
      <c r="E19" s="111">
        <f>'数据-取费表'!E15</f>
        <v>200</v>
      </c>
      <c r="F19" s="112"/>
      <c r="G19" s="1518"/>
    </row>
    <row r="20" spans="1:123" s="91" customFormat="1" ht="13.5" customHeight="1">
      <c r="A20" s="120" t="s">
        <v>1939</v>
      </c>
      <c r="B20" s="89" t="s">
        <v>1940</v>
      </c>
      <c r="C20" s="99">
        <f>ROUND((C5+C19)*F20,0)</f>
        <v>27178</v>
      </c>
      <c r="D20" s="99"/>
      <c r="E20" s="99"/>
      <c r="F20" s="103">
        <f>'数据-取费表'!E25</f>
        <v>0.02</v>
      </c>
      <c r="G20" s="100" t="s">
        <v>1941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1942</v>
      </c>
      <c r="B21" s="89" t="s">
        <v>1943</v>
      </c>
      <c r="C21" s="101">
        <f>F21</f>
        <v>0.02</v>
      </c>
      <c r="D21" s="102" t="s">
        <v>1944</v>
      </c>
      <c r="E21" s="99"/>
      <c r="F21" s="103">
        <f>'数据-取费表'!E26</f>
        <v>0.02</v>
      </c>
      <c r="G21" s="100" t="s">
        <v>1945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1946</v>
      </c>
      <c r="B22" s="89" t="s">
        <v>1947</v>
      </c>
      <c r="C22" s="121">
        <f ca="1">ROUND(SUM(C23:C25),0)</f>
        <v>121977</v>
      </c>
      <c r="D22" s="101">
        <f ca="1">C26</f>
        <v>8.9999999999999998E-4</v>
      </c>
      <c r="E22" s="102" t="s">
        <v>1944</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1948</v>
      </c>
      <c r="B23" s="93" t="s">
        <v>1949</v>
      </c>
      <c r="C23" s="1125">
        <f ca="1">ROUND(IF('数据-取费表'!B24&lt;=1,C5*F22*'数据-取费表'!B25,C5*(POWER((1+F22),'数据-取费表'!B25)-1)),0)</f>
        <v>91603</v>
      </c>
      <c r="D23" s="104"/>
      <c r="E23" s="104"/>
      <c r="F23" s="105"/>
      <c r="G23" s="106" t="s">
        <v>1950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1922</v>
      </c>
      <c r="B24" s="93" t="s">
        <v>1951</v>
      </c>
      <c r="C24" s="1125">
        <f ca="1">ROUND(IF('数据-取费表'!B24&lt;=1,C19*F22*('数据-取费表'!B21/2+'数据-取费表'!B23),C19*(POWER((1+F22),('数据-取费表'!B21/2+'数据-取费表'!B23))-1)),0)</f>
        <v>29192</v>
      </c>
      <c r="D24" s="104"/>
      <c r="E24" s="104"/>
      <c r="F24" s="105"/>
      <c r="G24" s="106" t="s">
        <v>1952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1924</v>
      </c>
      <c r="B25" s="93" t="s">
        <v>1953</v>
      </c>
      <c r="C25" s="1125">
        <f ca="1">ROUND(IF('数据-取费表'!B24&lt;=1,C20*F22*'数据-取费表'!B25/2,C20*(POWER((1+F22),'数据-取费表'!B25/2)-1)),0)</f>
        <v>1182</v>
      </c>
      <c r="D25" s="104"/>
      <c r="E25" s="107"/>
      <c r="F25" s="105"/>
      <c r="G25" s="108" t="s">
        <v>1954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1955</v>
      </c>
      <c r="B26" s="93" t="s">
        <v>1956</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1957</v>
      </c>
      <c r="B27" s="110" t="s">
        <v>1958</v>
      </c>
      <c r="C27" s="111">
        <f>C28</f>
        <v>207912</v>
      </c>
      <c r="D27" s="101">
        <f>C29</f>
        <v>3.0000000000000001E-3</v>
      </c>
      <c r="E27" s="102" t="s">
        <v>1944</v>
      </c>
      <c r="F27" s="112">
        <f>'数据-取费表'!E28</f>
        <v>0.15</v>
      </c>
      <c r="G27" s="113" t="s">
        <v>1959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1948</v>
      </c>
      <c r="B28" s="114" t="s">
        <v>1960</v>
      </c>
      <c r="C28" s="115">
        <f>ROUND((C5+C19+C20)*F27*'数据-取费表'!B23/'数据-取费表'!B22,0)</f>
        <v>207912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1922</v>
      </c>
      <c r="B29" s="114" t="s">
        <v>1961</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1962</v>
      </c>
      <c r="B30" s="89" t="s">
        <v>1963</v>
      </c>
      <c r="C30" s="101">
        <f>ROUND(F30/(1+'数据-取费表'!F30),4)</f>
        <v>5.2400000000000002E-2</v>
      </c>
      <c r="D30" s="102" t="s">
        <v>1944</v>
      </c>
      <c r="E30" s="107"/>
      <c r="F30" s="103">
        <f>'数据-取费表'!E29</f>
        <v>5.5000000000000007E-2</v>
      </c>
      <c r="G30" s="100" t="s">
        <v>1964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1965</v>
      </c>
      <c r="C31" s="111">
        <f ca="1">ROUND((C5+C19+C20+C22+C27)/(1-C21-D22-D27-C30),0)</f>
        <v>1857712</v>
      </c>
      <c r="D31" s="1175"/>
      <c r="E31" s="111"/>
      <c r="F31" s="1176"/>
      <c r="G31" s="100" t="s">
        <v>1966</v>
      </c>
    </row>
    <row r="32" spans="1:123" s="88" customFormat="1" ht="15.75">
      <c r="A32" s="117" t="s">
        <v>1967</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1968</v>
      </c>
      <c r="B33" s="89" t="s">
        <v>1969</v>
      </c>
      <c r="C33" s="121">
        <f>SUM(C34:C38)</f>
        <v>8049954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1948</v>
      </c>
      <c r="B34" s="93" t="s">
        <v>1970</v>
      </c>
      <c r="C34" s="115">
        <f>IF(B1="仅计算典型户型",'数据-取费表'!F18,'数据-取费表'!E18)</f>
        <v>7389045</v>
      </c>
      <c r="D34" s="1167"/>
      <c r="E34" s="115"/>
      <c r="F34" s="1178" t="str">
        <f>IF('数据-取费表'!B26=0,"",'数据-取费表'!E20)</f>
        <v/>
      </c>
      <c r="G34" s="95"/>
    </row>
    <row r="35" spans="1:123" ht="13.5" customHeight="1">
      <c r="A35" s="92" t="s">
        <v>1922</v>
      </c>
      <c r="B35" s="93" t="s">
        <v>1971</v>
      </c>
      <c r="C35" s="115">
        <f>ROUND(C34*F35,0)</f>
        <v>221671</v>
      </c>
      <c r="D35" s="115"/>
      <c r="E35" s="115"/>
      <c r="F35" s="1179">
        <f>'数据-取费表'!E21</f>
        <v>0.03</v>
      </c>
      <c r="G35" s="95" t="s">
        <v>1972</v>
      </c>
    </row>
    <row r="36" spans="1:123" ht="24">
      <c r="A36" s="92" t="s">
        <v>1924</v>
      </c>
      <c r="B36" s="93" t="s">
        <v>1973</v>
      </c>
      <c r="C36" s="115">
        <f>ROUND(IF('数据-取费表'!B10="住宅",C34*F36,0),0)</f>
        <v>0</v>
      </c>
      <c r="D36" s="115"/>
      <c r="E36" s="115"/>
      <c r="F36" s="1179">
        <f>'数据-取费表'!E22</f>
        <v>0.05</v>
      </c>
      <c r="G36" s="123" t="s">
        <v>1974</v>
      </c>
    </row>
    <row r="37" spans="1:123" s="122" customFormat="1" ht="13.5" customHeight="1">
      <c r="A37" s="92" t="s">
        <v>1955</v>
      </c>
      <c r="B37" s="93" t="s">
        <v>1975</v>
      </c>
      <c r="C37" s="115">
        <f>ROUND(E37*D37,0)</f>
        <v>328402</v>
      </c>
      <c r="D37" s="1167">
        <f>IF(B1="仅计算典型户型",'数据-取费表'!E5,'数据-取费表'!B5)</f>
        <v>1642.01</v>
      </c>
      <c r="E37" s="115">
        <f>'数据-取费表'!E23</f>
        <v>200</v>
      </c>
      <c r="F37" s="1179"/>
      <c r="G37" s="124" t="s">
        <v>1976</v>
      </c>
    </row>
    <row r="38" spans="1:123" ht="13.5" customHeight="1">
      <c r="A38" s="92" t="s">
        <v>1977</v>
      </c>
      <c r="B38" s="93" t="s">
        <v>1978</v>
      </c>
      <c r="C38" s="115">
        <f>ROUND(C34*F38,0)</f>
        <v>110836</v>
      </c>
      <c r="D38" s="115"/>
      <c r="E38" s="115"/>
      <c r="F38" s="1179">
        <f>'数据-取费表'!E24</f>
        <v>1.4999999999999999E-2</v>
      </c>
      <c r="G38" s="95" t="s">
        <v>1972</v>
      </c>
    </row>
    <row r="39" spans="1:123" s="91" customFormat="1" ht="13.5" customHeight="1">
      <c r="A39" s="120" t="s">
        <v>1937</v>
      </c>
      <c r="B39" s="89" t="s">
        <v>1940</v>
      </c>
      <c r="C39" s="99">
        <f>ROUND(C33*F20,0)</f>
        <v>160999</v>
      </c>
      <c r="D39" s="99"/>
      <c r="E39" s="99"/>
      <c r="F39" s="2886">
        <f>F20</f>
        <v>0.02</v>
      </c>
      <c r="G39" s="100" t="s">
        <v>1979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1939</v>
      </c>
      <c r="B40" s="89" t="s">
        <v>1943</v>
      </c>
      <c r="C40" s="1302">
        <f>F21</f>
        <v>0.02</v>
      </c>
      <c r="D40" s="102" t="s">
        <v>1980</v>
      </c>
      <c r="E40" s="99"/>
      <c r="F40" s="2886">
        <f>F21</f>
        <v>0.02</v>
      </c>
      <c r="G40" s="100" t="s">
        <v>1981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1942</v>
      </c>
      <c r="B41" s="89" t="s">
        <v>1947</v>
      </c>
      <c r="C41" s="99">
        <f ca="1">ROUND(SUM(C42:C43),0)</f>
        <v>357176</v>
      </c>
      <c r="D41" s="101">
        <f ca="1">C44</f>
        <v>8.9999999999999998E-4</v>
      </c>
      <c r="E41" s="102" t="s">
        <v>1980</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1948</v>
      </c>
      <c r="B42" s="93" t="s">
        <v>1949</v>
      </c>
      <c r="C42" s="104">
        <f ca="1">ROUND(IF('数据-取费表'!B24&lt;=1,C33*F22*'数据-取费表'!B23/2,C33*(POWER((1+F22),'数据-取费表'!B23/2)-1)),0)</f>
        <v>350173</v>
      </c>
      <c r="D42" s="104"/>
      <c r="E42" s="104"/>
      <c r="F42" s="105"/>
      <c r="G42" s="3409" t="s">
        <v>1982</v>
      </c>
    </row>
    <row r="43" spans="1:123" ht="13.5" customHeight="1">
      <c r="A43" s="92" t="s">
        <v>1922</v>
      </c>
      <c r="B43" s="93" t="s">
        <v>1951</v>
      </c>
      <c r="C43" s="104">
        <f ca="1">ROUND(IF('数据-取费表'!B24&lt;=1,C39*F22*'数据-取费表'!B23/2,C39*(POWER((1+F22),'数据-取费表'!B23/2)-1)),0)</f>
        <v>7003</v>
      </c>
      <c r="D43" s="104"/>
      <c r="E43" s="104"/>
      <c r="F43" s="105"/>
      <c r="G43" s="3410"/>
    </row>
    <row r="44" spans="1:123" ht="13.5" customHeight="1">
      <c r="A44" s="92" t="s">
        <v>1924</v>
      </c>
      <c r="B44" s="93" t="s">
        <v>1953</v>
      </c>
      <c r="C44" s="104">
        <f ca="1">ROUND(IF('数据-取费表'!B24&lt;=1,C40*F22*'数据-取费表'!B23/2,C40*(POWER((1+F22),'数据-取费表'!B23/2)-1)),4)</f>
        <v>8.9999999999999998E-4</v>
      </c>
      <c r="D44" s="104"/>
      <c r="E44" s="104"/>
      <c r="F44" s="105"/>
      <c r="G44" s="3411"/>
    </row>
    <row r="45" spans="1:123" s="91" customFormat="1" ht="13.5" customHeight="1">
      <c r="A45" s="120" t="s">
        <v>1946</v>
      </c>
      <c r="B45" s="110" t="s">
        <v>1958</v>
      </c>
      <c r="C45" s="111">
        <f>C46</f>
        <v>1231643</v>
      </c>
      <c r="D45" s="101">
        <f>C47</f>
        <v>3.0000000000000001E-3</v>
      </c>
      <c r="E45" s="102" t="s">
        <v>1980</v>
      </c>
      <c r="F45" s="2887">
        <f>F27</f>
        <v>0.15</v>
      </c>
      <c r="G45" s="113" t="s">
        <v>1983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1948</v>
      </c>
      <c r="B46" s="114" t="s">
        <v>1984</v>
      </c>
      <c r="C46" s="115">
        <f>ROUND((C33+C39)*F27,0)</f>
        <v>1231643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1922</v>
      </c>
      <c r="B47" s="114" t="s">
        <v>1985</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1957</v>
      </c>
      <c r="B48" s="89" t="s">
        <v>1986</v>
      </c>
      <c r="C48" s="1302">
        <f>ROUND(F30/(1+'数据-取费表'!F30),4)</f>
        <v>5.2400000000000002E-2</v>
      </c>
      <c r="D48" s="102" t="s">
        <v>1980</v>
      </c>
      <c r="E48" s="99"/>
      <c r="F48" s="2886">
        <f>F30</f>
        <v>5.5000000000000007E-2</v>
      </c>
      <c r="G48" s="100" t="s">
        <v>1987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1988</v>
      </c>
      <c r="B49" s="89" t="s">
        <v>1989</v>
      </c>
      <c r="C49" s="99">
        <f ca="1">ROUND((C33+C39+C41+C45)/(1-C40-D41-D45-C48),0)</f>
        <v>10609258</v>
      </c>
      <c r="D49" s="99"/>
      <c r="E49" s="99"/>
      <c r="F49" s="126"/>
      <c r="G49" s="100" t="s">
        <v>1990</v>
      </c>
    </row>
    <row r="50" spans="1:123" s="122" customFormat="1" ht="24">
      <c r="A50" s="994" t="s">
        <v>1991</v>
      </c>
      <c r="B50" s="89" t="s">
        <v>1992</v>
      </c>
      <c r="C50" s="99"/>
      <c r="D50" s="99"/>
      <c r="E50" s="99"/>
      <c r="F50" s="126">
        <f>IF('数据-取费表'!B26=0,'数据-取费表'!E20,1)</f>
        <v>0.87</v>
      </c>
      <c r="G50" s="113" t="s">
        <v>1993</v>
      </c>
    </row>
    <row r="51" spans="1:123" ht="16.5" customHeight="1">
      <c r="A51" s="994" t="s">
        <v>1994</v>
      </c>
      <c r="B51" s="89" t="s">
        <v>1995</v>
      </c>
      <c r="C51" s="99">
        <f ca="1">ROUND(C49*F50,0)</f>
        <v>9230054</v>
      </c>
      <c r="D51" s="99"/>
      <c r="E51" s="99"/>
      <c r="F51" s="126"/>
      <c r="G51" s="100" t="s">
        <v>1996</v>
      </c>
    </row>
    <row r="52" spans="1:123" s="88" customFormat="1" ht="16.5" thickBot="1">
      <c r="A52" s="127" t="s">
        <v>1997</v>
      </c>
      <c r="B52" s="128"/>
      <c r="C52" s="129">
        <f ca="1">C31+C51</f>
        <v>11087766</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1998</v>
      </c>
      <c r="C55" s="133"/>
    </row>
    <row r="56" spans="1:123">
      <c r="B56" s="135" t="s">
        <v>1999</v>
      </c>
      <c r="C56" s="136">
        <f ca="1">ROUND(C51/C52,3)</f>
        <v>0.83199999999999996</v>
      </c>
    </row>
    <row r="57" spans="1:123">
      <c r="B57" s="135" t="s">
        <v>2000</v>
      </c>
      <c r="C57" s="137">
        <f ca="1">1-C56</f>
        <v>0.16800000000000004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529</v>
      </c>
      <c r="C2" s="1401" t="str">
        <f>'数据-取费表'!B3</f>
        <v>万元</v>
      </c>
      <c r="D2" s="924"/>
      <c r="E2" s="924"/>
      <c r="F2" s="924"/>
      <c r="G2" s="924"/>
      <c r="H2" s="924"/>
      <c r="I2" s="924"/>
      <c r="J2" s="924"/>
      <c r="K2" s="924"/>
    </row>
    <row r="3" spans="1:33" s="139" customFormat="1" ht="18" customHeight="1" thickBot="1">
      <c r="A3" s="83" t="s">
        <v>1289</v>
      </c>
      <c r="B3" s="84">
        <f ca="1">ROUND(C32/IF(C1="仅计算典型户型",'数据-取费表'!E5,'数据-取费表'!B5),0)</f>
        <v>23053</v>
      </c>
      <c r="C3" s="1401" t="s">
        <v>1290</v>
      </c>
      <c r="D3" s="924"/>
      <c r="E3" s="924"/>
      <c r="F3" s="924"/>
      <c r="G3" s="924"/>
      <c r="H3" s="924"/>
      <c r="I3" s="924"/>
      <c r="J3" s="924"/>
      <c r="K3" s="924"/>
    </row>
    <row r="4" spans="1:33" s="143" customFormat="1" ht="16.5" customHeight="1">
      <c r="A4" s="140" t="s">
        <v>1291</v>
      </c>
      <c r="B4" s="141"/>
      <c r="C4" s="1123">
        <f>SUM(C8:K8)</f>
        <v>8033550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229.53</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8033550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1032885</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30987</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5968</v>
      </c>
      <c r="D14" s="164">
        <f>IF(C1="仅计算典型户型",'数据-取费表'!E5,'数据-取费表'!B5)</f>
        <v>229.53</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15493</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1085333</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229.53</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45906</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45906</v>
      </c>
      <c r="D20" s="164">
        <f>IF('数据-取费表'!B10&lt;&gt;"住宅",IF(C1="仅计算典型户型",'数据-取费表'!E5,'数据-取费表'!B5),0)</f>
        <v>229.53</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1131239</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22625</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20887</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176213</v>
      </c>
      <c r="D28" s="183">
        <f>C29</f>
        <v>0.15440000000000001</v>
      </c>
      <c r="E28" s="189" t="s">
        <v>12</v>
      </c>
      <c r="F28" s="200">
        <f>'数据-取费表'!E28</f>
        <v>0.15</v>
      </c>
      <c r="G28" s="185"/>
      <c r="H28" s="186"/>
      <c r="I28" s="186"/>
      <c r="J28" s="186"/>
      <c r="K28" s="187"/>
    </row>
    <row r="29" spans="1:33" s="204" customFormat="1" ht="13.5" customHeight="1">
      <c r="A29" s="996" t="s">
        <v>1342</v>
      </c>
      <c r="B29" s="202" t="s">
        <v>1343</v>
      </c>
      <c r="C29" s="193">
        <f>ROUND((1+C24)*F28,4)</f>
        <v>0.15440000000000001</v>
      </c>
      <c r="D29" s="193"/>
      <c r="E29" s="194"/>
      <c r="F29" s="203"/>
      <c r="G29" s="147" t="s">
        <v>1344</v>
      </c>
      <c r="H29" s="170"/>
      <c r="I29" s="170"/>
      <c r="J29" s="170"/>
      <c r="K29" s="171"/>
    </row>
    <row r="30" spans="1:33" s="204" customFormat="1" ht="13.5" customHeight="1">
      <c r="A30" s="996" t="s">
        <v>1345</v>
      </c>
      <c r="B30" s="202" t="s">
        <v>1346</v>
      </c>
      <c r="C30" s="205">
        <f>ROUND((C21+C22+C23)*F28,0)</f>
        <v>176213</v>
      </c>
      <c r="D30" s="193"/>
      <c r="E30" s="206"/>
      <c r="F30" s="203"/>
      <c r="G30" s="147"/>
      <c r="H30" s="170"/>
      <c r="I30" s="170"/>
      <c r="J30" s="170"/>
      <c r="K30" s="171"/>
    </row>
    <row r="31" spans="1:33" s="182" customFormat="1" ht="13.5" customHeight="1" thickBot="1">
      <c r="A31" s="1403" t="s">
        <v>1347</v>
      </c>
      <c r="B31" s="177" t="s">
        <v>1348</v>
      </c>
      <c r="C31" s="207">
        <f>ROUND(C4*F31/(1+'数据-取费表'!F30),0)</f>
        <v>420805</v>
      </c>
      <c r="D31" s="152"/>
      <c r="E31" s="208"/>
      <c r="F31" s="209">
        <f>'数据-取费表'!E29</f>
        <v>5.5000000000000007E-2</v>
      </c>
      <c r="G31" s="210" t="s">
        <v>1349</v>
      </c>
      <c r="H31" s="211"/>
      <c r="I31" s="211"/>
      <c r="J31" s="211"/>
      <c r="K31" s="212"/>
    </row>
    <row r="32" spans="1:33" s="161" customFormat="1" ht="13.5" customHeight="1" thickBot="1">
      <c r="A32" s="213" t="s">
        <v>1350</v>
      </c>
      <c r="B32" s="214"/>
      <c r="C32" s="215">
        <f ca="1">ROUND((C4-C21-C22-C23-C25-C28-C31)/(1+C24+D25+D28),0)</f>
        <v>5291348</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22" zoomScale="80" zoomScaleNormal="60" zoomScaleSheetLayoutView="80" workbookViewId="0">
      <selection activeCell="B15" sqref="B15"/>
    </sheetView>
  </sheetViews>
  <sheetFormatPr defaultColWidth="9" defaultRowHeight="14.25"/>
  <cols>
    <col min="1" max="1" width="10.5" style="1667" customWidth="1"/>
    <col min="2" max="3" width="15.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2238</v>
      </c>
      <c r="B1" s="1638" t="s">
        <v>2380</v>
      </c>
      <c r="C1" s="1639" t="s">
        <v>2903</v>
      </c>
      <c r="D1" s="1638"/>
      <c r="E1" s="1641" t="s">
        <v>2741</v>
      </c>
      <c r="F1" s="1642" t="s">
        <v>2240</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1911</v>
      </c>
      <c r="B2" s="1650">
        <f>IF(D2="——",IF(C2="元",ROUND(C50*D3,0),ROUND(C50*D3/10000,0)),IF(C2="元",ROUND(C50*D3,0),ROUND(C50*D3/10000,0))-E2)</f>
        <v>749</v>
      </c>
      <c r="C2" s="1651" t="str">
        <f>'数据-取费表'!B3</f>
        <v>万元</v>
      </c>
      <c r="D2" s="1652" t="s">
        <v>1241</v>
      </c>
      <c r="E2" s="2488" t="e">
        <f ca="1">SUMIF(INDIRECT("'"&amp;G2&amp;"'"&amp;"!A:A"),"承租人权益价值",INDIRECT("'"&amp;G2&amp;"'"&amp;"!c:c"))</f>
        <v>#REF!</v>
      </c>
      <c r="F2" s="1654" t="str">
        <f>C2</f>
        <v>万元</v>
      </c>
      <c r="G2" s="1655"/>
      <c r="H2" s="3010"/>
      <c r="I2" s="3010"/>
      <c r="J2" s="3010"/>
      <c r="K2" s="3010"/>
      <c r="L2" s="3012"/>
      <c r="M2" s="3010"/>
      <c r="N2" s="3010"/>
      <c r="O2" s="3010"/>
      <c r="P2" s="1957"/>
      <c r="Q2" s="1957"/>
      <c r="R2" s="1957"/>
      <c r="S2" s="1957"/>
      <c r="T2" s="1957"/>
      <c r="U2" s="1957"/>
      <c r="V2" s="1957"/>
      <c r="W2" s="1957"/>
      <c r="X2" s="1957"/>
      <c r="Y2" s="1957"/>
      <c r="Z2" s="1957"/>
      <c r="AA2" s="1957"/>
      <c r="AB2" s="2489"/>
      <c r="AC2" s="1965"/>
    </row>
    <row r="3" spans="1:29" s="1960" customFormat="1" ht="28.5" customHeight="1" thickBot="1">
      <c r="A3" s="1659" t="s">
        <v>1912</v>
      </c>
      <c r="B3" s="1963">
        <f>ROUND(IF(D2="——",C50,IF(C2="万元",B2*10000/D3,B2/D3)),0)</f>
        <v>32620</v>
      </c>
      <c r="C3" s="1660" t="s">
        <v>2241</v>
      </c>
      <c r="D3" s="1660">
        <f>IF(C1="仅计算典型户型",'数据-取费表'!E5,'数据-取费表'!B5)</f>
        <v>229.53</v>
      </c>
      <c r="F3" s="3009"/>
      <c r="G3" s="3010"/>
      <c r="H3" s="3010"/>
      <c r="I3" s="3010"/>
      <c r="J3" s="3010"/>
      <c r="K3" s="3011"/>
      <c r="L3" s="3012"/>
      <c r="M3" s="3010"/>
      <c r="N3" s="3010"/>
      <c r="O3" s="3010"/>
      <c r="P3" s="3017"/>
      <c r="Q3" s="1952"/>
      <c r="R3" s="1952"/>
      <c r="S3" s="1952"/>
      <c r="T3" s="1952"/>
      <c r="U3" s="1952"/>
      <c r="V3" s="1952"/>
      <c r="W3" s="1952"/>
      <c r="X3" s="1957"/>
      <c r="Y3" s="1952"/>
      <c r="Z3" s="1952"/>
      <c r="AA3" s="1952"/>
      <c r="AB3" s="2490"/>
      <c r="AC3" s="1965"/>
    </row>
    <row r="4" spans="1:29" ht="15">
      <c r="A4" s="1663" t="s">
        <v>2242</v>
      </c>
      <c r="B4" s="1664"/>
      <c r="C4" s="3434" t="s">
        <v>2243</v>
      </c>
      <c r="D4" s="3435"/>
      <c r="E4" s="3436" t="s">
        <v>2244</v>
      </c>
      <c r="F4" s="3437"/>
      <c r="G4" s="3434" t="s">
        <v>2245</v>
      </c>
      <c r="H4" s="3435"/>
      <c r="I4" s="3434" t="s">
        <v>2246</v>
      </c>
      <c r="J4" s="3435"/>
      <c r="K4" s="1966" t="s">
        <v>2247</v>
      </c>
      <c r="L4" s="2995"/>
      <c r="M4" s="2996"/>
      <c r="N4" s="2996"/>
      <c r="O4" s="2996"/>
      <c r="P4" s="3438" t="s">
        <v>2248</v>
      </c>
      <c r="Q4" s="3439"/>
      <c r="R4" s="3422" t="s">
        <v>2244</v>
      </c>
      <c r="S4" s="3423"/>
      <c r="T4" s="3422" t="s">
        <v>2245</v>
      </c>
      <c r="U4" s="3423"/>
      <c r="V4" s="3444" t="s">
        <v>2246</v>
      </c>
      <c r="W4" s="3444"/>
      <c r="X4" s="2075"/>
      <c r="Y4" s="3422" t="s">
        <v>2248</v>
      </c>
      <c r="Z4" s="3423"/>
      <c r="AA4" s="3431" t="s">
        <v>2244</v>
      </c>
      <c r="AB4" s="3431" t="s">
        <v>2245</v>
      </c>
      <c r="AC4" s="3431" t="s">
        <v>2246</v>
      </c>
    </row>
    <row r="5" spans="1:29" ht="15">
      <c r="A5" s="1668"/>
      <c r="B5" s="1669"/>
      <c r="C5" s="3447" t="s">
        <v>2249</v>
      </c>
      <c r="D5" s="3448"/>
      <c r="E5" s="3445" t="s">
        <v>2963</v>
      </c>
      <c r="F5" s="3446"/>
      <c r="G5" s="3451" t="s">
        <v>2964</v>
      </c>
      <c r="H5" s="3448"/>
      <c r="I5" s="3451" t="s">
        <v>2964</v>
      </c>
      <c r="J5" s="3448"/>
      <c r="K5" s="1966"/>
      <c r="L5" s="2995"/>
      <c r="M5" s="2996"/>
      <c r="N5" s="2996"/>
      <c r="O5" s="2996"/>
      <c r="P5" s="3440"/>
      <c r="Q5" s="3441"/>
      <c r="R5" s="3424"/>
      <c r="S5" s="3425"/>
      <c r="T5" s="3424"/>
      <c r="U5" s="3425"/>
      <c r="V5" s="3444"/>
      <c r="W5" s="3444"/>
      <c r="X5" s="2075"/>
      <c r="Y5" s="3424"/>
      <c r="Z5" s="3425"/>
      <c r="AA5" s="3432"/>
      <c r="AB5" s="3432"/>
      <c r="AC5" s="3432"/>
    </row>
    <row r="6" spans="1:29" ht="15.75" thickBot="1">
      <c r="A6" s="1671"/>
      <c r="B6" s="1672"/>
      <c r="C6" s="3449" t="s">
        <v>2253</v>
      </c>
      <c r="D6" s="3450"/>
      <c r="E6" s="3452" t="s">
        <v>2253</v>
      </c>
      <c r="F6" s="3453"/>
      <c r="G6" s="3449" t="s">
        <v>2253</v>
      </c>
      <c r="H6" s="3450"/>
      <c r="I6" s="3449" t="s">
        <v>2253</v>
      </c>
      <c r="J6" s="3450"/>
      <c r="K6" s="1966" t="s">
        <v>2254</v>
      </c>
      <c r="L6" s="2995"/>
      <c r="M6" s="2996"/>
      <c r="N6" s="2996"/>
      <c r="O6" s="2996"/>
      <c r="P6" s="3442"/>
      <c r="Q6" s="3443"/>
      <c r="R6" s="3424"/>
      <c r="S6" s="3425"/>
      <c r="T6" s="3426"/>
      <c r="U6" s="3427"/>
      <c r="V6" s="3444"/>
      <c r="W6" s="3444"/>
      <c r="X6" s="2075"/>
      <c r="Y6" s="3426"/>
      <c r="Z6" s="3427"/>
      <c r="AA6" s="3433"/>
      <c r="AB6" s="3433"/>
      <c r="AC6" s="3433"/>
    </row>
    <row r="7" spans="1:29" s="1685" customFormat="1" ht="15.75" thickBot="1">
      <c r="A7" s="1673" t="s">
        <v>2255</v>
      </c>
      <c r="B7" s="1674"/>
      <c r="C7" s="1675">
        <f>'数据-取费表'!B2</f>
        <v>44547</v>
      </c>
      <c r="D7" s="1676">
        <v>100</v>
      </c>
      <c r="E7" s="1677">
        <v>44531</v>
      </c>
      <c r="F7" s="1678">
        <f>SUMIF(59:59,YEAR(E7)&amp;"-"&amp;MONTH(E7),60:60)</f>
        <v>100</v>
      </c>
      <c r="G7" s="1967">
        <v>44531</v>
      </c>
      <c r="H7" s="1676">
        <f>SUMIF(59:59,YEAR(G7)&amp;"-"&amp;MONTH(G7),60:60)</f>
        <v>100</v>
      </c>
      <c r="I7" s="1967">
        <v>44531</v>
      </c>
      <c r="J7" s="1676">
        <f>SUMIF(59:59,YEAR(I7)&amp;"-"&amp;MONTH(I7),60:60)</f>
        <v>100</v>
      </c>
      <c r="K7" s="1968"/>
      <c r="L7" s="2995"/>
      <c r="M7" s="2968"/>
      <c r="N7" s="2968"/>
      <c r="O7" s="2968"/>
      <c r="P7" s="3420" t="s">
        <v>2256</v>
      </c>
      <c r="Q7" s="3428"/>
      <c r="R7" s="1681" t="s">
        <v>25</v>
      </c>
      <c r="S7" s="1682">
        <f t="shared" ref="S7:S15" si="0">F7</f>
        <v>100</v>
      </c>
      <c r="T7" s="1681" t="s">
        <v>25</v>
      </c>
      <c r="U7" s="1682">
        <f t="shared" ref="U7:U15" si="1">H7</f>
        <v>100</v>
      </c>
      <c r="V7" s="1681" t="s">
        <v>25</v>
      </c>
      <c r="W7" s="1682">
        <f t="shared" ref="W7:W15" si="2">J7</f>
        <v>100</v>
      </c>
      <c r="X7" s="1683"/>
      <c r="Y7" s="3420" t="s">
        <v>2256</v>
      </c>
      <c r="Z7" s="3421"/>
      <c r="AA7" s="1684">
        <f>D7/F7</f>
        <v>1</v>
      </c>
      <c r="AB7" s="1684">
        <f>D7/H7</f>
        <v>1</v>
      </c>
      <c r="AC7" s="1684">
        <f>D7/J7</f>
        <v>1</v>
      </c>
    </row>
    <row r="8" spans="1:29" s="1685" customFormat="1" ht="15.75" thickBot="1">
      <c r="A8" s="1673" t="s">
        <v>2257</v>
      </c>
      <c r="B8" s="1674"/>
      <c r="C8" s="1686" t="s">
        <v>2258</v>
      </c>
      <c r="D8" s="1676">
        <v>100</v>
      </c>
      <c r="E8" s="3162" t="s">
        <v>2904</v>
      </c>
      <c r="F8" s="1678">
        <f>SUMIF(62:62,E8,63:63)-SUMIF(62:62,C8,63:63)+100</f>
        <v>100</v>
      </c>
      <c r="G8" s="3162" t="s">
        <v>2905</v>
      </c>
      <c r="H8" s="1676">
        <f>SUMIF(62:62,G8,63:63)-SUMIF(62:62,C8,63:63)+100</f>
        <v>100</v>
      </c>
      <c r="I8" s="3162" t="s">
        <v>2905</v>
      </c>
      <c r="J8" s="1676">
        <f>SUMIF(62:62,I8,63:63)-SUMIF(62:62,C8,63:63)+100</f>
        <v>100</v>
      </c>
      <c r="K8" s="1968"/>
      <c r="L8" s="2995"/>
      <c r="M8" s="2968"/>
      <c r="N8" s="2968"/>
      <c r="O8" s="2968"/>
      <c r="P8" s="3420" t="s">
        <v>2259</v>
      </c>
      <c r="Q8" s="3421"/>
      <c r="R8" s="1681" t="s">
        <v>25</v>
      </c>
      <c r="S8" s="1682">
        <f t="shared" si="0"/>
        <v>100</v>
      </c>
      <c r="T8" s="1681" t="s">
        <v>25</v>
      </c>
      <c r="U8" s="1682">
        <f t="shared" si="1"/>
        <v>100</v>
      </c>
      <c r="V8" s="1681" t="s">
        <v>25</v>
      </c>
      <c r="W8" s="1682">
        <f t="shared" si="2"/>
        <v>100</v>
      </c>
      <c r="X8" s="1683"/>
      <c r="Y8" s="3420" t="s">
        <v>2259</v>
      </c>
      <c r="Z8" s="3421"/>
      <c r="AA8" s="1684">
        <f t="shared" ref="AA8:AA47" si="3">D8/F8</f>
        <v>1</v>
      </c>
      <c r="AB8" s="1684">
        <f t="shared" ref="AB8:AB47" si="4">D8/H8</f>
        <v>1</v>
      </c>
      <c r="AC8" s="1684">
        <f t="shared" ref="AC8:AC47" si="5">D8/J8</f>
        <v>1</v>
      </c>
    </row>
    <row r="9" spans="1:29" s="1685" customFormat="1">
      <c r="A9" s="2067" t="s">
        <v>2260</v>
      </c>
      <c r="B9" s="1688" t="s">
        <v>2261</v>
      </c>
      <c r="C9" s="1689"/>
      <c r="D9" s="1690">
        <v>100</v>
      </c>
      <c r="E9" s="1693"/>
      <c r="F9" s="1690">
        <f>SUMIF(64:64,E9,65:65)-SUMIF(64:64,C9,65:65)+100</f>
        <v>100</v>
      </c>
      <c r="G9" s="1691"/>
      <c r="H9" s="1690">
        <f>SUMIF(64:64,G9,65:65)-SUMIF(64:64,C9,65:65)+100</f>
        <v>100</v>
      </c>
      <c r="I9" s="1691"/>
      <c r="J9" s="1690">
        <f>SUMIF(64:64,I9,65:65)-SUMIF(64:64,C9,65:65)+100</f>
        <v>100</v>
      </c>
      <c r="K9" s="1968"/>
      <c r="L9" s="2995"/>
      <c r="M9" s="2968"/>
      <c r="N9" s="2968"/>
      <c r="O9" s="2968"/>
      <c r="P9" s="3412" t="s">
        <v>2262</v>
      </c>
      <c r="Q9" s="2913" t="str">
        <f t="shared" ref="Q9:Q15" si="6">B9</f>
        <v>用途</v>
      </c>
      <c r="R9" s="1681" t="s">
        <v>25</v>
      </c>
      <c r="S9" s="1682">
        <f t="shared" si="0"/>
        <v>100</v>
      </c>
      <c r="T9" s="1681" t="s">
        <v>25</v>
      </c>
      <c r="U9" s="1682">
        <f t="shared" si="1"/>
        <v>100</v>
      </c>
      <c r="V9" s="1681" t="s">
        <v>25</v>
      </c>
      <c r="W9" s="1682">
        <f t="shared" si="2"/>
        <v>100</v>
      </c>
      <c r="X9" s="1683"/>
      <c r="Y9" s="3386" t="s">
        <v>2263</v>
      </c>
      <c r="Z9" s="1694" t="str">
        <f t="shared" ref="Z9:Z15" si="7">Q9</f>
        <v>用途</v>
      </c>
      <c r="AA9" s="1684">
        <f t="shared" si="3"/>
        <v>1</v>
      </c>
      <c r="AB9" s="1684">
        <f t="shared" si="4"/>
        <v>1</v>
      </c>
      <c r="AC9" s="1684">
        <f t="shared" si="5"/>
        <v>1</v>
      </c>
    </row>
    <row r="10" spans="1:29" s="1702" customFormat="1" ht="27">
      <c r="A10" s="1695"/>
      <c r="B10" s="1696" t="s">
        <v>2264</v>
      </c>
      <c r="C10" s="1697"/>
      <c r="D10" s="1698">
        <v>100</v>
      </c>
      <c r="E10" s="1697"/>
      <c r="F10" s="1698">
        <f>SUMIF(66:66,E10,67:67)-SUMIF(66:66,C10,67:67)+100</f>
        <v>100</v>
      </c>
      <c r="G10" s="1699"/>
      <c r="H10" s="1698">
        <f>SUMIF(66:66,G10,67:67)-SUMIF(66:66,C10,67:67)+100</f>
        <v>100</v>
      </c>
      <c r="I10" s="1697"/>
      <c r="J10" s="1698">
        <f>SUMIF(66:66,I10,67:67)-SUMIF(66:66,C10,67:67)+100</f>
        <v>100</v>
      </c>
      <c r="K10" s="1993"/>
      <c r="L10" s="2997"/>
      <c r="M10" s="2998"/>
      <c r="N10" s="2998"/>
      <c r="O10" s="2998"/>
      <c r="P10" s="3412"/>
      <c r="Q10" s="2913" t="str">
        <f t="shared" si="6"/>
        <v>土地使用年限（年）</v>
      </c>
      <c r="R10" s="1681" t="s">
        <v>25</v>
      </c>
      <c r="S10" s="1682">
        <f t="shared" si="0"/>
        <v>100</v>
      </c>
      <c r="T10" s="1681" t="s">
        <v>25</v>
      </c>
      <c r="U10" s="1682">
        <f t="shared" si="1"/>
        <v>100</v>
      </c>
      <c r="V10" s="1681" t="s">
        <v>25</v>
      </c>
      <c r="W10" s="1682">
        <f t="shared" si="2"/>
        <v>100</v>
      </c>
      <c r="X10" s="1683"/>
      <c r="Y10" s="3386"/>
      <c r="Z10" s="1694" t="str">
        <f t="shared" si="7"/>
        <v>土地使用年限（年）</v>
      </c>
      <c r="AA10" s="1684">
        <f t="shared" si="3"/>
        <v>1</v>
      </c>
      <c r="AB10" s="1684">
        <f t="shared" si="4"/>
        <v>1</v>
      </c>
      <c r="AC10" s="1684">
        <f t="shared" si="5"/>
        <v>1</v>
      </c>
    </row>
    <row r="11" spans="1:29" ht="15">
      <c r="A11" s="1703"/>
      <c r="B11" s="1696" t="s">
        <v>2265</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2999"/>
      <c r="M11" s="2996"/>
      <c r="N11" s="2996"/>
      <c r="O11" s="2996"/>
      <c r="P11" s="3412"/>
      <c r="Q11" s="2913" t="str">
        <f t="shared" si="6"/>
        <v>容积率</v>
      </c>
      <c r="R11" s="1681" t="s">
        <v>25</v>
      </c>
      <c r="S11" s="1682">
        <f t="shared" si="0"/>
        <v>100</v>
      </c>
      <c r="T11" s="1681" t="s">
        <v>25</v>
      </c>
      <c r="U11" s="1682">
        <f t="shared" si="1"/>
        <v>100</v>
      </c>
      <c r="V11" s="1681" t="s">
        <v>25</v>
      </c>
      <c r="W11" s="1682">
        <f t="shared" si="2"/>
        <v>100</v>
      </c>
      <c r="X11" s="1683"/>
      <c r="Y11" s="3386"/>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5"/>
      <c r="M12" s="2968"/>
      <c r="N12" s="2968"/>
      <c r="O12" s="2968"/>
      <c r="P12" s="3412"/>
      <c r="Q12" s="2913">
        <f t="shared" si="6"/>
        <v>111</v>
      </c>
      <c r="R12" s="1681" t="s">
        <v>25</v>
      </c>
      <c r="S12" s="1682">
        <f t="shared" si="0"/>
        <v>100</v>
      </c>
      <c r="T12" s="1681" t="s">
        <v>25</v>
      </c>
      <c r="U12" s="1682">
        <f t="shared" si="1"/>
        <v>100</v>
      </c>
      <c r="V12" s="1681" t="s">
        <v>25</v>
      </c>
      <c r="W12" s="1682">
        <f t="shared" si="2"/>
        <v>100</v>
      </c>
      <c r="X12" s="1683"/>
      <c r="Y12" s="3386"/>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0"/>
      <c r="M13" s="2996"/>
      <c r="N13" s="2996"/>
      <c r="O13" s="2996"/>
      <c r="P13" s="3412"/>
      <c r="Q13" s="2913">
        <f t="shared" si="6"/>
        <v>111</v>
      </c>
      <c r="R13" s="1681" t="s">
        <v>25</v>
      </c>
      <c r="S13" s="1682">
        <f t="shared" si="0"/>
        <v>100</v>
      </c>
      <c r="T13" s="1681" t="s">
        <v>25</v>
      </c>
      <c r="U13" s="1682">
        <f t="shared" si="1"/>
        <v>100</v>
      </c>
      <c r="V13" s="1681" t="s">
        <v>25</v>
      </c>
      <c r="W13" s="1682">
        <f t="shared" si="2"/>
        <v>100</v>
      </c>
      <c r="X13" s="1683"/>
      <c r="Y13" s="3386"/>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0"/>
      <c r="M14" s="2996"/>
      <c r="N14" s="2996"/>
      <c r="O14" s="2996"/>
      <c r="P14" s="3412"/>
      <c r="Q14" s="2913">
        <f t="shared" si="6"/>
        <v>111</v>
      </c>
      <c r="R14" s="1681" t="s">
        <v>25</v>
      </c>
      <c r="S14" s="1682">
        <f t="shared" si="0"/>
        <v>100</v>
      </c>
      <c r="T14" s="1681" t="s">
        <v>25</v>
      </c>
      <c r="U14" s="1682">
        <f t="shared" si="1"/>
        <v>100</v>
      </c>
      <c r="V14" s="1681" t="s">
        <v>25</v>
      </c>
      <c r="W14" s="1682">
        <f t="shared" si="2"/>
        <v>100</v>
      </c>
      <c r="X14" s="1683"/>
      <c r="Y14" s="3386"/>
      <c r="Z14" s="1694">
        <f t="shared" si="7"/>
        <v>111</v>
      </c>
      <c r="AA14" s="1684">
        <f t="shared" si="3"/>
        <v>1</v>
      </c>
      <c r="AB14" s="1684">
        <f t="shared" si="4"/>
        <v>1</v>
      </c>
      <c r="AC14" s="1684">
        <f t="shared" si="5"/>
        <v>1</v>
      </c>
    </row>
    <row r="15" spans="1:29" ht="71.25">
      <c r="A15" s="1718" t="s">
        <v>2266</v>
      </c>
      <c r="B15" s="2493" t="s">
        <v>2381</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0"/>
      <c r="M15" s="2996"/>
      <c r="N15" s="2996"/>
      <c r="O15" s="2996"/>
      <c r="P15" s="3429" t="s">
        <v>2267</v>
      </c>
      <c r="Q15" s="2914" t="str">
        <f t="shared" si="6"/>
        <v>办公集聚程度</v>
      </c>
      <c r="R15" s="1726" t="s">
        <v>25</v>
      </c>
      <c r="S15" s="1727">
        <f t="shared" si="0"/>
        <v>100</v>
      </c>
      <c r="T15" s="1726" t="s">
        <v>25</v>
      </c>
      <c r="U15" s="1727">
        <f t="shared" si="1"/>
        <v>100</v>
      </c>
      <c r="V15" s="1726" t="s">
        <v>25</v>
      </c>
      <c r="W15" s="1727">
        <f t="shared" si="2"/>
        <v>100</v>
      </c>
      <c r="X15" s="2075"/>
      <c r="Y15" s="3429" t="s">
        <v>2267</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0"/>
      <c r="M16" s="2996"/>
      <c r="N16" s="2996"/>
      <c r="O16" s="2996"/>
      <c r="P16" s="3430"/>
      <c r="Q16" s="2914"/>
      <c r="R16" s="1726"/>
      <c r="S16" s="1727"/>
      <c r="T16" s="1726"/>
      <c r="U16" s="1727"/>
      <c r="V16" s="1726"/>
      <c r="W16" s="1727"/>
      <c r="X16" s="2075"/>
      <c r="Y16" s="3430"/>
      <c r="Z16" s="2079"/>
      <c r="AA16" s="2070">
        <v>1</v>
      </c>
      <c r="AB16" s="2070">
        <v>1</v>
      </c>
      <c r="AC16" s="2070">
        <v>1</v>
      </c>
    </row>
    <row r="17" spans="1:29" ht="71.2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0"/>
      <c r="M17" s="2996"/>
      <c r="N17" s="2996"/>
      <c r="O17" s="2996"/>
      <c r="P17" s="3430"/>
      <c r="Q17" s="2914" t="str">
        <f>B17</f>
        <v>交通便捷度</v>
      </c>
      <c r="R17" s="1726" t="s">
        <v>25</v>
      </c>
      <c r="S17" s="1727">
        <f>F17</f>
        <v>100</v>
      </c>
      <c r="T17" s="1726" t="s">
        <v>25</v>
      </c>
      <c r="U17" s="1727">
        <f>H17</f>
        <v>100</v>
      </c>
      <c r="V17" s="1726" t="s">
        <v>25</v>
      </c>
      <c r="W17" s="1727">
        <f>J17</f>
        <v>100</v>
      </c>
      <c r="X17" s="2075"/>
      <c r="Y17" s="3430"/>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0"/>
      <c r="M18" s="2996"/>
      <c r="N18" s="2996"/>
      <c r="O18" s="2996"/>
      <c r="P18" s="3430"/>
      <c r="Q18" s="2914"/>
      <c r="R18" s="1726"/>
      <c r="S18" s="1727"/>
      <c r="T18" s="1726"/>
      <c r="U18" s="1727"/>
      <c r="V18" s="1726"/>
      <c r="W18" s="1727"/>
      <c r="X18" s="2075"/>
      <c r="Y18" s="3430"/>
      <c r="Z18" s="2079"/>
      <c r="AA18" s="2070">
        <v>1</v>
      </c>
      <c r="AB18" s="2070">
        <v>1</v>
      </c>
      <c r="AC18" s="2070">
        <v>1</v>
      </c>
    </row>
    <row r="19" spans="1:29" ht="42.75">
      <c r="A19" s="1703"/>
      <c r="B19" s="2495" t="s">
        <v>2382</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0"/>
      <c r="M19" s="2996"/>
      <c r="N19" s="2996"/>
      <c r="O19" s="2996"/>
      <c r="P19" s="3430"/>
      <c r="Q19" s="2914" t="str">
        <f>B19</f>
        <v>公共配套设施</v>
      </c>
      <c r="R19" s="1726" t="s">
        <v>25</v>
      </c>
      <c r="S19" s="1727">
        <f>F19</f>
        <v>100</v>
      </c>
      <c r="T19" s="1726" t="s">
        <v>25</v>
      </c>
      <c r="U19" s="1727">
        <f>H19</f>
        <v>100</v>
      </c>
      <c r="V19" s="1726" t="s">
        <v>25</v>
      </c>
      <c r="W19" s="1727">
        <f>J19</f>
        <v>100</v>
      </c>
      <c r="X19" s="2075"/>
      <c r="Y19" s="3430"/>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0"/>
      <c r="M20" s="2996"/>
      <c r="N20" s="2996"/>
      <c r="O20" s="2996"/>
      <c r="P20" s="3430"/>
      <c r="Q20" s="2914"/>
      <c r="R20" s="1726"/>
      <c r="S20" s="1727"/>
      <c r="T20" s="1726"/>
      <c r="U20" s="1727"/>
      <c r="V20" s="1726"/>
      <c r="W20" s="1727"/>
      <c r="X20" s="2075"/>
      <c r="Y20" s="3430"/>
      <c r="Z20" s="2079"/>
      <c r="AA20" s="2070">
        <v>1</v>
      </c>
      <c r="AB20" s="2070">
        <v>1</v>
      </c>
      <c r="AC20" s="2070">
        <v>1</v>
      </c>
    </row>
    <row r="21" spans="1:29" ht="28.5">
      <c r="A21" s="1703"/>
      <c r="B21" s="2497" t="s">
        <v>2383</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0"/>
      <c r="M21" s="2996"/>
      <c r="N21" s="2996"/>
      <c r="O21" s="2996"/>
      <c r="P21" s="3430"/>
      <c r="Q21" s="2914" t="str">
        <f>B21</f>
        <v>基础设施水平</v>
      </c>
      <c r="R21" s="1726" t="s">
        <v>25</v>
      </c>
      <c r="S21" s="1727">
        <f>F21</f>
        <v>100</v>
      </c>
      <c r="T21" s="1726" t="s">
        <v>25</v>
      </c>
      <c r="U21" s="1727">
        <f>H21</f>
        <v>100</v>
      </c>
      <c r="V21" s="1726" t="s">
        <v>25</v>
      </c>
      <c r="W21" s="1727">
        <f>J21</f>
        <v>100</v>
      </c>
      <c r="X21" s="2075"/>
      <c r="Y21" s="3430"/>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0"/>
      <c r="M22" s="2996"/>
      <c r="N22" s="2996"/>
      <c r="O22" s="2996"/>
      <c r="P22" s="3430"/>
      <c r="Q22" s="2914"/>
      <c r="R22" s="1726"/>
      <c r="S22" s="1727"/>
      <c r="T22" s="1726"/>
      <c r="U22" s="1727"/>
      <c r="V22" s="1726"/>
      <c r="W22" s="1727"/>
      <c r="X22" s="2075"/>
      <c r="Y22" s="3430"/>
      <c r="Z22" s="2079"/>
      <c r="AA22" s="2070">
        <v>1</v>
      </c>
      <c r="AB22" s="2070">
        <v>1</v>
      </c>
      <c r="AC22" s="2070">
        <v>1</v>
      </c>
    </row>
    <row r="23" spans="1:29" ht="42.75">
      <c r="A23" s="1703"/>
      <c r="B23" s="2495" t="s">
        <v>2384</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0"/>
      <c r="M23" s="2996"/>
      <c r="N23" s="2996"/>
      <c r="O23" s="2996"/>
      <c r="P23" s="3430"/>
      <c r="Q23" s="2914" t="str">
        <f>B23</f>
        <v>环境质量</v>
      </c>
      <c r="R23" s="1726" t="s">
        <v>25</v>
      </c>
      <c r="S23" s="1727">
        <f>F23</f>
        <v>100</v>
      </c>
      <c r="T23" s="1726" t="s">
        <v>25</v>
      </c>
      <c r="U23" s="1727">
        <f>H23</f>
        <v>100</v>
      </c>
      <c r="V23" s="1726" t="s">
        <v>25</v>
      </c>
      <c r="W23" s="1727">
        <f>J23</f>
        <v>100</v>
      </c>
      <c r="X23" s="2075"/>
      <c r="Y23" s="3430"/>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0"/>
      <c r="M24" s="2996"/>
      <c r="N24" s="2996"/>
      <c r="O24" s="2996"/>
      <c r="P24" s="3430"/>
      <c r="Q24" s="2914"/>
      <c r="R24" s="1726"/>
      <c r="S24" s="1727"/>
      <c r="T24" s="1726"/>
      <c r="U24" s="1727"/>
      <c r="V24" s="1726"/>
      <c r="W24" s="1727"/>
      <c r="X24" s="2075"/>
      <c r="Y24" s="3430"/>
      <c r="Z24" s="2079"/>
      <c r="AA24" s="2070">
        <v>1</v>
      </c>
      <c r="AB24" s="2070">
        <v>1</v>
      </c>
      <c r="AC24" s="2070">
        <v>1</v>
      </c>
    </row>
    <row r="25" spans="1:29" ht="27">
      <c r="A25" s="1668"/>
      <c r="B25" s="2495" t="s">
        <v>2385</v>
      </c>
      <c r="C25" s="2498"/>
      <c r="D25" s="1712">
        <v>100</v>
      </c>
      <c r="E25" s="1711"/>
      <c r="F25" s="1712">
        <f>SUMIF(87:87,E26,88:88)-SUMIF(87:87,C26,88:88)+100</f>
        <v>100</v>
      </c>
      <c r="G25" s="2498"/>
      <c r="H25" s="1712">
        <f>SUMIF(87:87,G26,88:88)-SUMIF(87:87,C26,88:88)+100</f>
        <v>100</v>
      </c>
      <c r="I25" s="1711"/>
      <c r="J25" s="1712">
        <f>SUMIF(87:87,I26,88:88)-SUMIF(87:87,C26,88:88)+100</f>
        <v>100</v>
      </c>
      <c r="K25" s="2473"/>
      <c r="L25" s="3000"/>
      <c r="M25" s="2996"/>
      <c r="N25" s="2996"/>
      <c r="O25" s="2996"/>
      <c r="P25" s="3430"/>
      <c r="Q25" s="2914" t="str">
        <f>B25</f>
        <v>毗邻道路的类型与等级</v>
      </c>
      <c r="R25" s="1726" t="s">
        <v>25</v>
      </c>
      <c r="S25" s="1727">
        <f>F25</f>
        <v>100</v>
      </c>
      <c r="T25" s="1726" t="s">
        <v>25</v>
      </c>
      <c r="U25" s="1727">
        <f>H25</f>
        <v>100</v>
      </c>
      <c r="V25" s="1726" t="s">
        <v>25</v>
      </c>
      <c r="W25" s="1727">
        <f>J25</f>
        <v>100</v>
      </c>
      <c r="X25" s="2075"/>
      <c r="Y25" s="3430"/>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0"/>
      <c r="M26" s="2996"/>
      <c r="N26" s="2996"/>
      <c r="O26" s="2996"/>
      <c r="P26" s="3430"/>
      <c r="Q26" s="2914"/>
      <c r="R26" s="1726"/>
      <c r="S26" s="1727"/>
      <c r="T26" s="1726"/>
      <c r="U26" s="1727"/>
      <c r="V26" s="1726"/>
      <c r="W26" s="1727"/>
      <c r="X26" s="2075"/>
      <c r="Y26" s="3430"/>
      <c r="Z26" s="2079"/>
      <c r="AA26" s="2070">
        <v>1</v>
      </c>
      <c r="AB26" s="2070">
        <v>1</v>
      </c>
      <c r="AC26" s="2070">
        <v>1</v>
      </c>
    </row>
    <row r="27" spans="1:29" ht="15">
      <c r="A27" s="1703"/>
      <c r="B27" s="2496" t="s">
        <v>2358</v>
      </c>
      <c r="C27" s="3172" t="s">
        <v>2958</v>
      </c>
      <c r="D27" s="1712">
        <v>100</v>
      </c>
      <c r="E27" s="3165" t="s">
        <v>2907</v>
      </c>
      <c r="F27" s="1712">
        <f>SUMIF(89:89,E27,90:90)-SUMIF(89:89,C27,90:90)+100</f>
        <v>100</v>
      </c>
      <c r="G27" s="3164" t="s">
        <v>2907</v>
      </c>
      <c r="H27" s="1712">
        <f>SUMIF(89:89,G27,90:90)-SUMIF(89:89,C27,90:90)+100</f>
        <v>100</v>
      </c>
      <c r="I27" s="3165" t="s">
        <v>2907</v>
      </c>
      <c r="J27" s="1712">
        <f>SUMIF(89:89,I27,90:90)-SUMIF(89:89,C27,90:90)+100</f>
        <v>100</v>
      </c>
      <c r="K27" s="1993">
        <v>3</v>
      </c>
      <c r="L27" s="3000"/>
      <c r="M27" s="2996"/>
      <c r="N27" s="2996"/>
      <c r="O27" s="2996"/>
      <c r="P27" s="3430"/>
      <c r="Q27" s="2914" t="str">
        <f t="shared" ref="Q27:Q47" si="11">B27</f>
        <v>楼层</v>
      </c>
      <c r="R27" s="1726" t="s">
        <v>25</v>
      </c>
      <c r="S27" s="1727">
        <f>F27</f>
        <v>100</v>
      </c>
      <c r="T27" s="1726" t="s">
        <v>25</v>
      </c>
      <c r="U27" s="1727">
        <f>H27</f>
        <v>100</v>
      </c>
      <c r="V27" s="1726" t="s">
        <v>25</v>
      </c>
      <c r="W27" s="1727">
        <f>J27</f>
        <v>100</v>
      </c>
      <c r="X27" s="2075"/>
      <c r="Y27" s="3430"/>
      <c r="Z27" s="2079" t="str">
        <f>Q27</f>
        <v>楼层</v>
      </c>
      <c r="AA27" s="2070">
        <f t="shared" si="3"/>
        <v>1</v>
      </c>
      <c r="AB27" s="2070">
        <f t="shared" si="4"/>
        <v>1</v>
      </c>
      <c r="AC27" s="2070">
        <f t="shared" si="5"/>
        <v>1</v>
      </c>
    </row>
    <row r="28" spans="1:29" s="1685" customFormat="1" ht="15">
      <c r="A28" s="1706"/>
      <c r="B28" s="2495" t="s">
        <v>2386</v>
      </c>
      <c r="C28" s="2499"/>
      <c r="D28" s="1757">
        <v>100</v>
      </c>
      <c r="E28" s="2477"/>
      <c r="F28" s="1757">
        <f>SUMIF(91:91,E28,92:92)-SUMIF(91:91,C28,92:92)+100</f>
        <v>100</v>
      </c>
      <c r="G28" s="2499"/>
      <c r="H28" s="1757">
        <f>SUMIF(91:91,G28,92:92)-SUMIF(91:91,C28,92:92)+100</f>
        <v>100</v>
      </c>
      <c r="I28" s="2477"/>
      <c r="J28" s="1757">
        <f>SUMIF(91:91,I28,92:92)-SUMIF(91:91,C28,92:92)+100</f>
        <v>100</v>
      </c>
      <c r="K28" s="1993"/>
      <c r="L28" s="2995"/>
      <c r="M28" s="2968"/>
      <c r="N28" s="2968"/>
      <c r="O28" s="2968"/>
      <c r="P28" s="3430"/>
      <c r="Q28" s="2913" t="str">
        <f t="shared" si="11"/>
        <v>朝向</v>
      </c>
      <c r="R28" s="1681" t="s">
        <v>25</v>
      </c>
      <c r="S28" s="1682">
        <f>F28</f>
        <v>100</v>
      </c>
      <c r="T28" s="1681" t="s">
        <v>25</v>
      </c>
      <c r="U28" s="1682">
        <f>H28</f>
        <v>100</v>
      </c>
      <c r="V28" s="1681" t="s">
        <v>25</v>
      </c>
      <c r="W28" s="1682">
        <f>J28</f>
        <v>100</v>
      </c>
      <c r="X28" s="1683"/>
      <c r="Y28" s="3430"/>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0"/>
      <c r="M29" s="2996"/>
      <c r="N29" s="2996"/>
      <c r="O29" s="2996"/>
      <c r="P29" s="3430"/>
      <c r="Q29" s="2914">
        <f t="shared" si="11"/>
        <v>111</v>
      </c>
      <c r="R29" s="1726" t="s">
        <v>25</v>
      </c>
      <c r="S29" s="1727">
        <f t="shared" ref="S29:S47" si="12">F29</f>
        <v>100</v>
      </c>
      <c r="T29" s="1726" t="s">
        <v>25</v>
      </c>
      <c r="U29" s="1727">
        <f t="shared" ref="U29:U47" si="13">H29</f>
        <v>100</v>
      </c>
      <c r="V29" s="1726" t="s">
        <v>25</v>
      </c>
      <c r="W29" s="1727">
        <f t="shared" ref="W29:W47" si="14">J29</f>
        <v>100</v>
      </c>
      <c r="X29" s="2075"/>
      <c r="Y29" s="3430"/>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0"/>
      <c r="M30" s="2996"/>
      <c r="N30" s="2996"/>
      <c r="O30" s="2996"/>
      <c r="P30" s="3430"/>
      <c r="Q30" s="2914">
        <f t="shared" si="11"/>
        <v>111</v>
      </c>
      <c r="R30" s="1726" t="s">
        <v>25</v>
      </c>
      <c r="S30" s="1727">
        <f t="shared" si="12"/>
        <v>100</v>
      </c>
      <c r="T30" s="1726" t="s">
        <v>25</v>
      </c>
      <c r="U30" s="1727">
        <f t="shared" si="13"/>
        <v>100</v>
      </c>
      <c r="V30" s="1726" t="s">
        <v>25</v>
      </c>
      <c r="W30" s="1727">
        <f t="shared" si="14"/>
        <v>100</v>
      </c>
      <c r="X30" s="2075"/>
      <c r="Y30" s="3430"/>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0"/>
      <c r="M31" s="2996"/>
      <c r="N31" s="2996"/>
      <c r="O31" s="2996"/>
      <c r="P31" s="3430"/>
      <c r="Q31" s="2914">
        <f t="shared" si="11"/>
        <v>111</v>
      </c>
      <c r="R31" s="1726" t="s">
        <v>25</v>
      </c>
      <c r="S31" s="1727">
        <f t="shared" si="12"/>
        <v>100</v>
      </c>
      <c r="T31" s="1726" t="s">
        <v>25</v>
      </c>
      <c r="U31" s="1727">
        <f t="shared" si="13"/>
        <v>100</v>
      </c>
      <c r="V31" s="1726" t="s">
        <v>25</v>
      </c>
      <c r="W31" s="1727">
        <f t="shared" si="14"/>
        <v>100</v>
      </c>
      <c r="X31" s="2075"/>
      <c r="Y31" s="3430"/>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0"/>
      <c r="M32" s="2996"/>
      <c r="N32" s="2996"/>
      <c r="O32" s="2996"/>
      <c r="P32" s="3430"/>
      <c r="Q32" s="2914">
        <f t="shared" si="11"/>
        <v>111</v>
      </c>
      <c r="R32" s="1726" t="s">
        <v>25</v>
      </c>
      <c r="S32" s="1727">
        <f t="shared" si="12"/>
        <v>100</v>
      </c>
      <c r="T32" s="1726" t="s">
        <v>25</v>
      </c>
      <c r="U32" s="1727">
        <f t="shared" si="13"/>
        <v>100</v>
      </c>
      <c r="V32" s="1726" t="s">
        <v>25</v>
      </c>
      <c r="W32" s="1727">
        <f t="shared" si="14"/>
        <v>100</v>
      </c>
      <c r="X32" s="2075"/>
      <c r="Y32" s="3430"/>
      <c r="Z32" s="2079">
        <f t="shared" si="15"/>
        <v>111</v>
      </c>
      <c r="AA32" s="2070">
        <f t="shared" si="3"/>
        <v>1</v>
      </c>
      <c r="AB32" s="2070">
        <f t="shared" si="4"/>
        <v>1</v>
      </c>
      <c r="AC32" s="2070">
        <f t="shared" si="5"/>
        <v>1</v>
      </c>
    </row>
    <row r="33" spans="1:29" ht="15">
      <c r="A33" s="1718" t="s">
        <v>2271</v>
      </c>
      <c r="B33" s="1688" t="s">
        <v>2387</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0"/>
      <c r="M33" s="2996"/>
      <c r="N33" s="2996"/>
      <c r="O33" s="2996"/>
      <c r="P33" s="3417" t="s">
        <v>2273</v>
      </c>
      <c r="Q33" s="2914" t="str">
        <f t="shared" si="11"/>
        <v>建筑类型</v>
      </c>
      <c r="R33" s="1726" t="s">
        <v>25</v>
      </c>
      <c r="S33" s="1727">
        <f t="shared" si="12"/>
        <v>100</v>
      </c>
      <c r="T33" s="1726" t="s">
        <v>25</v>
      </c>
      <c r="U33" s="1727">
        <f t="shared" si="13"/>
        <v>100</v>
      </c>
      <c r="V33" s="1726" t="s">
        <v>25</v>
      </c>
      <c r="W33" s="1727">
        <f t="shared" si="14"/>
        <v>100</v>
      </c>
      <c r="X33" s="2075"/>
      <c r="Y33" s="3418" t="s">
        <v>2273</v>
      </c>
      <c r="Z33" s="2079" t="str">
        <f t="shared" si="15"/>
        <v>建筑类型</v>
      </c>
      <c r="AA33" s="2070">
        <f t="shared" si="3"/>
        <v>1</v>
      </c>
      <c r="AB33" s="2070">
        <f t="shared" si="4"/>
        <v>1</v>
      </c>
      <c r="AC33" s="2070">
        <f t="shared" si="5"/>
        <v>1</v>
      </c>
    </row>
    <row r="34" spans="1:29" s="1772" customFormat="1" ht="15">
      <c r="A34" s="1765"/>
      <c r="B34" s="1696" t="s">
        <v>2274</v>
      </c>
      <c r="C34" s="1766">
        <f>面积清单!C3</f>
        <v>229.53</v>
      </c>
      <c r="D34" s="1698">
        <v>100</v>
      </c>
      <c r="E34" s="1705">
        <v>91.56</v>
      </c>
      <c r="F34" s="1700">
        <f>LOOKUP(E34,104:104,105:105)-LOOKUP(C34,104:104,105:105)+100</f>
        <v>101</v>
      </c>
      <c r="G34" s="1704">
        <v>88</v>
      </c>
      <c r="H34" s="1698">
        <f>LOOKUP(G34,104:104,105:105)-LOOKUP(C34,104:104,105:105)+100</f>
        <v>101</v>
      </c>
      <c r="I34" s="1704">
        <v>84</v>
      </c>
      <c r="J34" s="1698">
        <f>LOOKUP(I34,104:104,105:105)-LOOKUP(C34,104:104,105:105)+100</f>
        <v>101</v>
      </c>
      <c r="K34" s="1990"/>
      <c r="L34" s="2999"/>
      <c r="M34" s="2060"/>
      <c r="N34" s="2060"/>
      <c r="O34" s="2060"/>
      <c r="P34" s="3418"/>
      <c r="Q34" s="1767" t="str">
        <f t="shared" si="11"/>
        <v>项目建筑规模</v>
      </c>
      <c r="R34" s="1768" t="s">
        <v>25</v>
      </c>
      <c r="S34" s="1769">
        <f t="shared" si="12"/>
        <v>101</v>
      </c>
      <c r="T34" s="1768" t="s">
        <v>25</v>
      </c>
      <c r="U34" s="1769">
        <f t="shared" si="13"/>
        <v>101</v>
      </c>
      <c r="V34" s="1768" t="s">
        <v>25</v>
      </c>
      <c r="W34" s="1769">
        <f t="shared" si="14"/>
        <v>101</v>
      </c>
      <c r="X34" s="1770"/>
      <c r="Y34" s="3418"/>
      <c r="Z34" s="1771" t="str">
        <f t="shared" si="15"/>
        <v>项目建筑规模</v>
      </c>
      <c r="AA34" s="2070">
        <f t="shared" si="3"/>
        <v>0.99009900990099009</v>
      </c>
      <c r="AB34" s="2070">
        <f t="shared" si="4"/>
        <v>0.99009900990099009</v>
      </c>
      <c r="AC34" s="2070">
        <f t="shared" si="5"/>
        <v>0.99009900990099009</v>
      </c>
    </row>
    <row r="35" spans="1:29" ht="15">
      <c r="A35" s="1773"/>
      <c r="B35" s="1696" t="s">
        <v>2275</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0"/>
      <c r="M35" s="2996"/>
      <c r="N35" s="2996"/>
      <c r="O35" s="2996"/>
      <c r="P35" s="3418"/>
      <c r="Q35" s="2914" t="str">
        <f t="shared" si="11"/>
        <v>建筑结构</v>
      </c>
      <c r="R35" s="1726" t="s">
        <v>25</v>
      </c>
      <c r="S35" s="1727">
        <f t="shared" si="12"/>
        <v>100</v>
      </c>
      <c r="T35" s="1726" t="s">
        <v>25</v>
      </c>
      <c r="U35" s="1727">
        <f t="shared" si="13"/>
        <v>100</v>
      </c>
      <c r="V35" s="1726" t="s">
        <v>25</v>
      </c>
      <c r="W35" s="1727">
        <f t="shared" si="14"/>
        <v>100</v>
      </c>
      <c r="X35" s="2075"/>
      <c r="Y35" s="3418"/>
      <c r="Z35" s="2079" t="str">
        <f t="shared" si="15"/>
        <v>建筑结构</v>
      </c>
      <c r="AA35" s="2070">
        <f t="shared" si="3"/>
        <v>1</v>
      </c>
      <c r="AB35" s="2070">
        <f t="shared" si="4"/>
        <v>1</v>
      </c>
      <c r="AC35" s="2070">
        <f t="shared" si="5"/>
        <v>1</v>
      </c>
    </row>
    <row r="36" spans="1:29" ht="15">
      <c r="A36" s="1773"/>
      <c r="B36" s="1696" t="s">
        <v>2360</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0"/>
      <c r="M36" s="2996"/>
      <c r="N36" s="2996"/>
      <c r="O36" s="2996"/>
      <c r="P36" s="3418"/>
      <c r="Q36" s="2914" t="str">
        <f t="shared" si="11"/>
        <v>公共部分装修</v>
      </c>
      <c r="R36" s="1726" t="s">
        <v>25</v>
      </c>
      <c r="S36" s="1727">
        <f t="shared" si="12"/>
        <v>100</v>
      </c>
      <c r="T36" s="1726" t="s">
        <v>25</v>
      </c>
      <c r="U36" s="1727">
        <f t="shared" si="13"/>
        <v>100</v>
      </c>
      <c r="V36" s="1726" t="s">
        <v>25</v>
      </c>
      <c r="W36" s="1727">
        <f t="shared" si="14"/>
        <v>100</v>
      </c>
      <c r="X36" s="2075"/>
      <c r="Y36" s="3418"/>
      <c r="Z36" s="2079" t="str">
        <f t="shared" si="15"/>
        <v>公共部分装修</v>
      </c>
      <c r="AA36" s="2070">
        <f t="shared" si="3"/>
        <v>1</v>
      </c>
      <c r="AB36" s="2070">
        <f t="shared" si="4"/>
        <v>1</v>
      </c>
      <c r="AC36" s="2070">
        <f t="shared" si="5"/>
        <v>1</v>
      </c>
    </row>
    <row r="37" spans="1:29" ht="15">
      <c r="A37" s="1773"/>
      <c r="B37" s="1696" t="s">
        <v>2361</v>
      </c>
      <c r="C37" s="1777">
        <f>'数据-取费表'!E20</f>
        <v>0.87</v>
      </c>
      <c r="D37" s="1712">
        <v>100</v>
      </c>
      <c r="E37" s="1777">
        <v>0.87</v>
      </c>
      <c r="F37" s="1755">
        <f>LOOKUP(E37,111:111,112:112)-LOOKUP(C37,111:111,112:112)+100</f>
        <v>100</v>
      </c>
      <c r="G37" s="1777">
        <v>0.87</v>
      </c>
      <c r="H37" s="1755">
        <f>LOOKUP(G37,111:111,112:112)-LOOKUP(C37,111:111,112:112)+100</f>
        <v>100</v>
      </c>
      <c r="I37" s="1777">
        <v>0.87</v>
      </c>
      <c r="J37" s="1712">
        <f>LOOKUP(I37,111:111,112:112)-LOOKUP(C37,111:111,112:112)+100</f>
        <v>100</v>
      </c>
      <c r="K37" s="1993"/>
      <c r="L37" s="3000"/>
      <c r="M37" s="2996"/>
      <c r="N37" s="2996"/>
      <c r="O37" s="2996"/>
      <c r="P37" s="3418"/>
      <c r="Q37" s="2914" t="str">
        <f t="shared" si="11"/>
        <v>成新度</v>
      </c>
      <c r="R37" s="1726" t="s">
        <v>25</v>
      </c>
      <c r="S37" s="1727">
        <f t="shared" si="12"/>
        <v>100</v>
      </c>
      <c r="T37" s="1726" t="s">
        <v>25</v>
      </c>
      <c r="U37" s="1727">
        <f t="shared" si="13"/>
        <v>100</v>
      </c>
      <c r="V37" s="1726" t="s">
        <v>25</v>
      </c>
      <c r="W37" s="1727">
        <f t="shared" si="14"/>
        <v>100</v>
      </c>
      <c r="X37" s="2075"/>
      <c r="Y37" s="3418"/>
      <c r="Z37" s="2079" t="str">
        <f t="shared" si="15"/>
        <v>成新度</v>
      </c>
      <c r="AA37" s="2070">
        <f t="shared" si="3"/>
        <v>1</v>
      </c>
      <c r="AB37" s="2070">
        <f t="shared" si="4"/>
        <v>1</v>
      </c>
      <c r="AC37" s="2070">
        <f t="shared" si="5"/>
        <v>1</v>
      </c>
    </row>
    <row r="38" spans="1:29" s="1685" customFormat="1" ht="15">
      <c r="A38" s="1776"/>
      <c r="B38" s="1696" t="s">
        <v>2388</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5"/>
      <c r="M38" s="2968"/>
      <c r="N38" s="2968"/>
      <c r="O38" s="2968"/>
      <c r="P38" s="3418"/>
      <c r="Q38" s="2913" t="str">
        <f t="shared" si="11"/>
        <v>写字楼等级</v>
      </c>
      <c r="R38" s="1681" t="s">
        <v>25</v>
      </c>
      <c r="S38" s="1682">
        <f t="shared" si="12"/>
        <v>100</v>
      </c>
      <c r="T38" s="1681" t="s">
        <v>25</v>
      </c>
      <c r="U38" s="1682">
        <f t="shared" si="13"/>
        <v>100</v>
      </c>
      <c r="V38" s="1681" t="s">
        <v>25</v>
      </c>
      <c r="W38" s="1682">
        <f t="shared" si="14"/>
        <v>100</v>
      </c>
      <c r="X38" s="1683"/>
      <c r="Y38" s="3418"/>
      <c r="Z38" s="1694" t="str">
        <f t="shared" si="15"/>
        <v>写字楼等级</v>
      </c>
      <c r="AA38" s="1684">
        <f t="shared" si="3"/>
        <v>1</v>
      </c>
      <c r="AB38" s="1684">
        <f t="shared" si="4"/>
        <v>1</v>
      </c>
      <c r="AC38" s="1684">
        <f t="shared" si="5"/>
        <v>1</v>
      </c>
    </row>
    <row r="39" spans="1:29" ht="15">
      <c r="A39" s="1773"/>
      <c r="B39" s="1696" t="s">
        <v>2389</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0"/>
      <c r="M39" s="2996"/>
      <c r="N39" s="2996"/>
      <c r="O39" s="2996"/>
      <c r="P39" s="3418" t="s">
        <v>2273</v>
      </c>
      <c r="Q39" s="2914" t="str">
        <f t="shared" si="11"/>
        <v>物业管理</v>
      </c>
      <c r="R39" s="1726" t="s">
        <v>25</v>
      </c>
      <c r="S39" s="1727">
        <f t="shared" si="12"/>
        <v>100</v>
      </c>
      <c r="T39" s="1726" t="s">
        <v>25</v>
      </c>
      <c r="U39" s="1727">
        <f t="shared" si="13"/>
        <v>100</v>
      </c>
      <c r="V39" s="1726" t="s">
        <v>25</v>
      </c>
      <c r="W39" s="1727">
        <f t="shared" si="14"/>
        <v>100</v>
      </c>
      <c r="X39" s="2075"/>
      <c r="Y39" s="3418" t="s">
        <v>2273</v>
      </c>
      <c r="Z39" s="2079" t="str">
        <f t="shared" si="15"/>
        <v>物业管理</v>
      </c>
      <c r="AA39" s="2070">
        <f t="shared" si="3"/>
        <v>1</v>
      </c>
      <c r="AB39" s="2070">
        <f t="shared" si="4"/>
        <v>1</v>
      </c>
      <c r="AC39" s="2070">
        <f t="shared" si="5"/>
        <v>1</v>
      </c>
    </row>
    <row r="40" spans="1:29" ht="15">
      <c r="A40" s="1773"/>
      <c r="B40" s="1696" t="s">
        <v>2362</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0"/>
      <c r="M40" s="2996"/>
      <c r="N40" s="2996"/>
      <c r="O40" s="2996"/>
      <c r="P40" s="3418"/>
      <c r="Q40" s="2914" t="str">
        <f t="shared" si="11"/>
        <v>市政基础设施</v>
      </c>
      <c r="R40" s="1726" t="s">
        <v>25</v>
      </c>
      <c r="S40" s="1727">
        <f t="shared" si="12"/>
        <v>100</v>
      </c>
      <c r="T40" s="1726" t="s">
        <v>25</v>
      </c>
      <c r="U40" s="1727">
        <f t="shared" si="13"/>
        <v>100</v>
      </c>
      <c r="V40" s="1726" t="s">
        <v>25</v>
      </c>
      <c r="W40" s="1727">
        <f t="shared" si="14"/>
        <v>100</v>
      </c>
      <c r="X40" s="2075"/>
      <c r="Y40" s="3418"/>
      <c r="Z40" s="2079" t="str">
        <f t="shared" si="15"/>
        <v>市政基础设施</v>
      </c>
      <c r="AA40" s="2070">
        <f t="shared" si="3"/>
        <v>1</v>
      </c>
      <c r="AB40" s="2070">
        <f t="shared" si="4"/>
        <v>1</v>
      </c>
      <c r="AC40" s="2070">
        <f t="shared" si="5"/>
        <v>1</v>
      </c>
    </row>
    <row r="41" spans="1:29" ht="15">
      <c r="A41" s="1773"/>
      <c r="B41" s="1696" t="s">
        <v>2364</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0"/>
      <c r="M41" s="2996"/>
      <c r="N41" s="2996"/>
      <c r="O41" s="2996"/>
      <c r="P41" s="3418"/>
      <c r="Q41" s="2914" t="str">
        <f t="shared" si="11"/>
        <v>层高</v>
      </c>
      <c r="R41" s="1726" t="s">
        <v>25</v>
      </c>
      <c r="S41" s="1727">
        <f t="shared" si="12"/>
        <v>100</v>
      </c>
      <c r="T41" s="1726" t="s">
        <v>25</v>
      </c>
      <c r="U41" s="1727">
        <f t="shared" si="13"/>
        <v>100</v>
      </c>
      <c r="V41" s="1726" t="s">
        <v>25</v>
      </c>
      <c r="W41" s="1727">
        <f t="shared" si="14"/>
        <v>100</v>
      </c>
      <c r="X41" s="2075"/>
      <c r="Y41" s="3418"/>
      <c r="Z41" s="2079" t="str">
        <f t="shared" si="15"/>
        <v>层高</v>
      </c>
      <c r="AA41" s="2070">
        <f t="shared" si="3"/>
        <v>1</v>
      </c>
      <c r="AB41" s="2070">
        <f t="shared" si="4"/>
        <v>1</v>
      </c>
      <c r="AC41" s="2070">
        <f t="shared" si="5"/>
        <v>1</v>
      </c>
    </row>
    <row r="42" spans="1:29" s="1772" customFormat="1" ht="15">
      <c r="A42" s="1765"/>
      <c r="B42" s="2071" t="s">
        <v>2390</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2999"/>
      <c r="M42" s="2060"/>
      <c r="N42" s="2060"/>
      <c r="O42" s="2060"/>
      <c r="P42" s="3418"/>
      <c r="Q42" s="1767" t="str">
        <f t="shared" si="11"/>
        <v>单套建筑面积</v>
      </c>
      <c r="R42" s="1768" t="s">
        <v>25</v>
      </c>
      <c r="S42" s="1769">
        <f t="shared" si="12"/>
        <v>100</v>
      </c>
      <c r="T42" s="1768" t="s">
        <v>25</v>
      </c>
      <c r="U42" s="1769">
        <f t="shared" si="13"/>
        <v>100</v>
      </c>
      <c r="V42" s="1768" t="s">
        <v>25</v>
      </c>
      <c r="W42" s="1769">
        <f t="shared" si="14"/>
        <v>100</v>
      </c>
      <c r="X42" s="1770"/>
      <c r="Y42" s="3418"/>
      <c r="Z42" s="1771" t="str">
        <f t="shared" si="15"/>
        <v>单套建筑面积</v>
      </c>
      <c r="AA42" s="2070">
        <f t="shared" si="3"/>
        <v>1</v>
      </c>
      <c r="AB42" s="2070">
        <f t="shared" si="4"/>
        <v>1</v>
      </c>
      <c r="AC42" s="2070">
        <f t="shared" si="5"/>
        <v>1</v>
      </c>
    </row>
    <row r="43" spans="1:29" ht="15">
      <c r="A43" s="1773"/>
      <c r="B43" s="1696" t="s">
        <v>2367</v>
      </c>
      <c r="C43" s="3178" t="s">
        <v>2970</v>
      </c>
      <c r="D43" s="1712">
        <v>100</v>
      </c>
      <c r="E43" s="3173" t="s">
        <v>2970</v>
      </c>
      <c r="F43" s="1755">
        <f>SUMIF(123:123,E43,124:124)-SUMIF(123:123,C43,124:124)+100</f>
        <v>100</v>
      </c>
      <c r="G43" s="3173" t="s">
        <v>2960</v>
      </c>
      <c r="H43" s="1712">
        <f>SUMIF(123:123,G43,124:124)-SUMIF(123:123,C43,124:124)+100</f>
        <v>98</v>
      </c>
      <c r="I43" s="3173" t="s">
        <v>2960</v>
      </c>
      <c r="J43" s="1712">
        <f>SUMIF(123:123,I43,124:124)-SUMIF(123:123,C43,124:124)+100</f>
        <v>98</v>
      </c>
      <c r="K43" s="1993">
        <v>1</v>
      </c>
      <c r="L43" s="3000"/>
      <c r="M43" s="2996"/>
      <c r="N43" s="2996"/>
      <c r="O43" s="2996"/>
      <c r="P43" s="3418"/>
      <c r="Q43" s="2914" t="str">
        <f t="shared" si="11"/>
        <v>内部装修</v>
      </c>
      <c r="R43" s="1726" t="s">
        <v>25</v>
      </c>
      <c r="S43" s="1727">
        <f t="shared" si="12"/>
        <v>100</v>
      </c>
      <c r="T43" s="1726" t="s">
        <v>25</v>
      </c>
      <c r="U43" s="1727">
        <f t="shared" si="13"/>
        <v>98</v>
      </c>
      <c r="V43" s="1726" t="s">
        <v>25</v>
      </c>
      <c r="W43" s="1727">
        <f t="shared" si="14"/>
        <v>98</v>
      </c>
      <c r="X43" s="2075"/>
      <c r="Y43" s="3418"/>
      <c r="Z43" s="2079" t="str">
        <f t="shared" si="15"/>
        <v>内部装修</v>
      </c>
      <c r="AA43" s="2070">
        <f t="shared" si="3"/>
        <v>1</v>
      </c>
      <c r="AB43" s="2070">
        <f t="shared" si="4"/>
        <v>1.0204081632653061</v>
      </c>
      <c r="AC43" s="2070">
        <f t="shared" si="5"/>
        <v>1.0204081632653061</v>
      </c>
    </row>
    <row r="44" spans="1:29" ht="15">
      <c r="A44" s="1773"/>
      <c r="B44" s="1696" t="s">
        <v>2284</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0"/>
      <c r="M44" s="2996"/>
      <c r="N44" s="2996"/>
      <c r="O44" s="2996"/>
      <c r="P44" s="3418"/>
      <c r="Q44" s="2914" t="str">
        <f t="shared" si="11"/>
        <v>内部装修维护情况</v>
      </c>
      <c r="R44" s="1726" t="s">
        <v>25</v>
      </c>
      <c r="S44" s="1727">
        <f t="shared" si="12"/>
        <v>100</v>
      </c>
      <c r="T44" s="1726" t="s">
        <v>25</v>
      </c>
      <c r="U44" s="1727">
        <f t="shared" si="13"/>
        <v>100</v>
      </c>
      <c r="V44" s="1726" t="s">
        <v>25</v>
      </c>
      <c r="W44" s="1727">
        <f t="shared" si="14"/>
        <v>100</v>
      </c>
      <c r="X44" s="2075"/>
      <c r="Y44" s="3418"/>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5"/>
      <c r="M45" s="2968"/>
      <c r="N45" s="2968"/>
      <c r="O45" s="2968"/>
      <c r="P45" s="3418"/>
      <c r="Q45" s="2913">
        <f t="shared" si="11"/>
        <v>111</v>
      </c>
      <c r="R45" s="1681" t="s">
        <v>25</v>
      </c>
      <c r="S45" s="1682">
        <f t="shared" si="12"/>
        <v>100</v>
      </c>
      <c r="T45" s="1681" t="s">
        <v>25</v>
      </c>
      <c r="U45" s="1682">
        <f t="shared" si="13"/>
        <v>100</v>
      </c>
      <c r="V45" s="1681" t="s">
        <v>25</v>
      </c>
      <c r="W45" s="1682">
        <f t="shared" si="14"/>
        <v>100</v>
      </c>
      <c r="X45" s="1683"/>
      <c r="Y45" s="3418"/>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0"/>
      <c r="M46" s="2996"/>
      <c r="N46" s="2996"/>
      <c r="O46" s="2996"/>
      <c r="P46" s="3418"/>
      <c r="Q46" s="2914">
        <f t="shared" si="11"/>
        <v>111</v>
      </c>
      <c r="R46" s="1726" t="s">
        <v>25</v>
      </c>
      <c r="S46" s="1727">
        <f t="shared" si="12"/>
        <v>100</v>
      </c>
      <c r="T46" s="1726" t="s">
        <v>25</v>
      </c>
      <c r="U46" s="1727">
        <f t="shared" si="13"/>
        <v>100</v>
      </c>
      <c r="V46" s="1726" t="s">
        <v>25</v>
      </c>
      <c r="W46" s="1727">
        <f t="shared" si="14"/>
        <v>100</v>
      </c>
      <c r="X46" s="2075"/>
      <c r="Y46" s="3418"/>
      <c r="Z46" s="2079">
        <f t="shared" si="15"/>
        <v>111</v>
      </c>
      <c r="AA46" s="2070">
        <f t="shared" si="3"/>
        <v>1</v>
      </c>
      <c r="AB46" s="2070">
        <f t="shared" si="4"/>
        <v>1</v>
      </c>
      <c r="AC46" s="2070">
        <f t="shared" si="5"/>
        <v>1</v>
      </c>
    </row>
    <row r="47" spans="1:29" ht="15.75" thickBot="1">
      <c r="A47" s="1781"/>
      <c r="B47" s="3179">
        <v>0.97</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0"/>
      <c r="M47" s="2996"/>
      <c r="N47" s="2996"/>
      <c r="O47" s="2996"/>
      <c r="P47" s="3419"/>
      <c r="Q47" s="2914">
        <f t="shared" si="11"/>
        <v>0.97</v>
      </c>
      <c r="R47" s="1726" t="s">
        <v>25</v>
      </c>
      <c r="S47" s="1727">
        <f t="shared" si="12"/>
        <v>100</v>
      </c>
      <c r="T47" s="1726" t="s">
        <v>25</v>
      </c>
      <c r="U47" s="1727">
        <f t="shared" si="13"/>
        <v>100</v>
      </c>
      <c r="V47" s="1726" t="s">
        <v>25</v>
      </c>
      <c r="W47" s="1727">
        <f t="shared" si="14"/>
        <v>100</v>
      </c>
      <c r="X47" s="2075"/>
      <c r="Y47" s="3419"/>
      <c r="Z47" s="2079">
        <f t="shared" si="15"/>
        <v>0.97</v>
      </c>
      <c r="AA47" s="2070">
        <f t="shared" si="3"/>
        <v>1</v>
      </c>
      <c r="AB47" s="2070">
        <f t="shared" si="4"/>
        <v>1</v>
      </c>
      <c r="AC47" s="2070">
        <f t="shared" si="5"/>
        <v>1</v>
      </c>
    </row>
    <row r="48" spans="1:29" ht="15">
      <c r="A48" s="1782" t="s">
        <v>2285</v>
      </c>
      <c r="B48" s="1783"/>
      <c r="C48" s="1784" t="s">
        <v>1</v>
      </c>
      <c r="D48" s="1785"/>
      <c r="E48" s="1786">
        <f>ROUND(33967*B47,0)</f>
        <v>32948</v>
      </c>
      <c r="F48" s="1787"/>
      <c r="G48" s="1788">
        <f>ROUND(32045*B47,0)</f>
        <v>31084</v>
      </c>
      <c r="H48" s="1789"/>
      <c r="I48" s="1786">
        <f>ROUND(34524*B47,0)</f>
        <v>33488</v>
      </c>
      <c r="J48" s="1789"/>
      <c r="K48" s="2014"/>
      <c r="L48" s="3001"/>
      <c r="M48" s="2996"/>
      <c r="N48" s="2996"/>
      <c r="O48" s="2996"/>
      <c r="P48" s="3412" t="str">
        <f>A48</f>
        <v>成交单价（元/平方米）</v>
      </c>
      <c r="Q48" s="3412"/>
      <c r="R48" s="3413">
        <f>E48</f>
        <v>32948</v>
      </c>
      <c r="S48" s="3413"/>
      <c r="T48" s="3413">
        <f>G48</f>
        <v>31084</v>
      </c>
      <c r="U48" s="3413"/>
      <c r="V48" s="3413">
        <f>I48</f>
        <v>33488</v>
      </c>
      <c r="W48" s="3413"/>
      <c r="X48" s="1792"/>
      <c r="Y48" s="2074"/>
      <c r="Z48" s="1792"/>
      <c r="AA48" s="1792"/>
      <c r="AB48" s="1792"/>
      <c r="AC48" s="1792"/>
    </row>
    <row r="49" spans="1:29" ht="15.75" thickBot="1">
      <c r="A49" s="1794" t="s">
        <v>2368</v>
      </c>
      <c r="B49" s="1795"/>
      <c r="C49" s="1796">
        <f>R50</f>
        <v>32620</v>
      </c>
      <c r="D49" s="1797" t="s">
        <v>2740</v>
      </c>
      <c r="E49" s="1798">
        <f>R49</f>
        <v>32622</v>
      </c>
      <c r="F49" s="1799"/>
      <c r="G49" s="1796">
        <f>T49</f>
        <v>31404</v>
      </c>
      <c r="H49" s="1799"/>
      <c r="I49" s="1798">
        <f>V49</f>
        <v>33833</v>
      </c>
      <c r="J49" s="1799"/>
      <c r="K49" s="2511">
        <f>F49+H49+J49</f>
        <v>0</v>
      </c>
      <c r="L49" s="3001"/>
      <c r="M49" s="2996"/>
      <c r="N49" s="2996"/>
      <c r="O49" s="2996"/>
      <c r="P49" s="3412" t="str">
        <f>A49</f>
        <v>比较价值（元/平方米）</v>
      </c>
      <c r="Q49" s="3412"/>
      <c r="R49" s="3413">
        <f>IF(E1="售价",ROUND(PRODUCT(R48,AA7:AA47),0),ROUND(PRODUCT(R48,AA7:AA47),1))</f>
        <v>32622</v>
      </c>
      <c r="S49" s="3413"/>
      <c r="T49" s="3413">
        <f>IF(E1="售价",ROUND(PRODUCT(T48,AB7:AB47),0),ROUND(PRODUCT(T48,AB7:AB47),1))</f>
        <v>31404</v>
      </c>
      <c r="U49" s="3413"/>
      <c r="V49" s="3413">
        <f>IF(E1="售价",ROUND(PRODUCT(V48,AC7:AC47),0),ROUND(PRODUCT(V48,AC7:AC47),1))</f>
        <v>33833</v>
      </c>
      <c r="W49" s="3413"/>
      <c r="X49" s="1792"/>
      <c r="Y49" s="1792"/>
      <c r="Z49" s="1792"/>
      <c r="AA49" s="1792"/>
      <c r="AB49" s="1792"/>
      <c r="AC49" s="1792"/>
    </row>
    <row r="50" spans="1:29" ht="15.75" thickBot="1">
      <c r="A50" s="1800" t="s">
        <v>2391</v>
      </c>
      <c r="B50" s="1801"/>
      <c r="C50" s="1803">
        <f>R50</f>
        <v>32620</v>
      </c>
      <c r="D50" s="1803"/>
      <c r="E50" s="1803"/>
      <c r="F50" s="1803"/>
      <c r="G50" s="1803"/>
      <c r="H50" s="1803"/>
      <c r="I50" s="1803"/>
      <c r="J50" s="1803"/>
      <c r="K50" s="2019"/>
      <c r="L50" s="3001"/>
      <c r="M50" s="2996"/>
      <c r="N50" s="2996"/>
      <c r="O50" s="2996"/>
      <c r="P50" s="3414" t="str">
        <f>A50</f>
        <v>估价对象XX用房的比较价值（楼面单价，元/平方米）</v>
      </c>
      <c r="Q50" s="3415"/>
      <c r="R50" s="3416">
        <f>IF(E1="售价",ROUND(IF(D49="简单平均",AVERAGE(R49:V49),R49*F49+T49*H49+V49*J49),0),ROUND(IF(D49="简单平均",AVERAGE(R49:V49),R49*F49+T49*H49+V49*J49),1))</f>
        <v>32620</v>
      </c>
      <c r="S50" s="3416"/>
      <c r="T50" s="3416"/>
      <c r="U50" s="3416"/>
      <c r="V50" s="3416"/>
      <c r="W50" s="3416"/>
      <c r="X50" s="1792"/>
      <c r="Y50" s="1792"/>
      <c r="Z50" s="1792"/>
      <c r="AA50" s="1792"/>
      <c r="AB50" s="1792"/>
      <c r="AC50" s="1792"/>
    </row>
    <row r="51" spans="1:29">
      <c r="G51" s="3007">
        <f>G48*0.04</f>
        <v>1243.3600000000001</v>
      </c>
    </row>
    <row r="53" spans="1:29" ht="13.5" customHeight="1">
      <c r="C53" s="383" t="s">
        <v>2370</v>
      </c>
      <c r="D53" s="1808"/>
      <c r="E53" s="1809">
        <f>IF(E48&lt;E49,E49/E48-1,E48/E49-1)</f>
        <v>9.993256084850799E-3</v>
      </c>
      <c r="F53" s="1810" t="str">
        <f>IF(OR(E53&gt;=0.3,E53&lt;=-0.3),"超过30%","")</f>
        <v/>
      </c>
      <c r="G53" s="1809">
        <f>IF(G48&lt;G49,G49/G48-1,G48/G49-1)</f>
        <v>1.0294685368678502E-2</v>
      </c>
      <c r="H53" s="1810" t="str">
        <f>IF(OR(G53&gt;=0.3,G53&lt;=-0.3),"超过30%","")</f>
        <v/>
      </c>
      <c r="I53" s="1809">
        <f>IF(I48&lt;I49,I49/I48-1,I48/I49-1)</f>
        <v>1.0302197802197766E-2</v>
      </c>
      <c r="J53" s="1810" t="str">
        <f>IF(OR(I53&gt;=0.3,I53&lt;=-0.3),"超过30%","")</f>
        <v/>
      </c>
    </row>
    <row r="54" spans="1:29" ht="13.5" customHeight="1">
      <c r="C54" s="383" t="s">
        <v>2371</v>
      </c>
      <c r="D54" s="1811"/>
      <c r="E54" s="1809">
        <f>IF(E49&lt;G49,G49/E49-1,E49/G49-1)</f>
        <v>3.878486816965987E-2</v>
      </c>
      <c r="F54" s="1810" t="str">
        <f>IF(OR(E54&gt;=0.2,E54&lt;=-0.2),"超过20%","")</f>
        <v/>
      </c>
      <c r="G54" s="1809">
        <f>IF(G49&lt;I49,I49/G49-1,G49/I49-1)</f>
        <v>7.7346834798114994E-2</v>
      </c>
      <c r="H54" s="1810" t="str">
        <f>IF(OR(G54&gt;=0.2,G54&lt;=-0.2),"超过20%","")</f>
        <v/>
      </c>
      <c r="I54" s="1809">
        <f>IF(I49&lt;E49,E49/I49-1,I49/E49-1)</f>
        <v>3.7122187480841173E-2</v>
      </c>
      <c r="J54" s="1810" t="str">
        <f>IF(OR(I54&gt;=0.2,I54&lt;=-0.2),"超过20%","")</f>
        <v/>
      </c>
    </row>
    <row r="55" spans="1:29" s="1814" customFormat="1" ht="13.5" customHeight="1">
      <c r="C55" s="383" t="s">
        <v>2372</v>
      </c>
      <c r="D55" s="1811"/>
      <c r="E55" s="1809">
        <f>IF(E48&lt;G48,G48/E48-1,E48/G48-1)</f>
        <v>5.9966542272551715E-2</v>
      </c>
      <c r="F55" s="1810" t="str">
        <f>IF(OR(E55&gt;=0.3,E55&lt;=-0.3),"超过30%","")</f>
        <v/>
      </c>
      <c r="G55" s="1809">
        <f>IF(G48&lt;I48,I48/G48-1,G48/I48-1)</f>
        <v>7.733882383219659E-2</v>
      </c>
      <c r="H55" s="1810" t="str">
        <f>IF(OR(G55&gt;=0.3,G55&lt;=-0.3),"超过30%","")</f>
        <v/>
      </c>
      <c r="I55" s="1809">
        <f>IF(I48&lt;E48,E48/I48-1,I48/E48-1)</f>
        <v>1.6389462182833547E-2</v>
      </c>
      <c r="J55" s="1810" t="str">
        <f>IF(OR(I55&gt;=0.3,I55&lt;=-0.3),"超过30%","")</f>
        <v/>
      </c>
      <c r="K55" s="3008"/>
      <c r="L55" s="3002"/>
    </row>
    <row r="56" spans="1:29" s="1814" customFormat="1">
      <c r="B56" s="3006"/>
      <c r="C56" s="3007"/>
      <c r="K56" s="3008"/>
      <c r="L56" s="3002"/>
    </row>
    <row r="57" spans="1:29">
      <c r="B57" s="3006"/>
      <c r="C57" s="3007"/>
    </row>
    <row r="58" spans="1:29" ht="21.75" thickBot="1">
      <c r="A58" s="1817" t="s">
        <v>2373</v>
      </c>
      <c r="B58" s="1792"/>
      <c r="C58" s="1818"/>
      <c r="D58" s="1818"/>
      <c r="E58" s="1818"/>
      <c r="F58" s="1818"/>
      <c r="G58" s="1818"/>
      <c r="H58" s="1818"/>
      <c r="I58" s="1818"/>
      <c r="J58" s="1818"/>
      <c r="K58" s="1819"/>
      <c r="L58" s="1820"/>
      <c r="M58" s="1818"/>
      <c r="N58" s="3004"/>
      <c r="O58" s="3004"/>
      <c r="P58" s="2046"/>
      <c r="Q58" s="1822"/>
    </row>
    <row r="59" spans="1:29" s="1828" customFormat="1" ht="15">
      <c r="A59" s="1823" t="s">
        <v>2255</v>
      </c>
      <c r="B59" s="1824"/>
      <c r="C59" s="1825" t="str">
        <f>YEAR(C7)&amp;"-"&amp;MONTH(C7)</f>
        <v>2021-12</v>
      </c>
      <c r="D59" s="1826">
        <f>EDATE(C59,-1)</f>
        <v>44501</v>
      </c>
      <c r="E59" s="1826">
        <f t="shared" ref="E59:O59" si="16">EDATE(D59,-1)</f>
        <v>44470</v>
      </c>
      <c r="F59" s="1826">
        <f t="shared" si="16"/>
        <v>44440</v>
      </c>
      <c r="G59" s="1826">
        <f t="shared" si="16"/>
        <v>44409</v>
      </c>
      <c r="H59" s="1826">
        <f t="shared" si="16"/>
        <v>44378</v>
      </c>
      <c r="I59" s="1826">
        <f t="shared" si="16"/>
        <v>44348</v>
      </c>
      <c r="J59" s="1826">
        <f t="shared" si="16"/>
        <v>44317</v>
      </c>
      <c r="K59" s="1826">
        <f t="shared" si="16"/>
        <v>44287</v>
      </c>
      <c r="L59" s="1826">
        <f t="shared" si="16"/>
        <v>44256</v>
      </c>
      <c r="M59" s="1826">
        <f t="shared" si="16"/>
        <v>44228</v>
      </c>
      <c r="N59" s="1826">
        <f t="shared" si="16"/>
        <v>44197</v>
      </c>
      <c r="O59" s="1826">
        <f t="shared" si="16"/>
        <v>44166</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2293</v>
      </c>
      <c r="B61" s="1836"/>
      <c r="C61" s="1837"/>
      <c r="D61" s="1838"/>
      <c r="E61" s="1838"/>
      <c r="F61" s="1838"/>
      <c r="G61" s="1838"/>
      <c r="H61" s="1838"/>
      <c r="I61" s="1838"/>
      <c r="J61" s="1838"/>
      <c r="K61" s="1838"/>
      <c r="L61" s="1838"/>
      <c r="M61" s="1839"/>
      <c r="N61" s="1838"/>
      <c r="O61" s="2505"/>
      <c r="P61" s="1822"/>
      <c r="Q61" s="1822"/>
    </row>
    <row r="62" spans="1:29" s="1685" customFormat="1" ht="15">
      <c r="A62" s="1840" t="s">
        <v>2257</v>
      </c>
      <c r="B62" s="1830"/>
      <c r="C62" s="1841" t="s">
        <v>2258</v>
      </c>
      <c r="D62" s="409"/>
      <c r="E62" s="409"/>
      <c r="F62" s="409"/>
      <c r="G62" s="409"/>
      <c r="H62" s="409"/>
      <c r="I62" s="409"/>
      <c r="J62" s="409"/>
      <c r="K62" s="409"/>
      <c r="L62" s="409"/>
      <c r="M62" s="1842"/>
      <c r="N62" s="3013"/>
      <c r="O62" s="3013"/>
      <c r="P62" s="2057"/>
      <c r="Q62" s="1822"/>
    </row>
    <row r="63" spans="1:29" s="1685" customFormat="1" ht="15.75" thickBot="1">
      <c r="A63" s="1840"/>
      <c r="B63" s="1830"/>
      <c r="C63" s="1845">
        <v>100</v>
      </c>
      <c r="D63" s="1832"/>
      <c r="E63" s="1832"/>
      <c r="F63" s="1832"/>
      <c r="G63" s="1832"/>
      <c r="H63" s="1832"/>
      <c r="I63" s="1832"/>
      <c r="J63" s="1832"/>
      <c r="K63" s="1832"/>
      <c r="L63" s="1832"/>
      <c r="M63" s="1846"/>
      <c r="N63" s="3013"/>
      <c r="O63" s="3013"/>
      <c r="P63" s="1822"/>
      <c r="Q63" s="1822"/>
    </row>
    <row r="64" spans="1:29">
      <c r="A64" s="1847" t="s">
        <v>2296</v>
      </c>
      <c r="B64" s="1848" t="s">
        <v>2261</v>
      </c>
      <c r="C64" s="1849">
        <f>C9</f>
        <v>0</v>
      </c>
      <c r="D64" s="1850"/>
      <c r="E64" s="1850"/>
      <c r="F64" s="1850"/>
      <c r="G64" s="1850"/>
      <c r="H64" s="1850"/>
      <c r="I64" s="1850"/>
      <c r="J64" s="1850"/>
      <c r="K64" s="417"/>
      <c r="L64" s="417"/>
      <c r="M64" s="1851"/>
      <c r="N64" s="3014"/>
      <c r="O64" s="3014"/>
      <c r="P64" s="2058"/>
      <c r="Q64" s="1822"/>
    </row>
    <row r="65" spans="1:17" ht="15.75" thickBot="1">
      <c r="A65" s="1854"/>
      <c r="B65" s="1855"/>
      <c r="C65" s="1856">
        <v>100</v>
      </c>
      <c r="D65" s="1856"/>
      <c r="E65" s="1856"/>
      <c r="F65" s="1856"/>
      <c r="G65" s="1856"/>
      <c r="H65" s="1856"/>
      <c r="I65" s="1856"/>
      <c r="J65" s="1856"/>
      <c r="K65" s="1856"/>
      <c r="L65" s="1856"/>
      <c r="M65" s="1857"/>
      <c r="N65" s="3015"/>
      <c r="O65" s="3015"/>
      <c r="P65" s="2058"/>
      <c r="Q65" s="1822"/>
    </row>
    <row r="66" spans="1:17" ht="27.75" thickTop="1">
      <c r="A66" s="1854"/>
      <c r="B66" s="1859" t="s">
        <v>2264</v>
      </c>
      <c r="C66" s="1860" t="s">
        <v>2297</v>
      </c>
      <c r="D66" s="1860" t="s">
        <v>2298</v>
      </c>
      <c r="E66" s="1860" t="s">
        <v>2299</v>
      </c>
      <c r="F66" s="1860" t="s">
        <v>2300</v>
      </c>
      <c r="G66" s="1860" t="s">
        <v>2301</v>
      </c>
      <c r="H66" s="1860" t="s">
        <v>2302</v>
      </c>
      <c r="I66" s="1860" t="s">
        <v>2303</v>
      </c>
      <c r="J66" s="1860"/>
      <c r="K66" s="428"/>
      <c r="L66" s="428"/>
      <c r="M66" s="1861"/>
      <c r="N66" s="3014"/>
      <c r="O66" s="3014"/>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5"/>
      <c r="O67" s="3015"/>
      <c r="P67" s="2058"/>
      <c r="Q67" s="1822"/>
    </row>
    <row r="68" spans="1:17" ht="15.75" thickTop="1">
      <c r="A68" s="1854"/>
      <c r="B68" s="1865" t="s">
        <v>2265</v>
      </c>
      <c r="C68" s="1866" t="str">
        <f>C69&amp;"（含）"&amp;"-"&amp;D69</f>
        <v>0（含）-1</v>
      </c>
      <c r="D68" s="1866" t="str">
        <f t="shared" ref="D68:L68" si="17">D69&amp;"（含）"&amp;"-"&amp;E69</f>
        <v>1（含）-2</v>
      </c>
      <c r="E68" s="1866" t="str">
        <f t="shared" si="17"/>
        <v>2（含）-3</v>
      </c>
      <c r="F68" s="1866" t="str">
        <f t="shared" si="17"/>
        <v>3（含）-4</v>
      </c>
      <c r="G68" s="1866" t="str">
        <f t="shared" si="17"/>
        <v>4（含）-</v>
      </c>
      <c r="H68" s="1866" t="str">
        <f t="shared" si="17"/>
        <v>（含）-</v>
      </c>
      <c r="I68" s="1866" t="str">
        <f t="shared" si="17"/>
        <v>（含）-</v>
      </c>
      <c r="J68" s="1866" t="str">
        <f t="shared" si="17"/>
        <v>（含）-</v>
      </c>
      <c r="K68" s="1866" t="str">
        <f t="shared" si="17"/>
        <v>（含）-</v>
      </c>
      <c r="L68" s="1866" t="str">
        <f t="shared" si="17"/>
        <v>（含）-</v>
      </c>
      <c r="M68" s="1732" t="str">
        <f>M69&amp;"（含）"&amp;"-"&amp;P69</f>
        <v>（含）-</v>
      </c>
      <c r="N68" s="3015"/>
      <c r="O68" s="3015"/>
      <c r="P68" s="2058"/>
      <c r="Q68" s="1822"/>
    </row>
    <row r="69" spans="1:17" ht="15">
      <c r="A69" s="1854"/>
      <c r="B69" s="1867"/>
      <c r="C69" s="1868">
        <v>0</v>
      </c>
      <c r="D69" s="1868">
        <v>1</v>
      </c>
      <c r="E69" s="1868">
        <v>2</v>
      </c>
      <c r="F69" s="1868">
        <v>3</v>
      </c>
      <c r="G69" s="1868">
        <v>4</v>
      </c>
      <c r="H69" s="1868"/>
      <c r="I69" s="1868"/>
      <c r="J69" s="1868"/>
      <c r="K69" s="438"/>
      <c r="L69" s="438"/>
      <c r="M69" s="1869"/>
      <c r="N69" s="3014"/>
      <c r="O69" s="3014"/>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5"/>
      <c r="O70" s="3015"/>
      <c r="P70" s="2058"/>
      <c r="Q70" s="1822"/>
    </row>
    <row r="71" spans="1:17" s="1772" customFormat="1" ht="15.75" thickTop="1">
      <c r="A71" s="1870"/>
      <c r="B71" s="1859">
        <f>B12</f>
        <v>111</v>
      </c>
      <c r="C71" s="468"/>
      <c r="D71" s="468"/>
      <c r="E71" s="468"/>
      <c r="F71" s="468"/>
      <c r="G71" s="468"/>
      <c r="H71" s="443"/>
      <c r="I71" s="443"/>
      <c r="J71" s="443"/>
      <c r="K71" s="443"/>
      <c r="L71" s="443"/>
      <c r="M71" s="1871"/>
      <c r="N71" s="3016"/>
      <c r="O71" s="3016"/>
      <c r="P71" s="2059"/>
      <c r="Q71" s="1874"/>
    </row>
    <row r="72" spans="1:17" s="1772" customFormat="1" ht="15.75" thickBot="1">
      <c r="A72" s="1870"/>
      <c r="B72" s="1862"/>
      <c r="C72" s="1875"/>
      <c r="D72" s="1856"/>
      <c r="E72" s="1856"/>
      <c r="F72" s="1856"/>
      <c r="G72" s="1856"/>
      <c r="H72" s="1856"/>
      <c r="I72" s="1856"/>
      <c r="J72" s="1856"/>
      <c r="K72" s="1856"/>
      <c r="L72" s="1856"/>
      <c r="M72" s="1857"/>
      <c r="N72" s="3015"/>
      <c r="O72" s="3015"/>
      <c r="P72" s="2059"/>
      <c r="Q72" s="1874"/>
    </row>
    <row r="73" spans="1:17" s="1772" customFormat="1" ht="15.75" thickTop="1">
      <c r="A73" s="1870"/>
      <c r="B73" s="1859">
        <f>B13</f>
        <v>111</v>
      </c>
      <c r="C73" s="468"/>
      <c r="D73" s="468"/>
      <c r="E73" s="468"/>
      <c r="F73" s="468"/>
      <c r="G73" s="468"/>
      <c r="H73" s="443"/>
      <c r="I73" s="443"/>
      <c r="J73" s="443"/>
      <c r="K73" s="443"/>
      <c r="L73" s="443"/>
      <c r="M73" s="1871"/>
      <c r="N73" s="3016"/>
      <c r="O73" s="3016"/>
      <c r="P73" s="2060"/>
      <c r="Q73" s="1877"/>
    </row>
    <row r="74" spans="1:17" s="1772" customFormat="1" ht="15.75" thickBot="1">
      <c r="A74" s="1870"/>
      <c r="B74" s="1862"/>
      <c r="C74" s="1875"/>
      <c r="D74" s="1875"/>
      <c r="E74" s="1875"/>
      <c r="F74" s="1875"/>
      <c r="G74" s="1875"/>
      <c r="H74" s="1878"/>
      <c r="I74" s="1878"/>
      <c r="J74" s="1878"/>
      <c r="K74" s="1878"/>
      <c r="L74" s="1878"/>
      <c r="M74" s="1879"/>
      <c r="N74" s="3016"/>
      <c r="O74" s="3016"/>
      <c r="P74" s="2059"/>
      <c r="Q74" s="1874"/>
    </row>
    <row r="75" spans="1:17" s="1772" customFormat="1" ht="15.75" thickTop="1">
      <c r="A75" s="1870"/>
      <c r="B75" s="1865">
        <f>B14</f>
        <v>111</v>
      </c>
      <c r="C75" s="409"/>
      <c r="D75" s="409"/>
      <c r="E75" s="409"/>
      <c r="F75" s="409"/>
      <c r="G75" s="409"/>
      <c r="H75" s="453"/>
      <c r="I75" s="453"/>
      <c r="J75" s="453"/>
      <c r="K75" s="453"/>
      <c r="L75" s="453"/>
      <c r="M75" s="1880"/>
      <c r="N75" s="3016"/>
      <c r="O75" s="3016"/>
      <c r="P75" s="2059"/>
      <c r="Q75" s="1874"/>
    </row>
    <row r="76" spans="1:17" s="1772" customFormat="1" ht="15.75" thickBot="1">
      <c r="A76" s="1881"/>
      <c r="B76" s="1882"/>
      <c r="C76" s="1883"/>
      <c r="D76" s="1883"/>
      <c r="E76" s="1883"/>
      <c r="F76" s="1883"/>
      <c r="G76" s="1883"/>
      <c r="H76" s="1884"/>
      <c r="I76" s="1884"/>
      <c r="J76" s="1884"/>
      <c r="K76" s="1884"/>
      <c r="L76" s="1884"/>
      <c r="M76" s="1885"/>
      <c r="N76" s="3016"/>
      <c r="O76" s="3016"/>
      <c r="P76" s="2059"/>
      <c r="Q76" s="1874"/>
    </row>
    <row r="77" spans="1:17">
      <c r="A77" s="1847" t="s">
        <v>2266</v>
      </c>
      <c r="B77" s="1848" t="s">
        <v>2392</v>
      </c>
      <c r="C77" s="1886" t="s">
        <v>2305</v>
      </c>
      <c r="D77" s="1886" t="s">
        <v>2306</v>
      </c>
      <c r="E77" s="1886" t="s">
        <v>2307</v>
      </c>
      <c r="F77" s="1886" t="s">
        <v>2308</v>
      </c>
      <c r="G77" s="1886" t="s">
        <v>2309</v>
      </c>
      <c r="H77" s="1849"/>
      <c r="I77" s="1849"/>
      <c r="J77" s="1849"/>
      <c r="K77" s="463"/>
      <c r="L77" s="463"/>
      <c r="M77" s="1887"/>
      <c r="N77" s="3014"/>
      <c r="O77" s="3014"/>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5"/>
      <c r="O78" s="3015"/>
      <c r="P78" s="2058"/>
      <c r="Q78" s="1822"/>
    </row>
    <row r="79" spans="1:17" ht="15.75" thickTop="1">
      <c r="A79" s="1854"/>
      <c r="B79" s="1859" t="s">
        <v>2310</v>
      </c>
      <c r="C79" s="579" t="s">
        <v>2305</v>
      </c>
      <c r="D79" s="579" t="s">
        <v>2306</v>
      </c>
      <c r="E79" s="579" t="s">
        <v>2307</v>
      </c>
      <c r="F79" s="579" t="s">
        <v>2308</v>
      </c>
      <c r="G79" s="579" t="s">
        <v>2309</v>
      </c>
      <c r="H79" s="1860"/>
      <c r="I79" s="1860"/>
      <c r="J79" s="1860"/>
      <c r="K79" s="428"/>
      <c r="L79" s="428"/>
      <c r="M79" s="1861"/>
      <c r="N79" s="3014"/>
      <c r="O79" s="3014"/>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5"/>
      <c r="O80" s="3015"/>
      <c r="P80" s="2058"/>
      <c r="Q80" s="1822"/>
    </row>
    <row r="81" spans="1:17" ht="15.75" thickTop="1">
      <c r="A81" s="1854"/>
      <c r="B81" s="1859" t="s">
        <v>2311</v>
      </c>
      <c r="C81" s="579" t="s">
        <v>2305</v>
      </c>
      <c r="D81" s="579" t="s">
        <v>2306</v>
      </c>
      <c r="E81" s="579" t="s">
        <v>2307</v>
      </c>
      <c r="F81" s="579" t="s">
        <v>2308</v>
      </c>
      <c r="G81" s="579" t="s">
        <v>2309</v>
      </c>
      <c r="H81" s="1860"/>
      <c r="I81" s="1860"/>
      <c r="J81" s="1860"/>
      <c r="K81" s="428"/>
      <c r="L81" s="428"/>
      <c r="M81" s="1861"/>
      <c r="N81" s="3014"/>
      <c r="O81" s="3014"/>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5"/>
      <c r="O82" s="3015"/>
      <c r="P82" s="2058"/>
      <c r="Q82" s="1822"/>
    </row>
    <row r="83" spans="1:17" ht="15.75" thickTop="1">
      <c r="A83" s="1854"/>
      <c r="B83" s="1865" t="s">
        <v>2354</v>
      </c>
      <c r="C83" s="1860" t="s">
        <v>2312</v>
      </c>
      <c r="D83" s="1860" t="s">
        <v>2313</v>
      </c>
      <c r="E83" s="1860" t="s">
        <v>2314</v>
      </c>
      <c r="F83" s="1860" t="s">
        <v>2315</v>
      </c>
      <c r="G83" s="1860" t="s">
        <v>2316</v>
      </c>
      <c r="H83" s="1860"/>
      <c r="I83" s="1860"/>
      <c r="J83" s="1860"/>
      <c r="K83" s="1860"/>
      <c r="L83" s="1860"/>
      <c r="M83" s="1888"/>
      <c r="N83" s="3015"/>
      <c r="O83" s="3015"/>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5"/>
      <c r="O84" s="3015"/>
      <c r="P84" s="2058"/>
      <c r="Q84" s="1822"/>
    </row>
    <row r="85" spans="1:17" ht="15.75" thickTop="1">
      <c r="A85" s="1854"/>
      <c r="B85" s="1859" t="s">
        <v>2393</v>
      </c>
      <c r="C85" s="579" t="s">
        <v>2305</v>
      </c>
      <c r="D85" s="579" t="s">
        <v>2306</v>
      </c>
      <c r="E85" s="579" t="s">
        <v>2307</v>
      </c>
      <c r="F85" s="579" t="s">
        <v>2308</v>
      </c>
      <c r="G85" s="579" t="s">
        <v>2309</v>
      </c>
      <c r="H85" s="1860"/>
      <c r="I85" s="1860"/>
      <c r="J85" s="1860"/>
      <c r="K85" s="428"/>
      <c r="L85" s="428"/>
      <c r="M85" s="1861"/>
      <c r="N85" s="3014"/>
      <c r="O85" s="3014"/>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5"/>
      <c r="O86" s="3015"/>
      <c r="P86" s="2058"/>
      <c r="Q86" s="1822"/>
    </row>
    <row r="87" spans="1:17" s="1685" customFormat="1" ht="27.75" thickTop="1">
      <c r="A87" s="1890"/>
      <c r="B87" s="1859" t="s">
        <v>2394</v>
      </c>
      <c r="C87" s="468"/>
      <c r="D87" s="468"/>
      <c r="E87" s="468"/>
      <c r="F87" s="468"/>
      <c r="G87" s="468"/>
      <c r="H87" s="468"/>
      <c r="I87" s="468"/>
      <c r="J87" s="468"/>
      <c r="K87" s="468"/>
      <c r="L87" s="468"/>
      <c r="M87" s="1891"/>
      <c r="N87" s="3013"/>
      <c r="O87" s="3013"/>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5"/>
      <c r="O88" s="3015"/>
      <c r="P88" s="2058"/>
      <c r="Q88" s="1822"/>
    </row>
    <row r="89" spans="1:17" s="1685" customFormat="1" ht="15.75" thickTop="1">
      <c r="A89" s="1890"/>
      <c r="B89" s="1859" t="str">
        <f>B27</f>
        <v>楼层</v>
      </c>
      <c r="C89" s="3166" t="s">
        <v>2907</v>
      </c>
      <c r="D89" s="3166" t="s">
        <v>2906</v>
      </c>
      <c r="E89" s="3166" t="s">
        <v>2908</v>
      </c>
      <c r="F89" s="1893"/>
      <c r="G89" s="468"/>
      <c r="H89" s="468"/>
      <c r="I89" s="468"/>
      <c r="J89" s="468"/>
      <c r="K89" s="468"/>
      <c r="L89" s="468"/>
      <c r="M89" s="1891"/>
      <c r="N89" s="3013"/>
      <c r="O89" s="3013"/>
      <c r="P89" s="2058"/>
      <c r="Q89" s="1822"/>
    </row>
    <row r="90" spans="1:17" s="1685" customFormat="1" ht="15.75" thickBot="1">
      <c r="A90" s="1890"/>
      <c r="B90" s="1862"/>
      <c r="C90" s="1892">
        <v>100</v>
      </c>
      <c r="D90" s="1863">
        <f>C90-$K27</f>
        <v>97</v>
      </c>
      <c r="E90" s="1863">
        <f t="shared" ref="E90:M90" si="20">D90-$K27</f>
        <v>94</v>
      </c>
      <c r="F90" s="1863">
        <f t="shared" si="20"/>
        <v>91</v>
      </c>
      <c r="G90" s="1863">
        <f t="shared" si="20"/>
        <v>88</v>
      </c>
      <c r="H90" s="1863">
        <f t="shared" si="20"/>
        <v>85</v>
      </c>
      <c r="I90" s="1863">
        <f t="shared" si="20"/>
        <v>82</v>
      </c>
      <c r="J90" s="1863">
        <f t="shared" si="20"/>
        <v>79</v>
      </c>
      <c r="K90" s="1863">
        <f t="shared" si="20"/>
        <v>76</v>
      </c>
      <c r="L90" s="1863">
        <f t="shared" si="20"/>
        <v>73</v>
      </c>
      <c r="M90" s="1863">
        <f t="shared" si="20"/>
        <v>70</v>
      </c>
      <c r="N90" s="3015"/>
      <c r="O90" s="3015"/>
      <c r="P90" s="2058"/>
      <c r="Q90" s="1822"/>
    </row>
    <row r="91" spans="1:17" s="1772" customFormat="1" ht="15.75" thickTop="1">
      <c r="A91" s="1870"/>
      <c r="B91" s="1859" t="str">
        <f>B28</f>
        <v>朝向</v>
      </c>
      <c r="C91" s="468"/>
      <c r="D91" s="468"/>
      <c r="E91" s="468"/>
      <c r="F91" s="468"/>
      <c r="G91" s="468"/>
      <c r="H91" s="443"/>
      <c r="I91" s="443"/>
      <c r="J91" s="443"/>
      <c r="K91" s="443"/>
      <c r="L91" s="443"/>
      <c r="M91" s="1871"/>
      <c r="N91" s="3016"/>
      <c r="O91" s="3016"/>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6"/>
      <c r="O92" s="3016"/>
      <c r="P92" s="2059"/>
      <c r="Q92" s="1874"/>
    </row>
    <row r="93" spans="1:17" ht="15.75" thickTop="1">
      <c r="A93" s="1854"/>
      <c r="B93" s="1859">
        <f>B29</f>
        <v>111</v>
      </c>
      <c r="C93" s="468"/>
      <c r="D93" s="468"/>
      <c r="E93" s="468"/>
      <c r="F93" s="468"/>
      <c r="G93" s="468"/>
      <c r="H93" s="468"/>
      <c r="I93" s="468"/>
      <c r="J93" s="468"/>
      <c r="K93" s="468"/>
      <c r="L93" s="468"/>
      <c r="M93" s="1891"/>
      <c r="N93" s="3014"/>
      <c r="O93" s="3014"/>
      <c r="P93" s="2058"/>
      <c r="Q93" s="1822"/>
    </row>
    <row r="94" spans="1:17" ht="15.75" thickBot="1">
      <c r="A94" s="1854"/>
      <c r="B94" s="1862"/>
      <c r="C94" s="1875"/>
      <c r="D94" s="1856"/>
      <c r="E94" s="1856"/>
      <c r="F94" s="1856"/>
      <c r="G94" s="1856"/>
      <c r="H94" s="1856"/>
      <c r="I94" s="1856"/>
      <c r="J94" s="1856"/>
      <c r="K94" s="1856"/>
      <c r="L94" s="1856"/>
      <c r="M94" s="1857"/>
      <c r="N94" s="3015"/>
      <c r="O94" s="3015"/>
      <c r="P94" s="2058"/>
      <c r="Q94" s="1822"/>
    </row>
    <row r="95" spans="1:17" ht="15.75" thickTop="1">
      <c r="A95" s="1854"/>
      <c r="B95" s="1859">
        <f>B30</f>
        <v>111</v>
      </c>
      <c r="C95" s="468"/>
      <c r="D95" s="468"/>
      <c r="E95" s="468"/>
      <c r="F95" s="468"/>
      <c r="G95" s="1578"/>
      <c r="H95" s="1578"/>
      <c r="I95" s="1578"/>
      <c r="J95" s="1578"/>
      <c r="K95" s="473"/>
      <c r="L95" s="473"/>
      <c r="M95" s="1894"/>
      <c r="N95" s="3014"/>
      <c r="O95" s="3014"/>
      <c r="P95" s="2058"/>
      <c r="Q95" s="1822"/>
    </row>
    <row r="96" spans="1:17" ht="15.75" thickBot="1">
      <c r="A96" s="1854"/>
      <c r="B96" s="1862"/>
      <c r="C96" s="1875"/>
      <c r="D96" s="1875"/>
      <c r="E96" s="1875"/>
      <c r="F96" s="1875"/>
      <c r="G96" s="1856"/>
      <c r="H96" s="1856"/>
      <c r="I96" s="1856"/>
      <c r="J96" s="1856"/>
      <c r="K96" s="1856"/>
      <c r="L96" s="1856"/>
      <c r="M96" s="1857"/>
      <c r="N96" s="3015"/>
      <c r="O96" s="3015"/>
      <c r="P96" s="2058"/>
      <c r="Q96" s="1822"/>
    </row>
    <row r="97" spans="1:17" ht="15.75" thickTop="1">
      <c r="A97" s="1854"/>
      <c r="B97" s="1859">
        <f>B31</f>
        <v>111</v>
      </c>
      <c r="C97" s="468"/>
      <c r="D97" s="468"/>
      <c r="E97" s="468"/>
      <c r="F97" s="468"/>
      <c r="G97" s="1578"/>
      <c r="H97" s="1578"/>
      <c r="I97" s="1578"/>
      <c r="J97" s="1578"/>
      <c r="K97" s="473"/>
      <c r="L97" s="473"/>
      <c r="M97" s="1894"/>
      <c r="N97" s="3014"/>
      <c r="O97" s="3014"/>
      <c r="P97" s="2058"/>
      <c r="Q97" s="1822"/>
    </row>
    <row r="98" spans="1:17" ht="15.75" thickBot="1">
      <c r="A98" s="1854"/>
      <c r="B98" s="1862"/>
      <c r="C98" s="1875"/>
      <c r="D98" s="1856"/>
      <c r="E98" s="1856"/>
      <c r="F98" s="1856"/>
      <c r="G98" s="1856"/>
      <c r="H98" s="1856"/>
      <c r="I98" s="1856"/>
      <c r="J98" s="1856"/>
      <c r="K98" s="1856"/>
      <c r="L98" s="1856"/>
      <c r="M98" s="1857"/>
      <c r="N98" s="3015"/>
      <c r="O98" s="3015"/>
      <c r="P98" s="2058"/>
      <c r="Q98" s="1822"/>
    </row>
    <row r="99" spans="1:17" ht="15.75" thickTop="1">
      <c r="A99" s="1854"/>
      <c r="B99" s="1865">
        <f>B32</f>
        <v>111</v>
      </c>
      <c r="C99" s="409"/>
      <c r="D99" s="409"/>
      <c r="E99" s="409"/>
      <c r="F99" s="409"/>
      <c r="G99" s="1895"/>
      <c r="H99" s="1895"/>
      <c r="I99" s="1895"/>
      <c r="J99" s="1895"/>
      <c r="K99" s="477"/>
      <c r="L99" s="477"/>
      <c r="M99" s="1896"/>
      <c r="N99" s="3014"/>
      <c r="O99" s="3014"/>
      <c r="P99" s="2058"/>
      <c r="Q99" s="1822"/>
    </row>
    <row r="100" spans="1:17" ht="15.75" thickBot="1">
      <c r="A100" s="1897"/>
      <c r="B100" s="1882"/>
      <c r="C100" s="1883"/>
      <c r="D100" s="1883"/>
      <c r="E100" s="1883"/>
      <c r="F100" s="1883"/>
      <c r="G100" s="1898"/>
      <c r="H100" s="1898"/>
      <c r="I100" s="1898"/>
      <c r="J100" s="1898"/>
      <c r="K100" s="1898"/>
      <c r="L100" s="1898"/>
      <c r="M100" s="1899"/>
      <c r="N100" s="3015"/>
      <c r="O100" s="3015"/>
      <c r="P100" s="2058"/>
      <c r="Q100" s="1822"/>
    </row>
    <row r="101" spans="1:17">
      <c r="A101" s="1847" t="s">
        <v>2271</v>
      </c>
      <c r="B101" s="1848" t="s">
        <v>2320</v>
      </c>
      <c r="C101" s="1850"/>
      <c r="D101" s="1850"/>
      <c r="E101" s="1850"/>
      <c r="F101" s="1850"/>
      <c r="G101" s="1850"/>
      <c r="H101" s="1850"/>
      <c r="I101" s="1850"/>
      <c r="J101" s="1850"/>
      <c r="K101" s="417"/>
      <c r="L101" s="417"/>
      <c r="M101" s="1851"/>
      <c r="N101" s="3014"/>
      <c r="O101" s="3014"/>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5"/>
      <c r="O102" s="3015"/>
      <c r="P102" s="2058"/>
      <c r="Q102" s="1822"/>
    </row>
    <row r="103" spans="1:17" ht="15.75" thickTop="1">
      <c r="A103" s="1854"/>
      <c r="B103" s="1859" t="s">
        <v>2321</v>
      </c>
      <c r="C103" s="579" t="str">
        <f>C104&amp;"(含)"&amp;"-"&amp;D104</f>
        <v>0(含)-80</v>
      </c>
      <c r="D103" s="579" t="str">
        <f t="shared" ref="D103:L103" si="23">D104&amp;"(含)"&amp;"-"&amp;E104</f>
        <v>80(含)-150</v>
      </c>
      <c r="E103" s="579" t="str">
        <f t="shared" si="23"/>
        <v>150(含)-300</v>
      </c>
      <c r="F103" s="579" t="str">
        <f t="shared" si="23"/>
        <v>300(含)-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3"/>
      <c r="O103" s="3013"/>
      <c r="P103" s="2058"/>
      <c r="Q103" s="1822"/>
    </row>
    <row r="104" spans="1:17" s="1772" customFormat="1">
      <c r="A104" s="1900"/>
      <c r="B104" s="1901"/>
      <c r="C104" s="1902">
        <v>0</v>
      </c>
      <c r="D104" s="1902">
        <v>80</v>
      </c>
      <c r="E104" s="1902">
        <v>150</v>
      </c>
      <c r="F104" s="1902">
        <v>300</v>
      </c>
      <c r="G104" s="1902"/>
      <c r="H104" s="1902"/>
      <c r="I104" s="1902"/>
      <c r="J104" s="485"/>
      <c r="K104" s="485"/>
      <c r="L104" s="485"/>
      <c r="M104" s="1903"/>
      <c r="N104" s="3016"/>
      <c r="O104" s="3016"/>
      <c r="P104" s="2059"/>
      <c r="Q104" s="1874"/>
    </row>
    <row r="105" spans="1:17" s="1772" customFormat="1" ht="15.75" thickBot="1">
      <c r="A105" s="1870"/>
      <c r="B105" s="1862"/>
      <c r="C105" s="1875">
        <v>100</v>
      </c>
      <c r="D105" s="1856">
        <v>99</v>
      </c>
      <c r="E105" s="1856">
        <v>98</v>
      </c>
      <c r="F105" s="1856">
        <v>97</v>
      </c>
      <c r="G105" s="1856"/>
      <c r="H105" s="1856"/>
      <c r="I105" s="1856"/>
      <c r="J105" s="1856"/>
      <c r="K105" s="1856"/>
      <c r="L105" s="1856"/>
      <c r="M105" s="1857"/>
      <c r="N105" s="3015"/>
      <c r="O105" s="3015"/>
      <c r="P105" s="2059"/>
      <c r="Q105" s="1874"/>
    </row>
    <row r="106" spans="1:17" ht="15" thickTop="1">
      <c r="A106" s="1904"/>
      <c r="B106" s="1859" t="s">
        <v>2322</v>
      </c>
      <c r="C106" s="468"/>
      <c r="D106" s="468"/>
      <c r="E106" s="1578"/>
      <c r="F106" s="1578"/>
      <c r="G106" s="1578"/>
      <c r="H106" s="1578"/>
      <c r="I106" s="1578"/>
      <c r="J106" s="1578"/>
      <c r="K106" s="473"/>
      <c r="L106" s="473"/>
      <c r="M106" s="1894"/>
      <c r="N106" s="3014"/>
      <c r="O106" s="3014"/>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5"/>
      <c r="O107" s="3015"/>
      <c r="P107" s="2058"/>
      <c r="Q107" s="1822"/>
    </row>
    <row r="108" spans="1:17" ht="15" thickTop="1">
      <c r="A108" s="1904"/>
      <c r="B108" s="1859" t="s">
        <v>2324</v>
      </c>
      <c r="C108" s="468"/>
      <c r="D108" s="468"/>
      <c r="E108" s="468"/>
      <c r="F108" s="1578"/>
      <c r="G108" s="1578"/>
      <c r="H108" s="1578"/>
      <c r="I108" s="1578"/>
      <c r="J108" s="1578"/>
      <c r="K108" s="473"/>
      <c r="L108" s="473"/>
      <c r="M108" s="1894"/>
      <c r="N108" s="3014"/>
      <c r="O108" s="3014"/>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5"/>
      <c r="O109" s="3015"/>
      <c r="P109" s="2058"/>
      <c r="Q109" s="1822"/>
    </row>
    <row r="110" spans="1:17" ht="15" thickTop="1">
      <c r="A110" s="1904"/>
      <c r="B110" s="1859" t="s">
        <v>2325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4"/>
      <c r="O110" s="3014"/>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4"/>
      <c r="O111" s="3014"/>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5"/>
      <c r="O112" s="3015"/>
      <c r="P112" s="2058"/>
      <c r="Q112" s="1822"/>
    </row>
    <row r="113" spans="1:17" s="1772" customFormat="1" ht="15" thickTop="1">
      <c r="A113" s="1900"/>
      <c r="B113" s="1859" t="s">
        <v>2395</v>
      </c>
      <c r="C113" s="468"/>
      <c r="D113" s="468"/>
      <c r="E113" s="468"/>
      <c r="F113" s="468"/>
      <c r="G113" s="468"/>
      <c r="H113" s="1578"/>
      <c r="I113" s="1578"/>
      <c r="J113" s="1578"/>
      <c r="K113" s="473"/>
      <c r="L113" s="473"/>
      <c r="M113" s="1894"/>
      <c r="N113" s="3016"/>
      <c r="O113" s="3016"/>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6"/>
      <c r="O114" s="3016"/>
      <c r="P114" s="2059"/>
      <c r="Q114" s="1874"/>
    </row>
    <row r="115" spans="1:17" ht="15" thickTop="1">
      <c r="A115" s="1904"/>
      <c r="B115" s="1859" t="s">
        <v>2326</v>
      </c>
      <c r="C115" s="468"/>
      <c r="D115" s="468"/>
      <c r="E115" s="1578"/>
      <c r="F115" s="1578"/>
      <c r="G115" s="1578"/>
      <c r="H115" s="1578"/>
      <c r="I115" s="1578"/>
      <c r="J115" s="1578"/>
      <c r="K115" s="473"/>
      <c r="L115" s="473"/>
      <c r="M115" s="1894"/>
      <c r="N115" s="3014"/>
      <c r="O115" s="3014"/>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5"/>
      <c r="O116" s="3015"/>
      <c r="P116" s="2058"/>
      <c r="Q116" s="1822"/>
    </row>
    <row r="117" spans="1:17" ht="15" thickTop="1">
      <c r="A117" s="1904"/>
      <c r="B117" s="1859" t="s">
        <v>2327</v>
      </c>
      <c r="C117" s="468"/>
      <c r="D117" s="468"/>
      <c r="E117" s="468"/>
      <c r="F117" s="468"/>
      <c r="G117" s="468"/>
      <c r="H117" s="1578"/>
      <c r="I117" s="1578"/>
      <c r="J117" s="1578"/>
      <c r="K117" s="473"/>
      <c r="L117" s="473"/>
      <c r="M117" s="1894"/>
      <c r="N117" s="3014"/>
      <c r="O117" s="3014"/>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5"/>
      <c r="O118" s="3015"/>
      <c r="P118" s="2058"/>
      <c r="Q118" s="1822"/>
    </row>
    <row r="119" spans="1:17" ht="15" thickTop="1">
      <c r="A119" s="1904"/>
      <c r="B119" s="2506" t="s">
        <v>2396</v>
      </c>
      <c r="C119" s="1578"/>
      <c r="D119" s="1578"/>
      <c r="E119" s="1578"/>
      <c r="F119" s="1578"/>
      <c r="G119" s="1578"/>
      <c r="H119" s="1578"/>
      <c r="I119" s="1578"/>
      <c r="J119" s="1578"/>
      <c r="K119" s="1578"/>
      <c r="L119" s="1578"/>
      <c r="M119" s="2507"/>
      <c r="N119" s="3015"/>
      <c r="O119" s="3015"/>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5"/>
      <c r="O120" s="3015"/>
      <c r="P120" s="2058"/>
      <c r="Q120" s="1822"/>
    </row>
    <row r="121" spans="1:17" s="1772" customFormat="1" ht="15" thickTop="1">
      <c r="A121" s="1900"/>
      <c r="B121" s="1859" t="s">
        <v>2378</v>
      </c>
      <c r="C121" s="468"/>
      <c r="D121" s="468"/>
      <c r="E121" s="468"/>
      <c r="F121" s="1578"/>
      <c r="G121" s="443"/>
      <c r="H121" s="443"/>
      <c r="I121" s="443"/>
      <c r="J121" s="443"/>
      <c r="K121" s="443"/>
      <c r="L121" s="443"/>
      <c r="M121" s="1871"/>
      <c r="N121" s="3016"/>
      <c r="O121" s="3016"/>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6"/>
      <c r="O122" s="3016"/>
      <c r="P122" s="2059"/>
      <c r="Q122" s="1874"/>
    </row>
    <row r="123" spans="1:17" ht="15" thickTop="1">
      <c r="A123" s="1904"/>
      <c r="B123" s="1859" t="s">
        <v>2329</v>
      </c>
      <c r="C123" s="3166" t="s">
        <v>2959</v>
      </c>
      <c r="D123" s="3166" t="s">
        <v>2961</v>
      </c>
      <c r="E123" s="3166" t="s">
        <v>2962</v>
      </c>
      <c r="F123" s="3174" t="s">
        <v>2960</v>
      </c>
      <c r="G123" s="1578"/>
      <c r="H123" s="1578"/>
      <c r="I123" s="1578"/>
      <c r="J123" s="1578"/>
      <c r="K123" s="473"/>
      <c r="L123" s="473"/>
      <c r="M123" s="1894"/>
      <c r="N123" s="3014"/>
      <c r="O123" s="3014"/>
      <c r="P123" s="2058"/>
      <c r="Q123" s="1822"/>
    </row>
    <row r="124" spans="1:17" ht="15.75" thickBot="1">
      <c r="A124" s="1854"/>
      <c r="B124" s="1862"/>
      <c r="C124" s="1863">
        <v>100</v>
      </c>
      <c r="D124" s="1863">
        <f t="shared" ref="D124:M124" si="30">C124-$K43</f>
        <v>99</v>
      </c>
      <c r="E124" s="1863">
        <f t="shared" si="30"/>
        <v>98</v>
      </c>
      <c r="F124" s="1863">
        <f t="shared" si="30"/>
        <v>97</v>
      </c>
      <c r="G124" s="1863">
        <f t="shared" si="30"/>
        <v>96</v>
      </c>
      <c r="H124" s="1863">
        <f t="shared" si="30"/>
        <v>95</v>
      </c>
      <c r="I124" s="1863">
        <f t="shared" si="30"/>
        <v>94</v>
      </c>
      <c r="J124" s="1863">
        <f t="shared" si="30"/>
        <v>93</v>
      </c>
      <c r="K124" s="1863">
        <f t="shared" si="30"/>
        <v>92</v>
      </c>
      <c r="L124" s="1863">
        <f t="shared" si="30"/>
        <v>91</v>
      </c>
      <c r="M124" s="1864">
        <f t="shared" si="30"/>
        <v>90</v>
      </c>
      <c r="N124" s="3015"/>
      <c r="O124" s="3015"/>
      <c r="P124" s="2058"/>
      <c r="Q124" s="1822"/>
    </row>
    <row r="125" spans="1:17" ht="15" thickTop="1">
      <c r="A125" s="1904"/>
      <c r="B125" s="1859" t="s">
        <v>2330</v>
      </c>
      <c r="C125" s="579" t="s">
        <v>2305</v>
      </c>
      <c r="D125" s="579" t="s">
        <v>2306</v>
      </c>
      <c r="E125" s="579" t="s">
        <v>2307</v>
      </c>
      <c r="F125" s="579" t="s">
        <v>2308</v>
      </c>
      <c r="G125" s="579" t="s">
        <v>2309</v>
      </c>
      <c r="H125" s="1860"/>
      <c r="I125" s="1860"/>
      <c r="J125" s="1860"/>
      <c r="K125" s="428"/>
      <c r="L125" s="428"/>
      <c r="M125" s="1861"/>
      <c r="N125" s="3014"/>
      <c r="O125" s="3014"/>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5"/>
      <c r="O126" s="3015"/>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6"/>
      <c r="O127" s="3016"/>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6"/>
      <c r="O128" s="3016"/>
      <c r="P128" s="2059"/>
      <c r="Q128" s="1874"/>
    </row>
    <row r="129" spans="1:17" ht="15" thickTop="1">
      <c r="A129" s="1904"/>
      <c r="B129" s="1859">
        <f>B46</f>
        <v>111</v>
      </c>
      <c r="C129" s="468"/>
      <c r="D129" s="468"/>
      <c r="E129" s="468"/>
      <c r="F129" s="468"/>
      <c r="G129" s="1578"/>
      <c r="H129" s="1578"/>
      <c r="I129" s="1578"/>
      <c r="J129" s="1578"/>
      <c r="K129" s="473"/>
      <c r="L129" s="473"/>
      <c r="M129" s="1894"/>
      <c r="N129" s="3014"/>
      <c r="O129" s="3014"/>
      <c r="P129" s="2058"/>
      <c r="Q129" s="1822"/>
    </row>
    <row r="130" spans="1:17" ht="15.75" thickBot="1">
      <c r="A130" s="1854"/>
      <c r="B130" s="1862"/>
      <c r="C130" s="1875"/>
      <c r="D130" s="1875"/>
      <c r="E130" s="1875"/>
      <c r="F130" s="1875"/>
      <c r="G130" s="1856"/>
      <c r="H130" s="1856"/>
      <c r="I130" s="1856"/>
      <c r="J130" s="1856"/>
      <c r="K130" s="1856"/>
      <c r="L130" s="1856"/>
      <c r="M130" s="1857"/>
      <c r="N130" s="3015"/>
      <c r="O130" s="3015"/>
      <c r="P130" s="2058"/>
      <c r="Q130" s="1822"/>
    </row>
    <row r="131" spans="1:17" ht="15" thickTop="1">
      <c r="A131" s="1904"/>
      <c r="B131" s="1865">
        <f>B47</f>
        <v>0.97</v>
      </c>
      <c r="C131" s="409"/>
      <c r="D131" s="409"/>
      <c r="E131" s="409"/>
      <c r="F131" s="409"/>
      <c r="G131" s="1895"/>
      <c r="H131" s="1895"/>
      <c r="I131" s="1895"/>
      <c r="J131" s="1895"/>
      <c r="K131" s="409"/>
      <c r="L131" s="409"/>
      <c r="M131" s="1896"/>
      <c r="N131" s="3014"/>
      <c r="O131" s="3014"/>
      <c r="P131" s="2058"/>
      <c r="Q131" s="1822"/>
    </row>
    <row r="132" spans="1:17" ht="15.75" thickBot="1">
      <c r="A132" s="2510"/>
      <c r="B132" s="1882"/>
      <c r="C132" s="1883"/>
      <c r="D132" s="1883"/>
      <c r="E132" s="1883"/>
      <c r="F132" s="1883"/>
      <c r="G132" s="1898"/>
      <c r="H132" s="1898"/>
      <c r="I132" s="1898"/>
      <c r="J132" s="1898"/>
      <c r="K132" s="1898"/>
      <c r="L132" s="1898"/>
      <c r="M132" s="1899"/>
      <c r="N132" s="3015"/>
      <c r="O132" s="3015"/>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74" priority="20" stopIfTrue="1" operator="containsText" text="超过">
      <formula>NOT(ISERROR(SEARCH("超过",F53)))</formula>
    </cfRule>
  </conditionalFormatting>
  <conditionalFormatting sqref="H55">
    <cfRule type="containsText" dxfId="173" priority="19" stopIfTrue="1" operator="containsText" text="超过">
      <formula>NOT(ISERROR(SEARCH("超过",H55)))</formula>
    </cfRule>
  </conditionalFormatting>
  <conditionalFormatting sqref="F55">
    <cfRule type="containsText" dxfId="172" priority="18" stopIfTrue="1" operator="containsText" text="超过">
      <formula>NOT(ISERROR(SEARCH("超过",F55)))</formula>
    </cfRule>
  </conditionalFormatting>
  <conditionalFormatting sqref="F54 H54">
    <cfRule type="containsText" dxfId="171" priority="17" stopIfTrue="1" operator="containsText" text="超过">
      <formula>NOT(ISERROR(SEARCH("超过",F54)))</formula>
    </cfRule>
  </conditionalFormatting>
  <conditionalFormatting sqref="E53">
    <cfRule type="expression" dxfId="170" priority="16" stopIfTrue="1">
      <formula>$F$53="超过30%"</formula>
    </cfRule>
  </conditionalFormatting>
  <conditionalFormatting sqref="E54">
    <cfRule type="expression" dxfId="169" priority="15" stopIfTrue="1">
      <formula>$F$54="超过20%"</formula>
    </cfRule>
  </conditionalFormatting>
  <conditionalFormatting sqref="E55">
    <cfRule type="expression" dxfId="168" priority="14" stopIfTrue="1">
      <formula>$F$55="超过30%"</formula>
    </cfRule>
  </conditionalFormatting>
  <conditionalFormatting sqref="G55">
    <cfRule type="expression" dxfId="167" priority="13" stopIfTrue="1">
      <formula>$H$55="超过30%"</formula>
    </cfRule>
  </conditionalFormatting>
  <conditionalFormatting sqref="G53">
    <cfRule type="expression" dxfId="166" priority="12" stopIfTrue="1">
      <formula>$H$53="超过30%"</formula>
    </cfRule>
  </conditionalFormatting>
  <conditionalFormatting sqref="G54">
    <cfRule type="expression" dxfId="165" priority="11" stopIfTrue="1">
      <formula>$H$54="超过20%"</formula>
    </cfRule>
  </conditionalFormatting>
  <conditionalFormatting sqref="J53">
    <cfRule type="containsText" dxfId="164" priority="10" stopIfTrue="1" operator="containsText" text="超过">
      <formula>NOT(ISERROR(SEARCH("超过",J53)))</formula>
    </cfRule>
  </conditionalFormatting>
  <conditionalFormatting sqref="J55">
    <cfRule type="containsText" dxfId="163" priority="9" stopIfTrue="1" operator="containsText" text="超过">
      <formula>NOT(ISERROR(SEARCH("超过",J55)))</formula>
    </cfRule>
  </conditionalFormatting>
  <conditionalFormatting sqref="J54">
    <cfRule type="containsText" dxfId="162" priority="8" stopIfTrue="1" operator="containsText" text="超过">
      <formula>NOT(ISERROR(SEARCH("超过",J54)))</formula>
    </cfRule>
  </conditionalFormatting>
  <conditionalFormatting sqref="I53">
    <cfRule type="expression" dxfId="161" priority="7" stopIfTrue="1">
      <formula>$J$53="超过30%"</formula>
    </cfRule>
  </conditionalFormatting>
  <conditionalFormatting sqref="I54">
    <cfRule type="expression" dxfId="160" priority="6" stopIfTrue="1">
      <formula>$J$53+$J$54="超过20%"</formula>
    </cfRule>
  </conditionalFormatting>
  <conditionalFormatting sqref="I55">
    <cfRule type="expression" dxfId="159" priority="5" stopIfTrue="1">
      <formula>$J$55="超过30%"</formula>
    </cfRule>
  </conditionalFormatting>
  <conditionalFormatting sqref="F49">
    <cfRule type="expression" dxfId="158" priority="4">
      <formula>$D$49="简单平均"</formula>
    </cfRule>
  </conditionalFormatting>
  <conditionalFormatting sqref="H49">
    <cfRule type="expression" dxfId="157" priority="3">
      <formula>$D$49="简单平均"</formula>
    </cfRule>
  </conditionalFormatting>
  <conditionalFormatting sqref="J49">
    <cfRule type="expression" dxfId="156" priority="2">
      <formula>$D$49="简单平均"</formula>
    </cfRule>
  </conditionalFormatting>
  <conditionalFormatting sqref="F7:F47 H7:H47 J7:J47">
    <cfRule type="cellIs" dxfId="15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7" zoomScale="70" zoomScaleNormal="60" zoomScaleSheetLayoutView="70" workbookViewId="0">
      <selection activeCell="A39" sqref="A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2001</v>
      </c>
      <c r="B1" s="222"/>
      <c r="C1" s="611"/>
      <c r="D1" s="1625" t="s">
        <v>2903</v>
      </c>
      <c r="E1" s="1626" t="s">
        <v>1241</v>
      </c>
      <c r="F1" s="1627"/>
      <c r="G1" s="1628"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1911</v>
      </c>
      <c r="B2" s="642">
        <f ca="1">IF(C2="元",IF('数据-取费表'!B29="租赁期内按合同租金",C40+L47+J29,C40+L47),ROUND(IF('数据-取费表'!B29="租赁期内按合同租金",(C40+L47+J29)/10000,(C40+L47)/10000),0))</f>
        <v>415</v>
      </c>
      <c r="C2" s="1519" t="str">
        <f>'数据-取费表'!B3</f>
        <v>万元</v>
      </c>
      <c r="D2" s="927"/>
      <c r="E2" s="928"/>
      <c r="F2" s="928"/>
      <c r="G2" s="953"/>
      <c r="H2" s="929"/>
      <c r="I2" s="929"/>
      <c r="J2" s="929"/>
      <c r="K2" s="930"/>
      <c r="L2" s="929"/>
      <c r="M2" s="929"/>
    </row>
    <row r="3" spans="1:37" ht="18" customHeight="1" thickBot="1">
      <c r="A3" s="226" t="s">
        <v>1912</v>
      </c>
      <c r="B3" s="643">
        <f ca="1">ROUND(IF('数据-取费表'!B29="租赁期内按合同租金",(C40+L47+J29)/F43,(C40+L47)/F43),0)</f>
        <v>18070</v>
      </c>
      <c r="C3" s="1519" t="s">
        <v>2002</v>
      </c>
      <c r="D3" s="927"/>
      <c r="E3" s="928"/>
      <c r="F3" s="928"/>
      <c r="G3" s="953"/>
      <c r="H3" s="227" t="s">
        <v>2003</v>
      </c>
      <c r="I3" s="929"/>
      <c r="J3" s="929"/>
      <c r="K3" s="930"/>
      <c r="L3" s="929"/>
      <c r="M3" s="929"/>
    </row>
    <row r="4" spans="1:37" ht="18" customHeight="1">
      <c r="A4" s="228" t="s">
        <v>2004</v>
      </c>
      <c r="B4" s="229" t="s">
        <v>2005</v>
      </c>
      <c r="C4" s="229" t="s">
        <v>2006</v>
      </c>
      <c r="D4" s="229" t="s">
        <v>2007</v>
      </c>
      <c r="E4" s="230" t="s">
        <v>2008</v>
      </c>
      <c r="F4" s="231"/>
      <c r="G4" s="951"/>
      <c r="H4" s="228" t="s">
        <v>2004</v>
      </c>
      <c r="I4" s="229" t="s">
        <v>2005</v>
      </c>
      <c r="J4" s="229" t="s">
        <v>2006</v>
      </c>
      <c r="K4" s="229" t="s">
        <v>2007</v>
      </c>
      <c r="L4" s="230" t="s">
        <v>2008</v>
      </c>
      <c r="M4" s="231"/>
    </row>
    <row r="5" spans="1:37" ht="18" customHeight="1">
      <c r="A5" s="232">
        <v>1</v>
      </c>
      <c r="B5" s="233" t="s">
        <v>2009</v>
      </c>
      <c r="C5" s="234">
        <f ca="1">C6+C10+C12</f>
        <v>264232</v>
      </c>
      <c r="D5" s="1633" t="s">
        <v>2723</v>
      </c>
      <c r="E5" s="927"/>
      <c r="F5" s="1056"/>
      <c r="G5" s="951"/>
      <c r="H5" s="232">
        <v>1</v>
      </c>
      <c r="I5" s="233" t="s">
        <v>2009</v>
      </c>
      <c r="J5" s="234">
        <f ca="1">J6+J10+J12</f>
        <v>0</v>
      </c>
      <c r="K5" s="1520" t="s">
        <v>2010</v>
      </c>
      <c r="L5" s="927"/>
      <c r="M5" s="1056"/>
    </row>
    <row r="6" spans="1:37" ht="18" customHeight="1">
      <c r="A6" s="1057" t="s">
        <v>2011</v>
      </c>
      <c r="B6" s="1442" t="s">
        <v>2012</v>
      </c>
      <c r="C6" s="234">
        <f>ROUND(F6*F8*F7*(1-F9),0)</f>
        <v>263902</v>
      </c>
      <c r="D6" s="36" t="s">
        <v>2698</v>
      </c>
      <c r="E6" s="235" t="s">
        <v>2013</v>
      </c>
      <c r="F6" s="236">
        <f>'数据-取费表'!B30</f>
        <v>3.5</v>
      </c>
      <c r="G6" s="951"/>
      <c r="H6" s="1057" t="s">
        <v>2011</v>
      </c>
      <c r="I6" s="1442" t="s">
        <v>2012</v>
      </c>
      <c r="J6" s="234">
        <f>ROUND(M6*M8*M7*(1-M9),0)</f>
        <v>0</v>
      </c>
      <c r="K6" s="36" t="s">
        <v>2698</v>
      </c>
      <c r="L6" s="235" t="s">
        <v>2013</v>
      </c>
      <c r="M6" s="236">
        <f>'数据-取费表'!B37</f>
        <v>0</v>
      </c>
    </row>
    <row r="7" spans="1:37" ht="18" customHeight="1">
      <c r="A7" s="1119"/>
      <c r="B7" s="238"/>
      <c r="C7" s="239"/>
      <c r="D7" s="240"/>
      <c r="E7" s="235" t="s">
        <v>2014</v>
      </c>
      <c r="F7" s="236">
        <f>IF('数据-取费表'!B42="",IF(D1="仅计算典型户型",'数据-取费表'!E5,'数据-取费表'!B5),'数据-取费表'!B42)</f>
        <v>229.53</v>
      </c>
      <c r="G7" s="951"/>
      <c r="H7" s="237"/>
      <c r="I7" s="238"/>
      <c r="J7" s="239"/>
      <c r="K7" s="240"/>
      <c r="L7" s="235" t="s">
        <v>2014</v>
      </c>
      <c r="M7" s="236">
        <f>IF('数据-取费表'!B42="",IF(D1="仅计算典型户型",'数据-取费表'!E5,'数据-取费表'!B5),'数据-取费表'!B42)</f>
        <v>229.53</v>
      </c>
    </row>
    <row r="8" spans="1:37" ht="18" customHeight="1">
      <c r="A8" s="1119"/>
      <c r="B8" s="238"/>
      <c r="C8" s="239"/>
      <c r="D8" s="240"/>
      <c r="E8" s="235" t="s">
        <v>2015</v>
      </c>
      <c r="F8" s="236">
        <f>'数据-取费表'!B43</f>
        <v>365</v>
      </c>
      <c r="G8" s="951"/>
      <c r="H8" s="237"/>
      <c r="I8" s="238"/>
      <c r="J8" s="239"/>
      <c r="K8" s="240"/>
      <c r="L8" s="235" t="s">
        <v>2016</v>
      </c>
      <c r="M8" s="236">
        <f>'数据-取费表'!B43</f>
        <v>365</v>
      </c>
    </row>
    <row r="9" spans="1:37" ht="18" customHeight="1">
      <c r="A9" s="1119"/>
      <c r="B9" s="238"/>
      <c r="C9" s="239"/>
      <c r="D9" s="244"/>
      <c r="E9" s="235" t="s">
        <v>2017</v>
      </c>
      <c r="F9" s="245">
        <f>'数据-取费表'!B33</f>
        <v>0.1</v>
      </c>
      <c r="G9" s="951"/>
      <c r="H9" s="237"/>
      <c r="I9" s="238"/>
      <c r="J9" s="1059"/>
      <c r="K9" s="43"/>
      <c r="L9" s="246" t="s">
        <v>2017</v>
      </c>
      <c r="M9" s="245">
        <f>'数据-取费表'!B39</f>
        <v>0</v>
      </c>
    </row>
    <row r="10" spans="1:37" ht="18" customHeight="1">
      <c r="A10" s="1057" t="s">
        <v>2018</v>
      </c>
      <c r="B10" s="1521" t="s">
        <v>2019</v>
      </c>
      <c r="C10" s="1058">
        <f ca="1">ROUND(IF(F10="押一",C6/12*F11,IF(F10="押二",C6/12*2*F11,IF(F10="押三",C6/12*3*F11,C11*F11))),0)</f>
        <v>330</v>
      </c>
      <c r="D10" s="1522" t="s">
        <v>2704</v>
      </c>
      <c r="E10" s="246" t="s">
        <v>2020</v>
      </c>
      <c r="F10" s="1523" t="s">
        <v>2021</v>
      </c>
      <c r="G10" s="951"/>
      <c r="H10" s="1057" t="s">
        <v>2018</v>
      </c>
      <c r="I10" s="1521" t="s">
        <v>2019</v>
      </c>
      <c r="J10" s="1058">
        <f ca="1">ROUND(IF(M10="押一",J6/12*M11,IF(M10="押二",J6/12*2*M11,IF(M10="押三",J6/12*3*M11,J11*M11))),0)</f>
        <v>0</v>
      </c>
      <c r="K10" s="36" t="s">
        <v>2704</v>
      </c>
      <c r="L10" s="246" t="s">
        <v>2020</v>
      </c>
      <c r="M10" s="1523"/>
    </row>
    <row r="11" spans="1:37" s="257" customFormat="1" ht="18" customHeight="1">
      <c r="A11" s="263"/>
      <c r="B11" s="1524" t="s">
        <v>2022</v>
      </c>
      <c r="C11" s="1091"/>
      <c r="D11" s="240"/>
      <c r="E11" s="246" t="s">
        <v>2023</v>
      </c>
      <c r="F11" s="247">
        <f ca="1">'数据-取费表'!B31</f>
        <v>1.4999999999999999E-2</v>
      </c>
      <c r="G11" s="952"/>
      <c r="H11" s="241"/>
      <c r="I11" s="1524" t="s">
        <v>2024</v>
      </c>
      <c r="J11" s="1091"/>
      <c r="K11" s="240"/>
      <c r="L11" s="246" t="s">
        <v>2023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2025</v>
      </c>
      <c r="B12" s="1525" t="s">
        <v>2026</v>
      </c>
      <c r="C12" s="1097"/>
      <c r="D12" s="1526"/>
      <c r="E12" s="1103"/>
      <c r="F12" s="1098"/>
      <c r="G12" s="951"/>
      <c r="H12" s="1096" t="s">
        <v>2025</v>
      </c>
      <c r="I12" s="1525" t="s">
        <v>2026</v>
      </c>
      <c r="J12" s="1097"/>
      <c r="K12" s="1113"/>
      <c r="L12" s="1103"/>
      <c r="M12" s="1114"/>
    </row>
    <row r="13" spans="1:37" s="257" customFormat="1" ht="18" customHeight="1" thickTop="1">
      <c r="A13" s="1092">
        <v>2</v>
      </c>
      <c r="B13" s="1093" t="s">
        <v>2027</v>
      </c>
      <c r="C13" s="243">
        <f ca="1">ROUND(C29*F13,0)</f>
        <v>1290232</v>
      </c>
      <c r="D13" s="1094" t="s">
        <v>2028</v>
      </c>
      <c r="E13" s="1094" t="s">
        <v>2029</v>
      </c>
      <c r="F13" s="1095">
        <f>'数据-取费表'!E20</f>
        <v>0.87</v>
      </c>
      <c r="G13" s="952"/>
      <c r="H13" s="1092">
        <v>2</v>
      </c>
      <c r="I13" s="1093" t="s">
        <v>2027</v>
      </c>
      <c r="J13" s="1059">
        <f ca="1">ROUND(J14*J15,0)</f>
        <v>0</v>
      </c>
      <c r="K13" s="1099" t="s">
        <v>2028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2030</v>
      </c>
      <c r="B14" s="235" t="s">
        <v>2031</v>
      </c>
      <c r="C14" s="254">
        <f>IF(D1="仅计算典型户型",'数据-取费表'!F18,'数据-取费表'!E18)</f>
        <v>1032885</v>
      </c>
      <c r="D14" s="1328" t="s">
        <v>2032</v>
      </c>
      <c r="E14" s="1329"/>
      <c r="F14" s="799"/>
      <c r="G14" s="952"/>
      <c r="H14" s="253" t="s">
        <v>2011</v>
      </c>
      <c r="I14" s="235" t="s">
        <v>2033</v>
      </c>
      <c r="J14" s="13">
        <f ca="1">C29</f>
        <v>1483025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2034</v>
      </c>
      <c r="B15" s="235" t="s">
        <v>2035</v>
      </c>
      <c r="C15" s="13">
        <f>ROUND(C14*F15,0)</f>
        <v>30987</v>
      </c>
      <c r="D15" s="255" t="s">
        <v>2036</v>
      </c>
      <c r="E15" s="255" t="s">
        <v>2037</v>
      </c>
      <c r="F15" s="256">
        <f>'数据-取费表'!E21</f>
        <v>0.03</v>
      </c>
      <c r="G15" s="951"/>
      <c r="H15" s="1102" t="s">
        <v>2038</v>
      </c>
      <c r="I15" s="1103" t="s">
        <v>2039</v>
      </c>
      <c r="J15" s="1115">
        <f>'数据-取费表'!B40</f>
        <v>0</v>
      </c>
      <c r="K15" s="1116"/>
      <c r="L15" s="1117"/>
      <c r="M15" s="1118"/>
    </row>
    <row r="16" spans="1:37" s="257" customFormat="1" ht="18" customHeight="1" thickTop="1">
      <c r="A16" s="253" t="s">
        <v>2040</v>
      </c>
      <c r="B16" s="235" t="s">
        <v>2041</v>
      </c>
      <c r="C16" s="13">
        <f>ROUND(C14*F16,0)</f>
        <v>0</v>
      </c>
      <c r="D16" s="235" t="s">
        <v>2036</v>
      </c>
      <c r="E16" s="235" t="s">
        <v>2037</v>
      </c>
      <c r="F16" s="258">
        <f>IF('数据-取费表'!B10="住宅",'数据-取费表'!E22,0)</f>
        <v>0</v>
      </c>
      <c r="G16" s="952"/>
      <c r="H16" s="1092" t="s">
        <v>14</v>
      </c>
      <c r="I16" s="1093" t="s">
        <v>2042</v>
      </c>
      <c r="J16" s="243">
        <f ca="1">ROUND(J17+J22+J23+J24,0)</f>
        <v>34702</v>
      </c>
      <c r="K16" s="1099" t="s">
        <v>2043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2044</v>
      </c>
      <c r="B17" s="235" t="s">
        <v>2045</v>
      </c>
      <c r="C17" s="13">
        <f>ROUND(F17*IF(D1="仅计算典型户型",'数据-取费表'!E5,'数据-取费表'!B5),0)</f>
        <v>45906</v>
      </c>
      <c r="D17" s="235" t="s">
        <v>2046</v>
      </c>
      <c r="E17" s="235" t="s">
        <v>2047</v>
      </c>
      <c r="F17" s="15">
        <f>'数据-取费表'!E23</f>
        <v>200</v>
      </c>
      <c r="G17" s="952"/>
      <c r="H17" s="253" t="s">
        <v>2048</v>
      </c>
      <c r="I17" s="235" t="s">
        <v>2049</v>
      </c>
      <c r="J17" s="2825">
        <f ca="1">ROUND(IF(AND(项目基本情况!B7="自然人",项目基本情况!B6="北京市"),J6*M17/(1+'数据-取费表'!F30),J18+J19+J20),0)</f>
        <v>12457</v>
      </c>
      <c r="K17" s="1328" t="s">
        <v>2050</v>
      </c>
      <c r="L17" s="1331" t="s">
        <v>2051</v>
      </c>
      <c r="M17" s="2824"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2052</v>
      </c>
      <c r="B18" s="235" t="s">
        <v>2053</v>
      </c>
      <c r="C18" s="13">
        <f>ROUND(C14*F18,0)</f>
        <v>15493</v>
      </c>
      <c r="D18" s="235" t="s">
        <v>2036</v>
      </c>
      <c r="E18" s="235" t="s">
        <v>2037</v>
      </c>
      <c r="F18" s="258">
        <f>'数据-取费表'!E24</f>
        <v>1.4999999999999999E-2</v>
      </c>
      <c r="G18" s="951"/>
      <c r="H18" s="253" t="s">
        <v>2054</v>
      </c>
      <c r="I18" s="235" t="s">
        <v>2055</v>
      </c>
      <c r="J18" s="13">
        <f>IF(项目基本情况!B7="自然人","——",ROUND(J6*M18/(1+'数据-取费表'!F30),0))</f>
        <v>0</v>
      </c>
      <c r="K18" s="1331" t="s">
        <v>2725</v>
      </c>
      <c r="L18" s="235" t="s">
        <v>2037</v>
      </c>
      <c r="M18" s="258">
        <f>'数据-取费表'!E29</f>
        <v>5.5000000000000007E-2</v>
      </c>
    </row>
    <row r="19" spans="1:37" s="257" customFormat="1" ht="18" customHeight="1">
      <c r="A19" s="253" t="s">
        <v>2048</v>
      </c>
      <c r="B19" s="235" t="s">
        <v>2056</v>
      </c>
      <c r="C19" s="13">
        <f>SUM(C14:C18)</f>
        <v>1125271</v>
      </c>
      <c r="D19" s="33" t="s">
        <v>2057</v>
      </c>
      <c r="E19" s="1333"/>
      <c r="F19" s="15"/>
      <c r="G19" s="952"/>
      <c r="H19" s="253" t="s">
        <v>2034</v>
      </c>
      <c r="I19" s="235" t="s">
        <v>2058</v>
      </c>
      <c r="J19" s="13">
        <f ca="1">IF(项目基本情况!B7="自然人","——",IF(K19="按租金收入计税",ROUND(J6*M19/(1+'数据-取费表'!F30),0),ROUND(C29*M19*0.7,0)))</f>
        <v>12457</v>
      </c>
      <c r="K19" s="1436"/>
      <c r="L19" s="235" t="s">
        <v>2037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2018</v>
      </c>
      <c r="B20" s="235" t="s">
        <v>2060</v>
      </c>
      <c r="C20" s="13">
        <f>ROUND(C19*F20,0)</f>
        <v>22505</v>
      </c>
      <c r="D20" s="259" t="s">
        <v>2061</v>
      </c>
      <c r="E20" s="235" t="s">
        <v>2062</v>
      </c>
      <c r="F20" s="258">
        <f>'数据-取费表'!E25</f>
        <v>0.02</v>
      </c>
      <c r="G20" s="952"/>
      <c r="H20" s="253" t="s">
        <v>2040</v>
      </c>
      <c r="I20" s="36" t="s">
        <v>2063</v>
      </c>
      <c r="J20" s="14">
        <f>IF(项目基本情况!B7="自然人","——",ROUND(M20*M21,0))</f>
        <v>0</v>
      </c>
      <c r="K20" s="261" t="s">
        <v>2064</v>
      </c>
      <c r="L20" s="235" t="s">
        <v>2065</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2066</v>
      </c>
      <c r="B21" s="235" t="s">
        <v>2067</v>
      </c>
      <c r="C21" s="597">
        <f>F21</f>
        <v>0.02</v>
      </c>
      <c r="D21" s="259" t="s">
        <v>2068</v>
      </c>
      <c r="E21" s="235" t="s">
        <v>2069</v>
      </c>
      <c r="F21" s="258">
        <f>'数据-取费表'!E26</f>
        <v>0.02</v>
      </c>
      <c r="G21" s="951"/>
      <c r="H21" s="263"/>
      <c r="I21" s="244"/>
      <c r="J21" s="17"/>
      <c r="K21" s="264"/>
      <c r="L21" s="235" t="s">
        <v>2070</v>
      </c>
      <c r="M21" s="236">
        <f>IF(D1="仅计算典型户型",'数据-取费表'!E6,'数据-取费表'!B6)</f>
        <v>0</v>
      </c>
    </row>
    <row r="22" spans="1:37" ht="18" customHeight="1">
      <c r="A22" s="253" t="s">
        <v>2071</v>
      </c>
      <c r="B22" s="235" t="s">
        <v>2072</v>
      </c>
      <c r="C22" s="13"/>
      <c r="D22" s="33" t="str">
        <f>IF(F23&lt;=1,"单利计息。","复利计息。")&amp;"建造成本、管理费用、销售费用产生的利息。"</f>
        <v>复利计息。建造成本、管理费用、销售费用产生的利息。</v>
      </c>
      <c r="E22" s="1333"/>
      <c r="F22" s="15"/>
      <c r="G22" s="951"/>
      <c r="H22" s="253" t="s">
        <v>2038</v>
      </c>
      <c r="I22" s="235" t="s">
        <v>2073</v>
      </c>
      <c r="J22" s="13">
        <f ca="1">ROUND(J14*M22,0)</f>
        <v>22245</v>
      </c>
      <c r="K22" s="1331" t="s">
        <v>2074</v>
      </c>
      <c r="L22" s="235" t="s">
        <v>2037</v>
      </c>
      <c r="M22" s="265">
        <f>'数据-取费表'!B45</f>
        <v>1.4999999999999999E-2</v>
      </c>
    </row>
    <row r="23" spans="1:37" ht="18" customHeight="1">
      <c r="A23" s="253" t="s">
        <v>2054</v>
      </c>
      <c r="B23" s="235" t="s">
        <v>2075</v>
      </c>
      <c r="C23" s="13">
        <f ca="1">IF('数据-取费表'!B24&lt;=1,ROUND(C19*F24*F23/2,0)+ROUND(C20*F24*F23/2,0),ROUND(C19*(POWER((1+F24),F23/2)-1),0)+ROUND(C20*(POWER((1+F24),F23/2)-1),0))</f>
        <v>49928</v>
      </c>
      <c r="D23" s="1432" t="str">
        <f>IF(F23&lt;=1,"(建造成本+管理费用)×利率×(建设周期÷2)","(建造成本+管理费用)×((1+利率)^(建设周期÷2)-1)")</f>
        <v>(建造成本+管理费用)×((1+利率)^(建设周期÷2)-1)</v>
      </c>
      <c r="E23" s="235" t="s">
        <v>2076</v>
      </c>
      <c r="F23" s="262">
        <f>'数据-取费表'!B22</f>
        <v>2</v>
      </c>
      <c r="G23" s="951"/>
      <c r="H23" s="253" t="s">
        <v>2066</v>
      </c>
      <c r="I23" s="235" t="s">
        <v>2077</v>
      </c>
      <c r="J23" s="13">
        <f ca="1">ROUND(J13*M23,0)</f>
        <v>0</v>
      </c>
      <c r="K23" s="1331" t="s">
        <v>2078</v>
      </c>
      <c r="L23" s="235" t="s">
        <v>2079</v>
      </c>
      <c r="M23" s="266">
        <f>'数据-取费表'!B46</f>
        <v>1.5E-3</v>
      </c>
    </row>
    <row r="24" spans="1:37" s="257" customFormat="1" ht="18" customHeight="1" thickBot="1">
      <c r="A24" s="253" t="s">
        <v>2080</v>
      </c>
      <c r="B24" s="235" t="s">
        <v>2081</v>
      </c>
      <c r="C24" s="13">
        <f ca="1">ROUND(IF('数据-取费表'!B24&lt;=1,F21*F24*F23/2,F21*(POWER((1+F24),F23/2)-1)),4)</f>
        <v>8.9999999999999998E-4</v>
      </c>
      <c r="D24" s="1432" t="str">
        <f>IF(F23&lt;=1,"销售费用×利率×(建设周期÷2)","销售费用×((1+利率)^(建设周期÷2)-1)")</f>
        <v>销售费用×((1+利率)^(建设周期÷2)-1)</v>
      </c>
      <c r="E24" s="235" t="s">
        <v>2082</v>
      </c>
      <c r="F24" s="267">
        <f ca="1">'数据-取费表'!E27</f>
        <v>4.3499999999999997E-2</v>
      </c>
      <c r="G24" s="952"/>
      <c r="H24" s="1102" t="s">
        <v>2071</v>
      </c>
      <c r="I24" s="1103" t="s">
        <v>2060</v>
      </c>
      <c r="J24" s="1104">
        <f ca="1">ROUND(J5*M24,0)</f>
        <v>0</v>
      </c>
      <c r="K24" s="1105" t="s">
        <v>2083</v>
      </c>
      <c r="L24" s="1103" t="s">
        <v>2079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2084</v>
      </c>
      <c r="B25" s="235" t="s">
        <v>2085</v>
      </c>
      <c r="C25" s="13"/>
      <c r="D25" s="33" t="s">
        <v>2086</v>
      </c>
      <c r="E25" s="1333"/>
      <c r="F25" s="15"/>
      <c r="G25" s="952"/>
      <c r="H25" s="1092" t="s">
        <v>22</v>
      </c>
      <c r="I25" s="1107" t="s">
        <v>2087</v>
      </c>
      <c r="J25" s="243">
        <f ca="1">J5-J16</f>
        <v>-34702</v>
      </c>
      <c r="K25" s="1108" t="s">
        <v>2088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2030</v>
      </c>
      <c r="B26" s="235" t="s">
        <v>2089</v>
      </c>
      <c r="C26" s="13">
        <f>ROUND((C19+C20)*F26,0)</f>
        <v>172166</v>
      </c>
      <c r="D26" s="259" t="s">
        <v>2090</v>
      </c>
      <c r="E26" s="246" t="s">
        <v>2091</v>
      </c>
      <c r="F26" s="245">
        <f>'数据-取费表'!E28</f>
        <v>0.15</v>
      </c>
      <c r="G26" s="652"/>
      <c r="H26" s="232" t="s">
        <v>23</v>
      </c>
      <c r="I26" s="233" t="s">
        <v>2092</v>
      </c>
      <c r="J26" s="234">
        <f ca="1">IF(J5&lt;&gt;0,ROUND(J25*(1-((1+M28)/(1+M26))^M27)/(M26-M28),0),0)</f>
        <v>0</v>
      </c>
      <c r="K26" s="261" t="s">
        <v>2093</v>
      </c>
      <c r="L26" s="235" t="s">
        <v>2094</v>
      </c>
      <c r="M26" s="245">
        <f>'数据-取费表'!B16</f>
        <v>5.5E-2</v>
      </c>
    </row>
    <row r="27" spans="1:37" ht="18" customHeight="1">
      <c r="A27" s="253" t="s">
        <v>2095</v>
      </c>
      <c r="B27" s="235" t="s">
        <v>2096</v>
      </c>
      <c r="C27" s="13">
        <f>ROUND(F21*F26,4)</f>
        <v>3.0000000000000001E-3</v>
      </c>
      <c r="D27" s="259" t="s">
        <v>2097</v>
      </c>
      <c r="E27" s="255"/>
      <c r="F27" s="256"/>
      <c r="G27" s="652"/>
      <c r="H27" s="237"/>
      <c r="I27" s="238"/>
      <c r="J27" s="239"/>
      <c r="K27" s="269" t="s">
        <v>2098</v>
      </c>
      <c r="L27" s="235" t="s">
        <v>2099</v>
      </c>
      <c r="M27" s="270" t="str">
        <f>'数据-取费表'!B41</f>
        <v>——</v>
      </c>
    </row>
    <row r="28" spans="1:37" ht="18" customHeight="1">
      <c r="A28" s="253" t="s">
        <v>2100</v>
      </c>
      <c r="B28" s="235" t="s">
        <v>2101</v>
      </c>
      <c r="C28" s="13">
        <f>ROUND(F28/(1+'数据-取费表'!F30),4)</f>
        <v>5.2400000000000002E-2</v>
      </c>
      <c r="D28" s="259" t="s">
        <v>2102</v>
      </c>
      <c r="E28" s="235" t="s">
        <v>2062</v>
      </c>
      <c r="F28" s="258">
        <f>'数据-取费表'!E29</f>
        <v>5.5000000000000007E-2</v>
      </c>
      <c r="G28" s="652"/>
      <c r="H28" s="241"/>
      <c r="I28" s="242"/>
      <c r="J28" s="243"/>
      <c r="K28" s="264"/>
      <c r="L28" s="235" t="s">
        <v>2103</v>
      </c>
      <c r="M28" s="245">
        <f>'数据-取费表'!B38</f>
        <v>0</v>
      </c>
    </row>
    <row r="29" spans="1:37" ht="18" customHeight="1" thickBot="1">
      <c r="A29" s="1102" t="s">
        <v>2104</v>
      </c>
      <c r="B29" s="1103" t="s">
        <v>2105</v>
      </c>
      <c r="C29" s="1104">
        <f ca="1">ROUND((C19+C20+C23+C26)/(1-F21-C24-C27-C28),0)</f>
        <v>1483025</v>
      </c>
      <c r="D29" s="1105"/>
      <c r="E29" s="1103"/>
      <c r="F29" s="1106"/>
      <c r="G29" s="652"/>
      <c r="H29" s="271" t="s">
        <v>24</v>
      </c>
      <c r="I29" s="272" t="s">
        <v>2106</v>
      </c>
      <c r="J29" s="273">
        <f ca="1">ROUND(J26/(1+F40)^F41,0)</f>
        <v>0</v>
      </c>
      <c r="K29" s="274" t="s">
        <v>2107</v>
      </c>
      <c r="L29" s="275"/>
      <c r="M29" s="276">
        <f>IF(D1="仅计算典型户型",'数据-取费表'!E5,'数据-取费表'!B5)</f>
        <v>229.53</v>
      </c>
    </row>
    <row r="30" spans="1:37" ht="18" customHeight="1" thickTop="1">
      <c r="A30" s="1092" t="s">
        <v>14</v>
      </c>
      <c r="B30" s="1093" t="s">
        <v>2108</v>
      </c>
      <c r="C30" s="243">
        <f ca="1">ROUND(C31+C36+C37+C38,0)</f>
        <v>73448</v>
      </c>
      <c r="D30" s="1099" t="s">
        <v>2109</v>
      </c>
      <c r="E30" s="1100"/>
      <c r="F30" s="1101"/>
      <c r="G30" s="652"/>
      <c r="H30" s="931"/>
      <c r="I30" s="932"/>
      <c r="J30" s="933"/>
      <c r="K30" s="934"/>
      <c r="L30" s="935"/>
      <c r="M30" s="936"/>
    </row>
    <row r="31" spans="1:37" ht="18" customHeight="1">
      <c r="A31" s="253" t="s">
        <v>2011</v>
      </c>
      <c r="B31" s="235" t="s">
        <v>2049</v>
      </c>
      <c r="C31" s="2825">
        <f>ROUND(IF(AND(项目基本情况!B7="自然人",项目基本情况!B6="北京市"),C6*F31/(1+'数据-取费表'!F30),C32+C33+C34),0)</f>
        <v>43983</v>
      </c>
      <c r="D31" s="1328" t="s">
        <v>2110</v>
      </c>
      <c r="E31" s="1331" t="s">
        <v>2111</v>
      </c>
      <c r="F31" s="2824"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2030</v>
      </c>
      <c r="B32" s="235" t="s">
        <v>2112</v>
      </c>
      <c r="C32" s="13">
        <f>IF(项目基本情况!B7="自然人","——",ROUND(C6*F32/(1+'数据-取费表'!F30),0))</f>
        <v>13823</v>
      </c>
      <c r="D32" s="1331" t="s">
        <v>2724</v>
      </c>
      <c r="E32" s="235" t="s">
        <v>2062</v>
      </c>
      <c r="F32" s="267">
        <f>'数据-取费表'!E29</f>
        <v>5.5000000000000007E-2</v>
      </c>
      <c r="G32" s="652"/>
      <c r="H32" s="937"/>
      <c r="I32" s="938"/>
      <c r="J32" s="939"/>
      <c r="K32" s="940"/>
      <c r="L32" s="941"/>
      <c r="M32" s="942"/>
    </row>
    <row r="33" spans="1:18" ht="18" customHeight="1">
      <c r="A33" s="253" t="s">
        <v>2034</v>
      </c>
      <c r="B33" s="235" t="s">
        <v>2058</v>
      </c>
      <c r="C33" s="13">
        <f>IF(项目基本情况!B7="自然人","——",IF(D33="按租金收入计税",ROUND(C6*F33/(1+'数据-取费表'!F30),0),IF(D33="按房产原值计税",ROUND(C29*F33*0.7,0),'数据-取费表'!B44)))</f>
        <v>30160</v>
      </c>
      <c r="D33" s="1436" t="s">
        <v>2884</v>
      </c>
      <c r="E33" s="235" t="s">
        <v>2037</v>
      </c>
      <c r="F33" s="258">
        <f>IF(D33="按票据","——",IF(D33="按租金收入计税",'数据-取费表'!E39,'数据-取费表'!E38))</f>
        <v>0.12</v>
      </c>
      <c r="G33" s="652"/>
      <c r="H33" s="943"/>
      <c r="I33" s="278" t="s">
        <v>2114</v>
      </c>
      <c r="J33" s="279"/>
      <c r="K33" s="944"/>
      <c r="L33" s="943"/>
      <c r="M33" s="943"/>
    </row>
    <row r="34" spans="1:18" ht="18" customHeight="1">
      <c r="A34" s="1057" t="s">
        <v>2040</v>
      </c>
      <c r="B34" s="36" t="s">
        <v>2063</v>
      </c>
      <c r="C34" s="14">
        <f>IF(项目基本情况!B7="自然人","——",ROUND(F34*F35,0))</f>
        <v>0</v>
      </c>
      <c r="D34" s="261" t="s">
        <v>2064</v>
      </c>
      <c r="E34" s="235" t="s">
        <v>2065</v>
      </c>
      <c r="F34" s="262">
        <f>'数据-取费表'!E40</f>
        <v>1.5</v>
      </c>
      <c r="G34" s="652"/>
      <c r="H34" s="931"/>
      <c r="I34" s="280" t="s">
        <v>2115</v>
      </c>
      <c r="J34" s="281">
        <f ca="1">ROUND(C13*J35,0)</f>
        <v>96767</v>
      </c>
      <c r="K34" s="945"/>
      <c r="L34" s="946"/>
      <c r="M34" s="946"/>
    </row>
    <row r="35" spans="1:18" ht="24.6" customHeight="1">
      <c r="A35" s="1061"/>
      <c r="B35" s="244"/>
      <c r="C35" s="17"/>
      <c r="D35" s="264"/>
      <c r="E35" s="235" t="s">
        <v>2070</v>
      </c>
      <c r="F35" s="236">
        <f>IF(D1="仅计算典型户型",'数据-取费表'!E6,'数据-取费表'!B6)</f>
        <v>0</v>
      </c>
      <c r="G35" s="652" t="s">
        <v>2811</v>
      </c>
      <c r="H35" s="931"/>
      <c r="I35" s="282" t="s">
        <v>2116</v>
      </c>
      <c r="J35" s="283">
        <f>'数据-取费表'!B18</f>
        <v>7.4999999999999997E-2</v>
      </c>
      <c r="K35" s="944"/>
      <c r="L35" s="943"/>
      <c r="M35" s="943"/>
    </row>
    <row r="36" spans="1:18" ht="18" customHeight="1">
      <c r="A36" s="1060" t="s">
        <v>2018</v>
      </c>
      <c r="B36" s="235" t="s">
        <v>2117</v>
      </c>
      <c r="C36" s="13">
        <f ca="1">ROUND(C29*F36,0)</f>
        <v>22245</v>
      </c>
      <c r="D36" s="1331" t="s">
        <v>2118</v>
      </c>
      <c r="E36" s="235" t="s">
        <v>2062</v>
      </c>
      <c r="F36" s="265">
        <f>'数据-取费表'!B45</f>
        <v>1.4999999999999999E-2</v>
      </c>
      <c r="G36" s="652"/>
      <c r="H36" s="943"/>
      <c r="I36" s="284" t="s">
        <v>2119</v>
      </c>
      <c r="J36" s="285"/>
      <c r="K36" s="947"/>
      <c r="L36" s="943"/>
      <c r="M36" s="943"/>
    </row>
    <row r="37" spans="1:18" ht="18" customHeight="1">
      <c r="A37" s="253" t="s">
        <v>2066</v>
      </c>
      <c r="B37" s="235" t="s">
        <v>2077</v>
      </c>
      <c r="C37" s="13">
        <f ca="1">ROUND(C13*F37,0)</f>
        <v>1935</v>
      </c>
      <c r="D37" s="1331" t="s">
        <v>2078</v>
      </c>
      <c r="E37" s="235" t="s">
        <v>2079</v>
      </c>
      <c r="F37" s="266">
        <f>'数据-取费表'!B46</f>
        <v>1.5E-3</v>
      </c>
      <c r="G37" s="652"/>
      <c r="H37" s="943"/>
      <c r="I37" s="132" t="s">
        <v>2120</v>
      </c>
      <c r="J37" s="286"/>
      <c r="K37" s="947"/>
      <c r="L37" s="943"/>
      <c r="M37" s="943"/>
    </row>
    <row r="38" spans="1:18" ht="18" customHeight="1" thickBot="1">
      <c r="A38" s="1102" t="s">
        <v>2071</v>
      </c>
      <c r="B38" s="1103" t="s">
        <v>2060</v>
      </c>
      <c r="C38" s="1104">
        <f ca="1">ROUND(C5*F38,0)</f>
        <v>5285</v>
      </c>
      <c r="D38" s="1105" t="s">
        <v>2083</v>
      </c>
      <c r="E38" s="1103" t="s">
        <v>2079</v>
      </c>
      <c r="F38" s="1098">
        <f>'数据-取费表'!B47</f>
        <v>0.02</v>
      </c>
      <c r="G38" s="652"/>
      <c r="H38" s="943"/>
      <c r="I38" s="280" t="s">
        <v>2121</v>
      </c>
      <c r="J38" s="136">
        <f ca="1">ROUND(J34/C39,3)</f>
        <v>0.50700000000000001</v>
      </c>
      <c r="K38" s="948"/>
      <c r="L38" s="943"/>
      <c r="M38" s="943"/>
    </row>
    <row r="39" spans="1:18" ht="18" customHeight="1" thickTop="1">
      <c r="A39" s="1092" t="s">
        <v>22</v>
      </c>
      <c r="B39" s="1107" t="s">
        <v>2122</v>
      </c>
      <c r="C39" s="243">
        <f ca="1">C5-C30</f>
        <v>190784</v>
      </c>
      <c r="D39" s="1108" t="s">
        <v>2123</v>
      </c>
      <c r="E39" s="1109"/>
      <c r="F39" s="1110"/>
      <c r="G39" s="652"/>
      <c r="H39" s="943"/>
      <c r="I39" s="280" t="s">
        <v>2124</v>
      </c>
      <c r="J39" s="136">
        <f ca="1">1-J38</f>
        <v>0.49299999999999999</v>
      </c>
      <c r="K39" s="948"/>
      <c r="L39" s="943"/>
      <c r="M39" s="943"/>
    </row>
    <row r="40" spans="1:18" s="652" customFormat="1" ht="18" customHeight="1">
      <c r="A40" s="232" t="s">
        <v>23</v>
      </c>
      <c r="B40" s="233" t="s">
        <v>2125</v>
      </c>
      <c r="C40" s="234">
        <f ca="1">ROUND(C39*(1-((1+F42)/(1+F40))^F41)/(F40-F42),0)</f>
        <v>4147651</v>
      </c>
      <c r="D40" s="261" t="s">
        <v>2093</v>
      </c>
      <c r="E40" s="235" t="s">
        <v>2094</v>
      </c>
      <c r="F40" s="245">
        <f>'数据-取费表'!B16</f>
        <v>5.5E-2</v>
      </c>
      <c r="H40" s="949"/>
      <c r="I40" s="132" t="s">
        <v>2126</v>
      </c>
      <c r="J40" s="133"/>
      <c r="K40" s="948"/>
      <c r="L40" s="949"/>
      <c r="M40" s="949"/>
      <c r="Q40" s="656"/>
    </row>
    <row r="41" spans="1:18" s="652" customFormat="1" ht="18" customHeight="1">
      <c r="A41" s="237"/>
      <c r="B41" s="238"/>
      <c r="C41" s="239"/>
      <c r="D41" s="269" t="s">
        <v>2127</v>
      </c>
      <c r="E41" s="1303" t="s">
        <v>2707</v>
      </c>
      <c r="F41" s="270">
        <f>IF('数据-取费表'!B29="租赁期内按合同租金",'数据-取费表'!B35,IF(E41="收益年期(n)",'数据-取费表'!B34,'数据-取费表'!B13))</f>
        <v>36.61</v>
      </c>
      <c r="H41" s="950"/>
      <c r="I41" s="135" t="s">
        <v>1999</v>
      </c>
      <c r="J41" s="136">
        <f ca="1">ROUND(C13/C40,3)</f>
        <v>0.311</v>
      </c>
      <c r="K41" s="947"/>
      <c r="L41" s="950"/>
      <c r="M41" s="950"/>
      <c r="Q41" s="656"/>
    </row>
    <row r="42" spans="1:18" s="652" customFormat="1" ht="18" customHeight="1">
      <c r="A42" s="241"/>
      <c r="B42" s="242"/>
      <c r="C42" s="243"/>
      <c r="D42" s="264"/>
      <c r="E42" s="235" t="s">
        <v>2103</v>
      </c>
      <c r="F42" s="245">
        <f>'数据-取费表'!B32</f>
        <v>2.5000000000000001E-2</v>
      </c>
      <c r="H42" s="950"/>
      <c r="I42" s="135" t="s">
        <v>2000</v>
      </c>
      <c r="J42" s="137">
        <f ca="1">1-J41</f>
        <v>0.68900000000000006</v>
      </c>
      <c r="K42" s="947"/>
      <c r="L42" s="950"/>
      <c r="M42" s="950"/>
      <c r="Q42" s="656"/>
    </row>
    <row r="43" spans="1:18" s="652" customFormat="1" ht="18" customHeight="1" thickBot="1">
      <c r="A43" s="271" t="s">
        <v>24</v>
      </c>
      <c r="B43" s="272" t="s">
        <v>2128</v>
      </c>
      <c r="C43" s="273">
        <f ca="1">ROUND(C40/F43,0)</f>
        <v>18070</v>
      </c>
      <c r="D43" s="274" t="s">
        <v>2129</v>
      </c>
      <c r="E43" s="275" t="s">
        <v>2130</v>
      </c>
      <c r="F43" s="276">
        <f>IF(D1="仅计算典型户型",'数据-取费表'!E5,'数据-取费表'!B5)</f>
        <v>229.53</v>
      </c>
      <c r="G43" s="654"/>
      <c r="H43" s="950"/>
      <c r="I43" s="950"/>
      <c r="J43" s="950"/>
      <c r="K43" s="947"/>
      <c r="L43" s="950"/>
      <c r="M43" s="950"/>
      <c r="O43" s="1041" t="s">
        <v>2131</v>
      </c>
      <c r="P43" s="1042"/>
      <c r="Q43" s="1038"/>
      <c r="R43" s="1042"/>
    </row>
    <row r="44" spans="1:18" s="652" customFormat="1" ht="18" customHeight="1" thickBot="1">
      <c r="A44" s="649"/>
      <c r="B44" s="649"/>
      <c r="C44" s="651"/>
      <c r="D44" s="649"/>
      <c r="E44" s="649"/>
      <c r="F44" s="649"/>
      <c r="G44" s="654"/>
      <c r="K44" s="653"/>
      <c r="O44" s="1043" t="s">
        <v>2132</v>
      </c>
      <c r="P44" s="1044" t="s">
        <v>2133</v>
      </c>
      <c r="Q44" s="1045" t="s">
        <v>2134</v>
      </c>
      <c r="R44" s="1046" t="s">
        <v>2135</v>
      </c>
    </row>
    <row r="45" spans="1:18" s="652" customFormat="1" ht="18" customHeight="1" thickBot="1">
      <c r="A45" s="649"/>
      <c r="B45" s="649"/>
      <c r="C45" s="651"/>
      <c r="D45" s="649"/>
      <c r="E45" s="649"/>
      <c r="F45" s="649"/>
      <c r="G45" s="655"/>
      <c r="K45" s="653"/>
      <c r="O45" s="1047" t="s">
        <v>949</v>
      </c>
      <c r="P45" s="1048" t="s">
        <v>2136</v>
      </c>
      <c r="Q45" s="1049">
        <f ca="1">C40+J29</f>
        <v>4147651</v>
      </c>
      <c r="R45" s="1050" t="s">
        <v>2137</v>
      </c>
    </row>
    <row r="46" spans="1:18" s="652" customFormat="1" ht="18" customHeight="1" thickBot="1">
      <c r="A46" s="649"/>
      <c r="D46" s="649"/>
      <c r="E46" s="649"/>
      <c r="F46" s="649"/>
      <c r="K46" s="653"/>
      <c r="O46" s="1047" t="s">
        <v>950</v>
      </c>
      <c r="P46" s="1048" t="s">
        <v>2138</v>
      </c>
      <c r="Q46" s="1049" t="str">
        <f>J61</f>
        <v>0</v>
      </c>
      <c r="R46" s="1050" t="s">
        <v>2139</v>
      </c>
    </row>
    <row r="47" spans="1:18" s="652" customFormat="1" ht="21.75" thickBot="1">
      <c r="A47" s="1527" t="s">
        <v>2140</v>
      </c>
      <c r="C47" s="992">
        <f ca="1">IF(C2="元",C69-C40,ROUND((C69-C40)/10000,0))</f>
        <v>-647</v>
      </c>
      <c r="D47" s="1528" t="str">
        <f>C2</f>
        <v>万元</v>
      </c>
      <c r="E47" s="649"/>
      <c r="F47" s="649"/>
      <c r="I47" s="1529" t="s">
        <v>2141</v>
      </c>
      <c r="J47" s="1023"/>
      <c r="K47" s="1024"/>
      <c r="L47" s="1037" t="str">
        <f>IF(M48="住宅",0,IF(L49&gt;J52,L61,J61))</f>
        <v>0</v>
      </c>
      <c r="O47" s="1051" t="s">
        <v>951</v>
      </c>
      <c r="P47" s="1048" t="s">
        <v>2142</v>
      </c>
      <c r="Q47" s="1049">
        <f ca="1">C29</f>
        <v>1483025</v>
      </c>
      <c r="R47" s="1050" t="s">
        <v>2137</v>
      </c>
    </row>
    <row r="48" spans="1:18" s="652" customFormat="1" ht="15.75" thickBot="1">
      <c r="A48" s="228" t="s">
        <v>2143</v>
      </c>
      <c r="B48" s="229" t="s">
        <v>2144</v>
      </c>
      <c r="C48" s="229" t="s">
        <v>2145</v>
      </c>
      <c r="D48" s="229" t="s">
        <v>2146</v>
      </c>
      <c r="E48" s="986" t="s">
        <v>2147</v>
      </c>
      <c r="F48" s="987"/>
      <c r="I48" s="1530" t="s">
        <v>2148</v>
      </c>
      <c r="J48" s="1531" t="s">
        <v>2909</v>
      </c>
      <c r="K48" s="1532" t="s">
        <v>2149</v>
      </c>
      <c r="L48" s="1025">
        <f>'数据-取费表'!B11</f>
        <v>50</v>
      </c>
      <c r="M48" s="1038" t="str">
        <f>IF('数据-取费表'!B10="住宅","住宅","非住宅")</f>
        <v>非住宅</v>
      </c>
      <c r="O48" s="1051" t="s">
        <v>952</v>
      </c>
      <c r="P48" s="1048" t="s">
        <v>2150</v>
      </c>
      <c r="Q48" s="1052" t="e">
        <f>J59</f>
        <v>#VALUE!</v>
      </c>
      <c r="R48" s="1050"/>
    </row>
    <row r="49" spans="1:18" s="652" customFormat="1" ht="15.75" thickBot="1">
      <c r="A49" s="1127" t="s">
        <v>1019</v>
      </c>
      <c r="B49" s="233" t="s">
        <v>2151</v>
      </c>
      <c r="C49" s="1128">
        <f ca="1">C50+C54+C56</f>
        <v>0</v>
      </c>
      <c r="D49" s="1129"/>
      <c r="E49" s="44"/>
      <c r="F49" s="15"/>
      <c r="I49" s="1533" t="s">
        <v>2152</v>
      </c>
      <c r="J49" s="1534" t="s">
        <v>2910</v>
      </c>
      <c r="K49" s="1535" t="s">
        <v>2153</v>
      </c>
      <c r="L49" s="863">
        <f>'数据-取费表'!B13</f>
        <v>36.61</v>
      </c>
      <c r="O49" s="1051" t="s">
        <v>953</v>
      </c>
      <c r="P49" s="1048" t="s">
        <v>2154</v>
      </c>
      <c r="Q49" s="1052">
        <f>J53</f>
        <v>7.4999999999999997E-2</v>
      </c>
      <c r="R49" s="1050"/>
    </row>
    <row r="50" spans="1:18" s="652" customFormat="1" ht="15.75" thickBot="1">
      <c r="A50" s="260" t="s">
        <v>2011</v>
      </c>
      <c r="B50" s="1442" t="s">
        <v>2155</v>
      </c>
      <c r="C50" s="234">
        <f>ROUND(F50*F52*F51*(1-F53),0)</f>
        <v>0</v>
      </c>
      <c r="D50" s="42" t="s">
        <v>2699</v>
      </c>
      <c r="E50" s="1536" t="s">
        <v>2156</v>
      </c>
      <c r="F50" s="988"/>
      <c r="I50" s="1533" t="s">
        <v>2157</v>
      </c>
      <c r="J50" s="863">
        <f>'数据-取费表'!B27</f>
        <v>2013</v>
      </c>
      <c r="K50" s="1537" t="s">
        <v>2158</v>
      </c>
      <c r="L50" s="1026"/>
      <c r="O50" s="1051" t="s">
        <v>954</v>
      </c>
      <c r="P50" s="1048" t="s">
        <v>2159</v>
      </c>
      <c r="Q50" s="1049">
        <f>J54</f>
        <v>36.61</v>
      </c>
      <c r="R50" s="1050" t="s">
        <v>2160</v>
      </c>
    </row>
    <row r="51" spans="1:18" s="652" customFormat="1" ht="15.75" thickBot="1">
      <c r="A51" s="237"/>
      <c r="B51" s="238"/>
      <c r="C51" s="239"/>
      <c r="D51" s="240"/>
      <c r="E51" s="255" t="s">
        <v>2014</v>
      </c>
      <c r="F51" s="985">
        <f>F7</f>
        <v>229.53</v>
      </c>
      <c r="I51" s="1533" t="s">
        <v>2161</v>
      </c>
      <c r="J51" s="1027">
        <f>SUMPRODUCT((I64:I66=J48)*(J63:L63=J49)*(J64:L66))</f>
        <v>60</v>
      </c>
      <c r="K51" s="1537" t="s">
        <v>2162</v>
      </c>
      <c r="L51" s="1026"/>
      <c r="O51" s="1047" t="s">
        <v>955</v>
      </c>
      <c r="P51" s="1048" t="str">
        <f>IF(C2="元","收益价值(元)","收益价值(万元)")</f>
        <v>收益价值(万元)</v>
      </c>
      <c r="Q51" s="1049">
        <f ca="1">ROUND(IF(C2="元",Q45+Q46,(Q45+Q46)/10000),0)</f>
        <v>415</v>
      </c>
      <c r="R51" s="1050" t="s">
        <v>956</v>
      </c>
    </row>
    <row r="52" spans="1:18" s="652" customFormat="1" ht="16.5" thickBot="1">
      <c r="A52" s="237"/>
      <c r="B52" s="238"/>
      <c r="C52" s="239"/>
      <c r="D52" s="240"/>
      <c r="E52" s="235" t="s">
        <v>2016</v>
      </c>
      <c r="F52" s="236">
        <f>F8</f>
        <v>365</v>
      </c>
      <c r="I52" s="1538" t="s">
        <v>2163</v>
      </c>
      <c r="J52" s="1028">
        <f>IF(J50="",J51,J50+J51-YEAR('数据-取费表'!B2))</f>
        <v>52</v>
      </c>
      <c r="K52" s="1539" t="s">
        <v>2164</v>
      </c>
      <c r="L52" s="1029">
        <f ca="1">ROUND(-PV('数据-取费表'!B15,J52,(C40-C13*J35)),0)</f>
        <v>74609470</v>
      </c>
      <c r="O52" s="1041" t="s">
        <v>2165</v>
      </c>
      <c r="P52" s="1042"/>
      <c r="Q52" s="1038"/>
      <c r="R52" s="1042"/>
    </row>
    <row r="53" spans="1:18" s="652" customFormat="1" ht="15.75" thickBot="1">
      <c r="A53" s="241"/>
      <c r="B53" s="242"/>
      <c r="C53" s="243"/>
      <c r="D53" s="244"/>
      <c r="E53" s="235" t="s">
        <v>2017</v>
      </c>
      <c r="F53" s="1036"/>
      <c r="I53" s="1540" t="s">
        <v>2166</v>
      </c>
      <c r="J53" s="1030">
        <f>'数据-取费表'!B18</f>
        <v>7.4999999999999997E-2</v>
      </c>
      <c r="K53" s="1540" t="s">
        <v>2167</v>
      </c>
      <c r="L53" s="1030"/>
      <c r="O53" s="1043" t="s">
        <v>2132</v>
      </c>
      <c r="P53" s="1044" t="s">
        <v>2133</v>
      </c>
      <c r="Q53" s="1045" t="s">
        <v>2134</v>
      </c>
      <c r="R53" s="1046" t="s">
        <v>2135</v>
      </c>
    </row>
    <row r="54" spans="1:18" s="652" customFormat="1" ht="29.25" customHeight="1" thickBot="1">
      <c r="A54" s="1057" t="s">
        <v>2018</v>
      </c>
      <c r="B54" s="1521" t="s">
        <v>2019</v>
      </c>
      <c r="C54" s="1058">
        <f ca="1">ROUND(IF(F54="押一",C50/12*F11,IF(F54="押二",C50/12*2*F11,IF(F54="押三",C50/12*3*F11,C55*F11))),0)</f>
        <v>0</v>
      </c>
      <c r="D54" s="1522" t="s">
        <v>2705</v>
      </c>
      <c r="E54" s="246" t="s">
        <v>2020</v>
      </c>
      <c r="F54" s="1523"/>
      <c r="I54" s="1629" t="s">
        <v>2708</v>
      </c>
      <c r="J54" s="1031">
        <f>IF(M48="住宅",IF(E1="——",MAX(J52,L49),MAX(J52,L49-'数据-取费表'!B26)),IF(E1="——",MIN(J52,L49),MIN(J52,L49-'数据-取费表'!B26)))</f>
        <v>36.61</v>
      </c>
      <c r="K54" s="3454" t="s">
        <v>2697</v>
      </c>
      <c r="L54" s="3455"/>
      <c r="O54" s="1047" t="s">
        <v>949</v>
      </c>
      <c r="P54" s="1048" t="s">
        <v>2136</v>
      </c>
      <c r="Q54" s="1049">
        <f ca="1">C40+J29</f>
        <v>4147651</v>
      </c>
      <c r="R54" s="1050" t="s">
        <v>2137</v>
      </c>
    </row>
    <row r="55" spans="1:18" s="652" customFormat="1" ht="20.25" thickBot="1">
      <c r="A55" s="1057"/>
      <c r="B55" s="1541" t="s">
        <v>2024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2168</v>
      </c>
      <c r="Q55" s="1049">
        <f>L61</f>
        <v>0</v>
      </c>
      <c r="R55" s="1050" t="s">
        <v>2169</v>
      </c>
    </row>
    <row r="56" spans="1:18" s="652" customFormat="1" ht="20.25" thickBot="1">
      <c r="A56" s="1096" t="s">
        <v>2025</v>
      </c>
      <c r="B56" s="1525" t="s">
        <v>2026</v>
      </c>
      <c r="C56" s="1097"/>
      <c r="D56" s="1113"/>
      <c r="E56" s="1544"/>
      <c r="F56" s="1152"/>
      <c r="I56" s="1545" t="s">
        <v>2170</v>
      </c>
      <c r="J56" s="1320" t="e">
        <f>ROUND(IF(J48="钢混",J58/J51,1-(1-2%)*(J51-J58)/J51),3)</f>
        <v>#VALUE!</v>
      </c>
      <c r="K56" s="1546" t="s">
        <v>2171</v>
      </c>
      <c r="L56" s="1032"/>
      <c r="O56" s="1051" t="s">
        <v>951</v>
      </c>
      <c r="P56" s="1048" t="s">
        <v>2172</v>
      </c>
      <c r="Q56" s="1049">
        <f>IF(L56="比较法",L50,IF(L56="基准地价",L51,0))</f>
        <v>0</v>
      </c>
      <c r="R56" s="1050" t="s">
        <v>2137</v>
      </c>
    </row>
    <row r="57" spans="1:18" s="652" customFormat="1" ht="44.25" thickTop="1" thickBot="1">
      <c r="A57" s="1092">
        <v>2</v>
      </c>
      <c r="B57" s="1093" t="s">
        <v>2027</v>
      </c>
      <c r="C57" s="1151">
        <f ca="1">C13</f>
        <v>1290232</v>
      </c>
      <c r="D57" s="983"/>
      <c r="E57" s="984"/>
      <c r="F57" s="991"/>
      <c r="I57" s="1547" t="s">
        <v>2173</v>
      </c>
      <c r="J57" s="1035" t="s">
        <v>2901</v>
      </c>
      <c r="K57" s="1533" t="s">
        <v>2174</v>
      </c>
      <c r="L57" s="863" t="str">
        <f>IF(L49&lt;J52,"——",L49-J52)</f>
        <v>——</v>
      </c>
      <c r="O57" s="1051" t="s">
        <v>952</v>
      </c>
      <c r="P57" s="1048" t="s">
        <v>2175</v>
      </c>
      <c r="Q57" s="1052">
        <f>L53</f>
        <v>0</v>
      </c>
      <c r="R57" s="1050"/>
    </row>
    <row r="58" spans="1:18" s="652" customFormat="1" ht="29.25" thickBot="1">
      <c r="A58" s="990"/>
      <c r="B58" s="235" t="s">
        <v>2105</v>
      </c>
      <c r="C58" s="104">
        <f ca="1">C29</f>
        <v>1483025</v>
      </c>
      <c r="D58" s="983"/>
      <c r="E58" s="984"/>
      <c r="F58" s="991"/>
      <c r="I58" s="1548" t="s">
        <v>2176</v>
      </c>
      <c r="J58" s="1034" t="str">
        <f>IF(OR(M48="住宅",J52&lt;L49,J57="是"),"——",J52-L49)</f>
        <v>——</v>
      </c>
      <c r="K58" s="1533" t="s">
        <v>2177</v>
      </c>
      <c r="L58" s="863" t="str">
        <f>IF(L49&lt;J52,"——",IF(L56="比较法",L50,IF(L56="基准地价",L51,L52)))</f>
        <v>——</v>
      </c>
      <c r="O58" s="1051" t="s">
        <v>953</v>
      </c>
      <c r="P58" s="1048" t="s">
        <v>2178</v>
      </c>
      <c r="Q58" s="1049" t="e">
        <f>L59</f>
        <v>#DIV/0!</v>
      </c>
      <c r="R58" s="1050" t="s">
        <v>2179</v>
      </c>
    </row>
    <row r="59" spans="1:18" s="652" customFormat="1" ht="29.25" thickBot="1">
      <c r="A59" s="248" t="s">
        <v>14</v>
      </c>
      <c r="B59" s="249" t="s">
        <v>2108</v>
      </c>
      <c r="C59" s="250">
        <f ca="1">ROUND(C60+C65+C66+C67,0)</f>
        <v>148754</v>
      </c>
      <c r="D59" s="12" t="s">
        <v>2109</v>
      </c>
      <c r="E59" s="1333"/>
      <c r="F59" s="15"/>
      <c r="I59" s="1548" t="s">
        <v>2180</v>
      </c>
      <c r="J59" s="1319" t="e">
        <f>IF(J56&lt;0.4,0.4,J56)</f>
        <v>#VALUE!</v>
      </c>
      <c r="K59" s="1539" t="s">
        <v>2181</v>
      </c>
      <c r="L59" s="863" t="e">
        <f>ROUND(POWER(1+L53,L48-L49)*(POWER(1+L53,L49)-1)/(POWER(1+L53,L48)-1),4)</f>
        <v>#DIV/0!</v>
      </c>
      <c r="O59" s="1051" t="s">
        <v>954</v>
      </c>
      <c r="P59" s="1048" t="str">
        <f>K60</f>
        <v>建筑物剩余耐用年限下的土地年期修正系数Kn</v>
      </c>
      <c r="Q59" s="1049" t="e">
        <f>L60</f>
        <v>#DIV/0!</v>
      </c>
      <c r="R59" s="1050" t="s">
        <v>2182</v>
      </c>
    </row>
    <row r="60" spans="1:18" s="652" customFormat="1" ht="29.25" thickBot="1">
      <c r="A60" s="253" t="s">
        <v>15</v>
      </c>
      <c r="B60" s="235" t="s">
        <v>2049</v>
      </c>
      <c r="C60" s="2825">
        <f ca="1">ROUND(IF(AND(项目基本情况!B7="自然人",项目基本情况!B6="北京市"),C50*F60/(1+'数据-取费表'!F30),C61+C62+C63),0)</f>
        <v>124574</v>
      </c>
      <c r="D60" s="1328" t="s">
        <v>2110</v>
      </c>
      <c r="E60" s="1331" t="s">
        <v>2111</v>
      </c>
      <c r="F60" s="2824" t="str">
        <f>IF(项目基本情况!B7="企业","——",IF('数据-取费表'!B10="住宅",IF(F50*F51*F52/12/(1+'数据-取费表'!F30)&gt;100000,4%,2.5%),IF(F50*F51*F52/12/(1+'数据-取费表'!F30)&gt;100000,12%,7%)))</f>
        <v>——</v>
      </c>
      <c r="I60" s="1548" t="s">
        <v>2183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415</v>
      </c>
      <c r="R60" s="1050" t="s">
        <v>956</v>
      </c>
    </row>
    <row r="61" spans="1:18" s="652" customFormat="1" ht="16.5" thickBot="1">
      <c r="A61" s="253" t="s">
        <v>16</v>
      </c>
      <c r="B61" s="235" t="s">
        <v>2112</v>
      </c>
      <c r="C61" s="13">
        <f ca="1">IF(项目基本情况!B7="自然人","——",ROUND(C49*F61/(1+'数据-取费表'!F30),0))</f>
        <v>0</v>
      </c>
      <c r="D61" s="1331" t="s">
        <v>2113</v>
      </c>
      <c r="E61" s="235" t="s">
        <v>2062</v>
      </c>
      <c r="F61" s="267">
        <f t="shared" ref="F61:F67" si="0">F32</f>
        <v>5.5000000000000007E-2</v>
      </c>
      <c r="I61" s="1549" t="s">
        <v>2184</v>
      </c>
      <c r="J61" s="1033" t="str">
        <f>IF(OR(M48="住宅",J52&lt;L49,J57="是"),"0",ROUND(J60/(1+J53)^J54,0))</f>
        <v>0</v>
      </c>
      <c r="K61" s="1550" t="s">
        <v>2185</v>
      </c>
      <c r="L61" s="1033">
        <f>IF(OR(M48="住宅",L49&lt;J52),0,ROUND(L58*(L59/L60-1),0))</f>
        <v>0</v>
      </c>
      <c r="O61" s="1041" t="s">
        <v>2186</v>
      </c>
      <c r="P61" s="1042"/>
      <c r="Q61" s="1038"/>
      <c r="R61" s="1042"/>
    </row>
    <row r="62" spans="1:18" s="652" customFormat="1" ht="15.75" thickBot="1">
      <c r="A62" s="253" t="s">
        <v>17</v>
      </c>
      <c r="B62" s="235" t="s">
        <v>2187</v>
      </c>
      <c r="C62" s="13">
        <f ca="1">IF(项目基本情况!B7="自然人","——",IF(D62="按租金收入计税",ROUND(C50*F62/(1+'数据-取费表'!F30),0),IF(D62="按房产原值计税",ROUND(C58*F62*0.7,0),'数据-取费表'!B44)))</f>
        <v>124574</v>
      </c>
      <c r="D62" s="1436" t="s">
        <v>2059</v>
      </c>
      <c r="E62" s="235" t="s">
        <v>2062</v>
      </c>
      <c r="F62" s="258">
        <f t="shared" si="0"/>
        <v>0.12</v>
      </c>
      <c r="O62" s="1043" t="s">
        <v>2132</v>
      </c>
      <c r="P62" s="1044" t="s">
        <v>2133</v>
      </c>
      <c r="Q62" s="1045" t="s">
        <v>2134</v>
      </c>
      <c r="R62" s="1046" t="s">
        <v>2135</v>
      </c>
    </row>
    <row r="63" spans="1:18" s="652" customFormat="1" ht="15.75" thickBot="1">
      <c r="A63" s="260" t="s">
        <v>18</v>
      </c>
      <c r="B63" s="36" t="s">
        <v>2188</v>
      </c>
      <c r="C63" s="14">
        <f>IF(项目基本情况!B7="自然人","——",ROUND(F63*F64,0))</f>
        <v>0</v>
      </c>
      <c r="D63" s="261" t="s">
        <v>2189</v>
      </c>
      <c r="E63" s="235" t="s">
        <v>2190</v>
      </c>
      <c r="F63" s="262">
        <f t="shared" si="0"/>
        <v>1.5</v>
      </c>
      <c r="I63" s="1551" t="s">
        <v>2191</v>
      </c>
      <c r="J63" s="1323" t="s">
        <v>2192</v>
      </c>
      <c r="K63" s="1323" t="s">
        <v>2193</v>
      </c>
      <c r="L63" s="1323" t="s">
        <v>2194</v>
      </c>
      <c r="M63" s="1322" t="s">
        <v>2195</v>
      </c>
      <c r="O63" s="1047" t="s">
        <v>949</v>
      </c>
      <c r="P63" s="1048" t="s">
        <v>2136</v>
      </c>
      <c r="Q63" s="1049">
        <f ca="1">C40+J29</f>
        <v>4147651</v>
      </c>
      <c r="R63" s="1050" t="s">
        <v>2137</v>
      </c>
    </row>
    <row r="64" spans="1:18" s="652" customFormat="1" ht="20.25" thickBot="1">
      <c r="A64" s="263"/>
      <c r="B64" s="244"/>
      <c r="C64" s="17"/>
      <c r="D64" s="264"/>
      <c r="E64" s="235" t="s">
        <v>2196</v>
      </c>
      <c r="F64" s="236">
        <f t="shared" si="0"/>
        <v>0</v>
      </c>
      <c r="I64" s="1551" t="s">
        <v>2197</v>
      </c>
      <c r="J64" s="1323">
        <v>70</v>
      </c>
      <c r="K64" s="1323">
        <v>50</v>
      </c>
      <c r="L64" s="1323">
        <v>80</v>
      </c>
      <c r="M64" s="1321">
        <v>0.02</v>
      </c>
      <c r="O64" s="1047" t="s">
        <v>950</v>
      </c>
      <c r="P64" s="1048" t="s">
        <v>2168</v>
      </c>
      <c r="Q64" s="1049">
        <f>L61</f>
        <v>0</v>
      </c>
      <c r="R64" s="1050" t="s">
        <v>2169</v>
      </c>
    </row>
    <row r="65" spans="1:18" s="652" customFormat="1" ht="23.25" thickBot="1">
      <c r="A65" s="253" t="s">
        <v>19</v>
      </c>
      <c r="B65" s="235" t="s">
        <v>2117</v>
      </c>
      <c r="C65" s="13">
        <f ca="1">ROUND(C58*F65,0)</f>
        <v>22245</v>
      </c>
      <c r="D65" s="1331" t="s">
        <v>2118</v>
      </c>
      <c r="E65" s="235" t="s">
        <v>2062</v>
      </c>
      <c r="F65" s="265">
        <f t="shared" si="0"/>
        <v>1.4999999999999999E-2</v>
      </c>
      <c r="I65" s="1551" t="s">
        <v>2198</v>
      </c>
      <c r="J65" s="1323">
        <v>50</v>
      </c>
      <c r="K65" s="1323">
        <v>35</v>
      </c>
      <c r="L65" s="1323">
        <v>60</v>
      </c>
      <c r="M65" s="1322">
        <v>0</v>
      </c>
      <c r="O65" s="1051" t="s">
        <v>951</v>
      </c>
      <c r="P65" s="1048" t="s">
        <v>2172</v>
      </c>
      <c r="Q65" s="1053">
        <f ca="1">L52</f>
        <v>74609470</v>
      </c>
      <c r="R65" s="1054" t="s">
        <v>2199</v>
      </c>
    </row>
    <row r="66" spans="1:18" s="652" customFormat="1" ht="20.25" thickBot="1">
      <c r="A66" s="253" t="s">
        <v>20</v>
      </c>
      <c r="B66" s="235" t="s">
        <v>2077</v>
      </c>
      <c r="C66" s="13">
        <f ca="1">ROUND(C57*F66,0)</f>
        <v>1935</v>
      </c>
      <c r="D66" s="1331" t="s">
        <v>2078</v>
      </c>
      <c r="E66" s="235" t="s">
        <v>2079</v>
      </c>
      <c r="F66" s="266">
        <f t="shared" si="0"/>
        <v>1.5E-3</v>
      </c>
      <c r="I66" s="1551" t="s">
        <v>2200</v>
      </c>
      <c r="J66" s="1323">
        <v>40</v>
      </c>
      <c r="K66" s="1323">
        <v>30</v>
      </c>
      <c r="L66" s="1323">
        <v>50</v>
      </c>
      <c r="M66" s="1321">
        <v>0.02</v>
      </c>
      <c r="O66" s="1051" t="s">
        <v>952</v>
      </c>
      <c r="P66" s="1055" t="s">
        <v>2201</v>
      </c>
      <c r="Q66" s="1049">
        <f ca="1">ROUND(Q67-Q68*Q69,0)</f>
        <v>94017</v>
      </c>
      <c r="R66" s="1050"/>
    </row>
    <row r="67" spans="1:18" s="652" customFormat="1" ht="15.75" thickBot="1">
      <c r="A67" s="253" t="s">
        <v>21</v>
      </c>
      <c r="B67" s="235" t="s">
        <v>2060</v>
      </c>
      <c r="C67" s="13">
        <f ca="1">ROUND(C49*F67,0)</f>
        <v>0</v>
      </c>
      <c r="D67" s="1331" t="s">
        <v>2083</v>
      </c>
      <c r="E67" s="235" t="s">
        <v>2079</v>
      </c>
      <c r="F67" s="245">
        <f t="shared" si="0"/>
        <v>0.02</v>
      </c>
      <c r="O67" s="1051" t="s">
        <v>957</v>
      </c>
      <c r="P67" s="1055" t="s">
        <v>2202</v>
      </c>
      <c r="Q67" s="1049">
        <f ca="1">C39</f>
        <v>190784</v>
      </c>
      <c r="R67" s="1050" t="s">
        <v>2137</v>
      </c>
    </row>
    <row r="68" spans="1:18" ht="15.75" thickBot="1">
      <c r="A68" s="248" t="s">
        <v>22</v>
      </c>
      <c r="B68" s="41" t="s">
        <v>2087</v>
      </c>
      <c r="C68" s="250">
        <f ca="1">C49-C59</f>
        <v>-148754</v>
      </c>
      <c r="D68" s="1328" t="s">
        <v>2088</v>
      </c>
      <c r="E68" s="1330"/>
      <c r="F68" s="268"/>
      <c r="H68" s="652"/>
      <c r="I68" s="652"/>
      <c r="J68" s="652"/>
      <c r="K68" s="652"/>
      <c r="L68" s="652"/>
      <c r="M68" s="652"/>
      <c r="O68" s="1051" t="s">
        <v>958</v>
      </c>
      <c r="P68" s="1055" t="s">
        <v>2203</v>
      </c>
      <c r="Q68" s="1049">
        <f ca="1">C13</f>
        <v>1290232</v>
      </c>
      <c r="R68" s="1050" t="s">
        <v>2137</v>
      </c>
    </row>
    <row r="69" spans="1:18" ht="15.75" thickBot="1">
      <c r="A69" s="232" t="s">
        <v>23</v>
      </c>
      <c r="B69" s="233" t="s">
        <v>2125</v>
      </c>
      <c r="C69" s="234">
        <f ca="1">ROUND(C68*(1-((1+F71)/(1+F69))^F70)/(F69-F71),0)</f>
        <v>-2323698</v>
      </c>
      <c r="D69" s="261" t="s">
        <v>2093</v>
      </c>
      <c r="E69" s="235" t="s">
        <v>2094</v>
      </c>
      <c r="F69" s="245">
        <f>F40</f>
        <v>5.5E-2</v>
      </c>
      <c r="H69" s="652"/>
      <c r="I69" s="652"/>
      <c r="J69" s="652"/>
      <c r="K69" s="652"/>
      <c r="L69" s="652"/>
      <c r="M69" s="652"/>
      <c r="O69" s="1051" t="s">
        <v>959</v>
      </c>
      <c r="P69" s="1055" t="s">
        <v>2204</v>
      </c>
      <c r="Q69" s="1052">
        <f>J35</f>
        <v>7.4999999999999997E-2</v>
      </c>
      <c r="R69" s="1050"/>
    </row>
    <row r="70" spans="1:18" ht="15.75" thickBot="1">
      <c r="A70" s="237"/>
      <c r="B70" s="238"/>
      <c r="C70" s="239"/>
      <c r="D70" s="269" t="s">
        <v>2127</v>
      </c>
      <c r="E70" s="235" t="s">
        <v>2099</v>
      </c>
      <c r="F70" s="270">
        <f>F41</f>
        <v>36.61</v>
      </c>
      <c r="H70" s="652"/>
      <c r="I70" s="652"/>
      <c r="J70" s="652"/>
      <c r="K70" s="652"/>
      <c r="L70" s="652"/>
      <c r="M70" s="652"/>
      <c r="O70" s="1051" t="s">
        <v>953</v>
      </c>
      <c r="P70" s="1048" t="s">
        <v>2175</v>
      </c>
      <c r="Q70" s="1052">
        <f>L53</f>
        <v>0</v>
      </c>
      <c r="R70" s="1050"/>
    </row>
    <row r="71" spans="1:18" ht="20.25" thickBot="1">
      <c r="A71" s="241"/>
      <c r="B71" s="242"/>
      <c r="C71" s="243"/>
      <c r="D71" s="264"/>
      <c r="E71" s="235" t="s">
        <v>2103</v>
      </c>
      <c r="F71" s="1036"/>
      <c r="H71" s="652"/>
      <c r="M71" s="652"/>
      <c r="O71" s="1051" t="s">
        <v>954</v>
      </c>
      <c r="P71" s="1048" t="s">
        <v>2178</v>
      </c>
      <c r="Q71" s="1049" t="e">
        <f>L59</f>
        <v>#DIV/0!</v>
      </c>
      <c r="R71" s="1050" t="s">
        <v>2179</v>
      </c>
    </row>
    <row r="72" spans="1:18" ht="15.75" thickBot="1">
      <c r="A72" s="271" t="s">
        <v>24</v>
      </c>
      <c r="B72" s="272" t="s">
        <v>2128</v>
      </c>
      <c r="C72" s="273">
        <f ca="1">ROUND(C69/F72,0)</f>
        <v>-10124</v>
      </c>
      <c r="D72" s="274" t="s">
        <v>2129</v>
      </c>
      <c r="E72" s="275" t="s">
        <v>2130</v>
      </c>
      <c r="F72" s="276">
        <f>F43</f>
        <v>229.53</v>
      </c>
      <c r="O72" s="1051" t="s">
        <v>960</v>
      </c>
      <c r="P72" s="1048" t="str">
        <f>K60</f>
        <v>建筑物剩余耐用年限下的土地年期修正系数Kn</v>
      </c>
      <c r="Q72" s="1049" t="e">
        <f>L60</f>
        <v>#DIV/0!</v>
      </c>
      <c r="R72" s="1050" t="s">
        <v>2182</v>
      </c>
    </row>
    <row r="73" spans="1:18" ht="15.75" thickBot="1">
      <c r="A73" s="652"/>
      <c r="B73" s="656"/>
      <c r="C73" s="656"/>
      <c r="D73" s="652"/>
      <c r="E73" s="652"/>
      <c r="F73" s="652"/>
      <c r="O73" s="1047" t="s">
        <v>955</v>
      </c>
      <c r="P73" s="1048" t="str">
        <f>IF(C2="元","收益价值(元)","收益价值(万元)")</f>
        <v>收益价值(万元)</v>
      </c>
      <c r="Q73" s="1049">
        <f ca="1">ROUND(IF(C2="元",Q63+Q64,(Q63+Q64)/10000),0)</f>
        <v>415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54" priority="6">
      <formula>$L$49&gt;$J$52</formula>
    </cfRule>
  </conditionalFormatting>
  <conditionalFormatting sqref="I56">
    <cfRule type="expression" dxfId="153" priority="7">
      <formula>$J$52&gt;$L$49</formula>
    </cfRule>
  </conditionalFormatting>
  <conditionalFormatting sqref="I61">
    <cfRule type="expression" dxfId="152" priority="5">
      <formula>$J$52&gt;$L$49</formula>
    </cfRule>
  </conditionalFormatting>
  <conditionalFormatting sqref="K61">
    <cfRule type="expression" dxfId="151" priority="4">
      <formula>$L$49&gt;$J$52</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5">
    <cfRule type="expression" dxfId="14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72" t="s">
        <v>1013</v>
      </c>
      <c r="B1" s="3473"/>
      <c r="C1" s="3474"/>
      <c r="D1" s="3475">
        <f>SUM(I10,I15,I20,I21,I23)</f>
        <v>0</v>
      </c>
      <c r="E1" s="3475"/>
      <c r="F1" s="3475"/>
      <c r="G1" s="3475"/>
      <c r="H1" s="3475"/>
      <c r="I1" s="3476"/>
    </row>
    <row r="2" spans="1:9">
      <c r="A2" s="3462" t="s">
        <v>1014</v>
      </c>
      <c r="B2" s="3463" t="s">
        <v>963</v>
      </c>
      <c r="C2" s="3463"/>
      <c r="D2" s="1062" t="s">
        <v>964</v>
      </c>
      <c r="E2" s="1062" t="s">
        <v>965</v>
      </c>
      <c r="F2" s="1062" t="s">
        <v>966</v>
      </c>
      <c r="G2" s="1062" t="s">
        <v>967</v>
      </c>
      <c r="H2" s="1062" t="s">
        <v>968</v>
      </c>
      <c r="I2" s="1063" t="s">
        <v>969</v>
      </c>
    </row>
    <row r="3" spans="1:9">
      <c r="A3" s="3462"/>
      <c r="B3" s="3463" t="s">
        <v>970</v>
      </c>
      <c r="C3" s="3463"/>
      <c r="D3" s="1064"/>
      <c r="E3" s="1062"/>
      <c r="F3" s="1065"/>
      <c r="G3" s="1065"/>
      <c r="H3" s="1066"/>
      <c r="I3" s="1067">
        <f>ROUND(D3*E3*F3*G3*H3/10000,0)</f>
        <v>0</v>
      </c>
    </row>
    <row r="4" spans="1:9">
      <c r="A4" s="3462"/>
      <c r="B4" s="3463" t="s">
        <v>971</v>
      </c>
      <c r="C4" s="3463"/>
      <c r="D4" s="1064"/>
      <c r="E4" s="1062"/>
      <c r="F4" s="1065"/>
      <c r="G4" s="1065"/>
      <c r="H4" s="1066"/>
      <c r="I4" s="1067">
        <f t="shared" ref="I4:I9" si="0">ROUND(D4*E4*F4*G4*H4/10000,0)</f>
        <v>0</v>
      </c>
    </row>
    <row r="5" spans="1:9">
      <c r="A5" s="3462"/>
      <c r="B5" s="3463" t="s">
        <v>972</v>
      </c>
      <c r="C5" s="3463"/>
      <c r="D5" s="1064"/>
      <c r="E5" s="1062"/>
      <c r="F5" s="1065"/>
      <c r="G5" s="1065"/>
      <c r="H5" s="1066"/>
      <c r="I5" s="1067">
        <f t="shared" si="0"/>
        <v>0</v>
      </c>
    </row>
    <row r="6" spans="1:9">
      <c r="A6" s="3462"/>
      <c r="B6" s="3463" t="s">
        <v>973</v>
      </c>
      <c r="C6" s="3463"/>
      <c r="D6" s="1064"/>
      <c r="E6" s="1062"/>
      <c r="F6" s="1065"/>
      <c r="G6" s="1065"/>
      <c r="H6" s="1066"/>
      <c r="I6" s="1067">
        <f t="shared" si="0"/>
        <v>0</v>
      </c>
    </row>
    <row r="7" spans="1:9">
      <c r="A7" s="3462"/>
      <c r="B7" s="3463" t="s">
        <v>974</v>
      </c>
      <c r="C7" s="3463"/>
      <c r="D7" s="1064"/>
      <c r="E7" s="1062"/>
      <c r="F7" s="1065"/>
      <c r="G7" s="1065"/>
      <c r="H7" s="1066"/>
      <c r="I7" s="1067">
        <f t="shared" si="0"/>
        <v>0</v>
      </c>
    </row>
    <row r="8" spans="1:9">
      <c r="A8" s="3462"/>
      <c r="B8" s="3463" t="s">
        <v>975</v>
      </c>
      <c r="C8" s="3463"/>
      <c r="D8" s="1064"/>
      <c r="E8" s="1062"/>
      <c r="F8" s="1065"/>
      <c r="G8" s="1065"/>
      <c r="H8" s="1066"/>
      <c r="I8" s="1067">
        <f t="shared" si="0"/>
        <v>0</v>
      </c>
    </row>
    <row r="9" spans="1:9">
      <c r="A9" s="3462"/>
      <c r="B9" s="3463" t="s">
        <v>976</v>
      </c>
      <c r="C9" s="3463"/>
      <c r="D9" s="1064"/>
      <c r="E9" s="1062"/>
      <c r="F9" s="1065"/>
      <c r="G9" s="1065"/>
      <c r="H9" s="1066"/>
      <c r="I9" s="1067">
        <f t="shared" si="0"/>
        <v>0</v>
      </c>
    </row>
    <row r="10" spans="1:9">
      <c r="A10" s="3462"/>
      <c r="B10" s="3464" t="s">
        <v>977</v>
      </c>
      <c r="C10" s="3464"/>
      <c r="D10" s="1068">
        <v>527</v>
      </c>
      <c r="E10" s="1068" t="e">
        <f>ROUND(D1*10000/D10/H9,0)</f>
        <v>#DIV/0!</v>
      </c>
      <c r="F10" s="1069"/>
      <c r="G10" s="1069"/>
      <c r="H10" s="1070"/>
      <c r="I10" s="1071">
        <f>SUM(I3:I9)</f>
        <v>0</v>
      </c>
    </row>
    <row r="11" spans="1:9" ht="14.25">
      <c r="A11" s="3462" t="s">
        <v>1015</v>
      </c>
      <c r="B11" s="3463" t="s">
        <v>978</v>
      </c>
      <c r="C11" s="3463"/>
      <c r="D11" s="1064" t="s">
        <v>979</v>
      </c>
      <c r="E11" s="1064" t="s">
        <v>980</v>
      </c>
      <c r="F11" s="1065" t="s">
        <v>981</v>
      </c>
      <c r="G11" s="1065" t="s">
        <v>968</v>
      </c>
      <c r="H11" s="1072" t="s">
        <v>982</v>
      </c>
      <c r="I11" s="1063" t="s">
        <v>969</v>
      </c>
    </row>
    <row r="12" spans="1:9">
      <c r="A12" s="3462"/>
      <c r="B12" s="3463" t="s">
        <v>983</v>
      </c>
      <c r="C12" s="3463"/>
      <c r="D12" s="1064"/>
      <c r="E12" s="1064"/>
      <c r="F12" s="1065"/>
      <c r="G12" s="1066"/>
      <c r="H12" s="1073"/>
      <c r="I12" s="1063">
        <f>ROUND(D12*E12*F12*G12/10000,0)</f>
        <v>0</v>
      </c>
    </row>
    <row r="13" spans="1:9">
      <c r="A13" s="3462"/>
      <c r="B13" s="3463" t="s">
        <v>984</v>
      </c>
      <c r="C13" s="3463"/>
      <c r="D13" s="1064"/>
      <c r="E13" s="1064"/>
      <c r="F13" s="1065"/>
      <c r="G13" s="1066"/>
      <c r="H13" s="1073"/>
      <c r="I13" s="1063">
        <f>ROUND(D13*E13*F13*G13/10000,0)</f>
        <v>0</v>
      </c>
    </row>
    <row r="14" spans="1:9">
      <c r="A14" s="3462"/>
      <c r="B14" s="3463" t="s">
        <v>985</v>
      </c>
      <c r="C14" s="3463"/>
      <c r="D14" s="1064"/>
      <c r="E14" s="1064"/>
      <c r="F14" s="1065"/>
      <c r="G14" s="1066"/>
      <c r="H14" s="1073"/>
      <c r="I14" s="1063">
        <f>ROUND(D14*E14*F14*G14/10000,0)</f>
        <v>0</v>
      </c>
    </row>
    <row r="15" spans="1:9">
      <c r="A15" s="3462"/>
      <c r="B15" s="3464" t="s">
        <v>977</v>
      </c>
      <c r="C15" s="3464"/>
      <c r="D15" s="1068"/>
      <c r="E15" s="1068">
        <f>SUM(E12:E14)</f>
        <v>0</v>
      </c>
      <c r="F15" s="1069"/>
      <c r="G15" s="1066"/>
      <c r="H15" s="1073"/>
      <c r="I15" s="1074">
        <f>SUM(I12:I14)</f>
        <v>0</v>
      </c>
    </row>
    <row r="16" spans="1:9" ht="24">
      <c r="A16" s="3462" t="s">
        <v>1016</v>
      </c>
      <c r="B16" s="3463" t="s">
        <v>986</v>
      </c>
      <c r="C16" s="3463"/>
      <c r="D16" s="1064" t="s">
        <v>964</v>
      </c>
      <c r="E16" s="1075" t="s">
        <v>987</v>
      </c>
      <c r="F16" s="1065" t="s">
        <v>988</v>
      </c>
      <c r="G16" s="1066" t="s">
        <v>968</v>
      </c>
      <c r="H16" s="1072" t="s">
        <v>982</v>
      </c>
      <c r="I16" s="1063" t="s">
        <v>969</v>
      </c>
    </row>
    <row r="17" spans="1:9" ht="14.25">
      <c r="A17" s="3462"/>
      <c r="B17" s="3463" t="s">
        <v>989</v>
      </c>
      <c r="C17" s="3463"/>
      <c r="D17" s="1064"/>
      <c r="E17" s="1064"/>
      <c r="F17" s="1065"/>
      <c r="G17" s="1066"/>
      <c r="H17" s="1076"/>
      <c r="I17" s="1077">
        <f>ROUND(D17*E17*F17*G17/10000,0)</f>
        <v>0</v>
      </c>
    </row>
    <row r="18" spans="1:9" ht="14.25">
      <c r="A18" s="3462"/>
      <c r="B18" s="3463" t="s">
        <v>990</v>
      </c>
      <c r="C18" s="3463"/>
      <c r="D18" s="1064"/>
      <c r="E18" s="1064"/>
      <c r="F18" s="1065"/>
      <c r="G18" s="1066"/>
      <c r="H18" s="1076"/>
      <c r="I18" s="1077">
        <f>ROUND(D18*E18*F18*G18/10000,0)</f>
        <v>0</v>
      </c>
    </row>
    <row r="19" spans="1:9" ht="14.25">
      <c r="A19" s="3462"/>
      <c r="B19" s="3463" t="s">
        <v>991</v>
      </c>
      <c r="C19" s="3463"/>
      <c r="D19" s="1064"/>
      <c r="E19" s="1064"/>
      <c r="F19" s="1065"/>
      <c r="G19" s="1066"/>
      <c r="H19" s="1076"/>
      <c r="I19" s="1077">
        <f>ROUND(D19*E19*F19*G19/10000,0)</f>
        <v>0</v>
      </c>
    </row>
    <row r="20" spans="1:9">
      <c r="A20" s="3462"/>
      <c r="B20" s="3464" t="s">
        <v>977</v>
      </c>
      <c r="C20" s="3464"/>
      <c r="D20" s="1068">
        <f>SUM(D17:D19)</f>
        <v>0</v>
      </c>
      <c r="E20" s="1068"/>
      <c r="F20" s="1069"/>
      <c r="G20" s="1066"/>
      <c r="H20" s="1073"/>
      <c r="I20" s="1074">
        <f>SUM(I17:I19)</f>
        <v>0</v>
      </c>
    </row>
    <row r="21" spans="1:9">
      <c r="A21" s="3462" t="s">
        <v>1017</v>
      </c>
      <c r="B21" s="3465"/>
      <c r="C21" s="3465"/>
      <c r="D21" s="3465"/>
      <c r="E21" s="3465"/>
      <c r="F21" s="3465"/>
      <c r="G21" s="3465"/>
      <c r="H21" s="1078">
        <v>0.1</v>
      </c>
      <c r="I21" s="1071">
        <f>ROUND(I10*H21,0)</f>
        <v>0</v>
      </c>
    </row>
    <row r="22" spans="1:9" ht="14.25">
      <c r="A22" s="3466" t="s">
        <v>1018</v>
      </c>
      <c r="B22" s="3467"/>
      <c r="C22" s="3468"/>
      <c r="D22" s="1079" t="s">
        <v>992</v>
      </c>
      <c r="E22" s="1079" t="s">
        <v>993</v>
      </c>
      <c r="F22" s="1080" t="s">
        <v>968</v>
      </c>
      <c r="G22" s="1080" t="s">
        <v>994</v>
      </c>
      <c r="H22" s="1072" t="s">
        <v>982</v>
      </c>
      <c r="I22" s="1063" t="s">
        <v>969</v>
      </c>
    </row>
    <row r="23" spans="1:9" ht="14.25" thickBot="1">
      <c r="A23" s="3469"/>
      <c r="B23" s="3470"/>
      <c r="C23" s="3471"/>
      <c r="D23" s="1081"/>
      <c r="E23" s="1081"/>
      <c r="F23" s="1081"/>
      <c r="G23" s="1082"/>
      <c r="H23" s="1083"/>
      <c r="I23" s="1084">
        <f>ROUND(E23*D23*F23*(1-G23)/10000,0)</f>
        <v>0</v>
      </c>
    </row>
    <row r="26" spans="1:9">
      <c r="A26" s="1085" t="s">
        <v>995</v>
      </c>
      <c r="B26" s="1085"/>
      <c r="C26" s="1085"/>
      <c r="D26" s="1085"/>
      <c r="E26" s="3459">
        <f>C27-C30-C31-C32</f>
        <v>0</v>
      </c>
      <c r="F26" s="3459"/>
      <c r="G26" s="3459"/>
      <c r="H26" s="1304" t="s">
        <v>1206</v>
      </c>
    </row>
    <row r="27" spans="1:9">
      <c r="A27" s="1086">
        <v>1</v>
      </c>
      <c r="B27" s="1087" t="s">
        <v>996</v>
      </c>
      <c r="C27" s="1087">
        <f>C28+C29</f>
        <v>0</v>
      </c>
      <c r="D27" s="1087"/>
      <c r="E27" s="3460"/>
      <c r="F27" s="3460"/>
      <c r="G27" s="3460"/>
    </row>
    <row r="28" spans="1:9">
      <c r="A28" s="1088" t="s">
        <v>997</v>
      </c>
      <c r="B28" s="1087" t="s">
        <v>998</v>
      </c>
      <c r="C28" s="1087"/>
      <c r="D28" s="1087"/>
      <c r="E28" s="3460"/>
      <c r="F28" s="3460"/>
      <c r="G28" s="346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61"/>
      <c r="F32" s="3461"/>
      <c r="G32" s="3461"/>
    </row>
    <row r="33" spans="1:7" hidden="1">
      <c r="A33" s="3456" t="s">
        <v>1007</v>
      </c>
      <c r="B33" s="3457"/>
      <c r="C33" s="3457"/>
      <c r="D33" s="3458"/>
      <c r="E33" s="3459"/>
      <c r="F33" s="3459"/>
      <c r="G33" s="3459"/>
    </row>
    <row r="34" spans="1:7" hidden="1">
      <c r="A34" s="1090">
        <v>1</v>
      </c>
      <c r="B34" s="1087" t="s">
        <v>1008</v>
      </c>
      <c r="C34" s="1087"/>
      <c r="D34" s="1087"/>
      <c r="E34" s="3460"/>
      <c r="F34" s="3460"/>
      <c r="G34" s="3460"/>
    </row>
    <row r="35" spans="1:7" hidden="1">
      <c r="A35" s="1090">
        <v>2</v>
      </c>
      <c r="B35" s="1087" t="s">
        <v>1009</v>
      </c>
      <c r="C35" s="1087"/>
      <c r="D35" s="1087"/>
      <c r="E35" s="3460"/>
      <c r="F35" s="3460"/>
      <c r="G35" s="3460"/>
    </row>
    <row r="36" spans="1:7" hidden="1">
      <c r="A36" s="1090">
        <v>3</v>
      </c>
      <c r="B36" s="1087" t="s">
        <v>1010</v>
      </c>
      <c r="C36" s="1087"/>
      <c r="D36" s="1087"/>
      <c r="E36" s="3460"/>
      <c r="F36" s="3460"/>
      <c r="G36" s="3460"/>
    </row>
    <row r="37" spans="1:7" hidden="1">
      <c r="A37" s="1090">
        <v>4</v>
      </c>
      <c r="B37" s="1087" t="s">
        <v>1011</v>
      </c>
      <c r="C37" s="1087"/>
      <c r="D37" s="1087"/>
      <c r="E37" s="3460"/>
      <c r="F37" s="3460"/>
      <c r="G37" s="3460"/>
    </row>
    <row r="38" spans="1:7" hidden="1">
      <c r="A38" s="3456" t="s">
        <v>1012</v>
      </c>
      <c r="B38" s="3457"/>
      <c r="C38" s="3457"/>
      <c r="D38" s="3458"/>
      <c r="E38" s="3459"/>
      <c r="F38" s="3459"/>
      <c r="G38" s="345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A26" sqref="A26:T42"/>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0" style="16" hidden="1" customWidth="1"/>
    <col min="15" max="15" width="5" style="16" hidden="1"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2206</v>
      </c>
      <c r="B2" s="250">
        <f ca="1">B23</f>
        <v>4684</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2207</v>
      </c>
      <c r="B3" s="250">
        <f ca="1">B24</f>
        <v>28526</v>
      </c>
      <c r="C3" s="902" t="s">
        <v>2208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2209</v>
      </c>
      <c r="C4" s="3480" t="s">
        <v>2210</v>
      </c>
      <c r="D4" s="3481"/>
      <c r="E4" s="3481"/>
      <c r="F4" s="3481"/>
      <c r="G4" s="3481"/>
      <c r="H4" s="3481"/>
      <c r="I4" s="3481"/>
      <c r="J4" s="3481"/>
      <c r="K4" s="3481"/>
      <c r="L4" s="3481"/>
      <c r="M4" s="3481"/>
      <c r="N4" s="3481"/>
      <c r="O4" s="3481"/>
      <c r="P4" s="3481"/>
      <c r="Q4" s="3481"/>
      <c r="R4" s="3481"/>
      <c r="S4" s="3482"/>
      <c r="T4" s="575" t="s">
        <v>2211</v>
      </c>
      <c r="U4" s="999"/>
      <c r="V4" s="999"/>
      <c r="X4" s="999"/>
      <c r="Y4" s="999"/>
    </row>
    <row r="5" spans="1:44" s="587" customFormat="1" ht="38.25">
      <c r="A5" s="1003"/>
      <c r="B5" s="583" t="s">
        <v>2212</v>
      </c>
      <c r="C5" s="584" t="str">
        <f t="shared" ref="C5:L5" si="0">C6&amp;"(含)"&amp;"-"&amp;D6</f>
        <v>0(含)-80</v>
      </c>
      <c r="D5" s="585" t="str">
        <f t="shared" si="0"/>
        <v>80(含)-150</v>
      </c>
      <c r="E5" s="585" t="str">
        <f t="shared" si="0"/>
        <v>150(含)-300</v>
      </c>
      <c r="F5" s="585" t="str">
        <f t="shared" si="0"/>
        <v>300(含)-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f>'比较法-办公'!C104</f>
        <v>0</v>
      </c>
      <c r="D6" s="589">
        <f>'比较法-办公'!D104</f>
        <v>80</v>
      </c>
      <c r="E6" s="589">
        <f>'比较法-办公'!E104</f>
        <v>150</v>
      </c>
      <c r="F6" s="589">
        <f>'比较法-办公'!F104</f>
        <v>300</v>
      </c>
      <c r="G6" s="589"/>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589">
        <f>'比较法-办公'!C105</f>
        <v>100</v>
      </c>
      <c r="D7" s="589">
        <f>'比较法-办公'!D105</f>
        <v>99</v>
      </c>
      <c r="E7" s="589">
        <f>'比较法-办公'!E105</f>
        <v>98</v>
      </c>
      <c r="F7" s="589">
        <f>'比较法-办公'!F105</f>
        <v>97</v>
      </c>
      <c r="G7" s="589"/>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2219</v>
      </c>
      <c r="B20" s="1553" t="s">
        <v>2220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2222</v>
      </c>
      <c r="B23" s="224">
        <f ca="1">IF(F23="——",IF(C23="万元",T25,S25),IF(C23="万元",T25-H23,S25-H23))</f>
        <v>4684</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2223</v>
      </c>
      <c r="B24" s="224">
        <f ca="1">ROUND(B23*10000/B25,0)</f>
        <v>28526</v>
      </c>
      <c r="C24" s="864"/>
      <c r="D24" s="37"/>
      <c r="E24" s="37"/>
      <c r="F24" s="37"/>
      <c r="G24" s="37"/>
      <c r="H24" s="37"/>
      <c r="I24" s="37"/>
      <c r="J24" s="37"/>
      <c r="K24" s="37"/>
      <c r="L24" s="37"/>
      <c r="M24" s="37"/>
      <c r="N24" s="37"/>
      <c r="O24" s="37"/>
      <c r="P24" s="37"/>
      <c r="Q24" s="37"/>
      <c r="R24" s="645"/>
      <c r="S24" s="13" t="s">
        <v>2224</v>
      </c>
      <c r="T24" s="1332" t="s">
        <v>2225</v>
      </c>
      <c r="U24" s="2245" t="s">
        <v>2226</v>
      </c>
      <c r="V24" s="2986"/>
      <c r="W24" s="2987" t="s">
        <v>2227</v>
      </c>
      <c r="X24" s="2245" t="s">
        <v>2228</v>
      </c>
      <c r="Y24" s="2986"/>
      <c r="Z24" s="2988" t="s">
        <v>2227</v>
      </c>
    </row>
    <row r="25" spans="1:45">
      <c r="A25" s="250" t="s">
        <v>2229</v>
      </c>
      <c r="B25" s="13">
        <f>SUM(B27:B10000)</f>
        <v>1642.01</v>
      </c>
      <c r="C25" s="3477" t="s">
        <v>45</v>
      </c>
      <c r="D25" s="3478"/>
      <c r="E25" s="3478"/>
      <c r="F25" s="3478"/>
      <c r="G25" s="3478"/>
      <c r="H25" s="3478"/>
      <c r="I25" s="3478"/>
      <c r="J25" s="3478"/>
      <c r="K25" s="3478"/>
      <c r="L25" s="3478"/>
      <c r="M25" s="3478"/>
      <c r="N25" s="3478"/>
      <c r="O25" s="3478"/>
      <c r="P25" s="3478"/>
      <c r="Q25" s="3479"/>
      <c r="R25" s="597">
        <f ca="1">IF(C23="万元",ROUND(T25*10000/B25,0),ROUND(S25/B25,0))</f>
        <v>28526</v>
      </c>
      <c r="S25" s="13">
        <f ca="1">SUM(S27:S10000)</f>
        <v>46835519</v>
      </c>
      <c r="T25" s="13">
        <f ca="1">SUM(T27:T10000)</f>
        <v>4684</v>
      </c>
      <c r="U25" s="17">
        <f>SUM(U27:U10000)</f>
        <v>0</v>
      </c>
      <c r="V25" s="17">
        <f>SUM(V27:V10000)</f>
        <v>0</v>
      </c>
      <c r="W25" s="2990"/>
      <c r="X25" s="17">
        <f>SUM(X27:X10000)</f>
        <v>0</v>
      </c>
      <c r="Y25" s="17">
        <f>SUM(Y27:Y10000)</f>
        <v>0</v>
      </c>
      <c r="Z25" s="1558"/>
    </row>
    <row r="26" spans="1:45" s="11" customFormat="1" ht="24">
      <c r="A26" s="10" t="s">
        <v>2230</v>
      </c>
      <c r="B26" s="10" t="s">
        <v>2231</v>
      </c>
      <c r="C26" s="10" t="s">
        <v>2232</v>
      </c>
      <c r="D26" s="10" t="str">
        <f>B8</f>
        <v>修正项2</v>
      </c>
      <c r="E26" s="10" t="s">
        <v>2232</v>
      </c>
      <c r="F26" s="10" t="str">
        <f>B10</f>
        <v>修正项3</v>
      </c>
      <c r="G26" s="10" t="s">
        <v>2232</v>
      </c>
      <c r="H26" s="10" t="str">
        <f>B12</f>
        <v>修正项4</v>
      </c>
      <c r="I26" s="10" t="s">
        <v>2232</v>
      </c>
      <c r="J26" s="10" t="str">
        <f>B14</f>
        <v>修正项5</v>
      </c>
      <c r="K26" s="10" t="s">
        <v>2232</v>
      </c>
      <c r="L26" s="10" t="str">
        <f>B16</f>
        <v>修正项6</v>
      </c>
      <c r="M26" s="10" t="s">
        <v>2232</v>
      </c>
      <c r="N26" s="10" t="str">
        <f>B18</f>
        <v>修正项7</v>
      </c>
      <c r="O26" s="10" t="s">
        <v>2232</v>
      </c>
      <c r="P26" s="10" t="str">
        <f>B20</f>
        <v>楼层</v>
      </c>
      <c r="Q26" s="10" t="s">
        <v>2232</v>
      </c>
      <c r="R26" s="598" t="s">
        <v>2233</v>
      </c>
      <c r="S26" s="10" t="s">
        <v>2234</v>
      </c>
      <c r="T26" s="10" t="s">
        <v>2234</v>
      </c>
      <c r="U26" s="684" t="s">
        <v>2235</v>
      </c>
      <c r="V26" s="684" t="s">
        <v>2236</v>
      </c>
      <c r="W26" s="10" t="s">
        <v>2237</v>
      </c>
      <c r="X26" s="684" t="s">
        <v>2235</v>
      </c>
      <c r="Y26" s="684" t="s">
        <v>2236</v>
      </c>
      <c r="Z26" s="10" t="s">
        <v>2237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f>面积清单!B3</f>
        <v>901</v>
      </c>
      <c r="B27" s="600">
        <f>'数据-取费表'!E5</f>
        <v>229.53</v>
      </c>
      <c r="C27" s="901">
        <v>1</v>
      </c>
      <c r="D27" s="601"/>
      <c r="E27" s="901">
        <v>1</v>
      </c>
      <c r="F27" s="601"/>
      <c r="G27" s="901">
        <v>1</v>
      </c>
      <c r="H27" s="601"/>
      <c r="I27" s="901">
        <v>1</v>
      </c>
      <c r="J27" s="601"/>
      <c r="K27" s="901">
        <v>1</v>
      </c>
      <c r="L27" s="601"/>
      <c r="M27" s="901">
        <v>1</v>
      </c>
      <c r="N27" s="601"/>
      <c r="O27" s="901">
        <v>1</v>
      </c>
      <c r="P27" s="3194" t="s">
        <v>2983</v>
      </c>
      <c r="Q27" s="901">
        <v>1</v>
      </c>
      <c r="R27" s="907">
        <f ca="1">'结果表 (1修多)'!G20</f>
        <v>28255</v>
      </c>
      <c r="S27" s="600">
        <f ca="1">ROUND(R27*B27,0)</f>
        <v>6485370</v>
      </c>
      <c r="T27" s="600">
        <f ca="1">ROUND(R27*B27/10000,0)</f>
        <v>649</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599">
        <f>面积清单!B4</f>
        <v>902</v>
      </c>
      <c r="B28" s="20">
        <f>面积清单!C4</f>
        <v>89.91</v>
      </c>
      <c r="C28" s="13">
        <f t="shared" ref="C28:C91" si="14">IF(B28="",1,(LOOKUP(B28,$6:$6,$7:$7)-LOOKUP($B$27,$6:$6,$7:$7)+100)/100)</f>
        <v>1.01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3194" t="s">
        <v>2984</v>
      </c>
      <c r="Q28" s="13">
        <f t="shared" ref="Q28:Q91" si="21">(SUMIF($20:$20,P28,$21:$21)-SUMIF($20:$20,$P$27,$21:$21)+100)/100</f>
        <v>1</v>
      </c>
      <c r="R28" s="597">
        <f ca="1">IF(B28="",0,ROUND($R$27*C28*E28*G28*I28*K28*M28*O28*Q28,0))</f>
        <v>28538</v>
      </c>
      <c r="S28" s="250">
        <f ca="1">ROUND(R28*B28,0)</f>
        <v>2565852</v>
      </c>
      <c r="T28" s="901">
        <f ca="1">ROUND(R28*B28/10000,0)</f>
        <v>257</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599">
        <f>面积清单!B5</f>
        <v>903</v>
      </c>
      <c r="B29" s="20">
        <f>面积清单!C5</f>
        <v>111.32</v>
      </c>
      <c r="C29" s="13">
        <f t="shared" si="14"/>
        <v>1.01</v>
      </c>
      <c r="D29" s="601"/>
      <c r="E29" s="13">
        <f t="shared" si="15"/>
        <v>1</v>
      </c>
      <c r="F29" s="601"/>
      <c r="G29" s="13">
        <f t="shared" si="16"/>
        <v>1</v>
      </c>
      <c r="H29" s="601"/>
      <c r="I29" s="13">
        <f t="shared" si="17"/>
        <v>1</v>
      </c>
      <c r="J29" s="601"/>
      <c r="K29" s="13">
        <f t="shared" si="18"/>
        <v>1</v>
      </c>
      <c r="L29" s="601"/>
      <c r="M29" s="13">
        <f t="shared" si="19"/>
        <v>1</v>
      </c>
      <c r="N29" s="601"/>
      <c r="O29" s="13">
        <f t="shared" si="20"/>
        <v>1</v>
      </c>
      <c r="P29" s="3194" t="s">
        <v>2983</v>
      </c>
      <c r="Q29" s="13">
        <f t="shared" si="21"/>
        <v>1</v>
      </c>
      <c r="R29" s="597">
        <f t="shared" ref="R29:R92" ca="1" si="26">IF(B29="",0,ROUND($R$27*C29*E29*G29*I29*K29*M29*O29*Q29,0))</f>
        <v>28538</v>
      </c>
      <c r="S29" s="250">
        <f t="shared" ref="S29:S92" ca="1" si="27">ROUND(R29*B29,0)</f>
        <v>3176850</v>
      </c>
      <c r="T29" s="901">
        <f t="shared" ref="T29:T92" ca="1" si="28">ROUND(R29*B29/10000,0)</f>
        <v>318</v>
      </c>
      <c r="U29" s="2989">
        <f t="shared" si="22"/>
        <v>0</v>
      </c>
      <c r="V29" s="2989">
        <f t="shared" si="23"/>
        <v>0</v>
      </c>
      <c r="W29" s="998"/>
      <c r="X29" s="2989">
        <f t="shared" si="24"/>
        <v>0</v>
      </c>
      <c r="Y29" s="2989">
        <f t="shared" si="25"/>
        <v>0</v>
      </c>
      <c r="Z29" s="998"/>
    </row>
    <row r="30" spans="1:45">
      <c r="A30" s="599">
        <f>面积清单!B6</f>
        <v>904</v>
      </c>
      <c r="B30" s="20">
        <f>面积清单!C6</f>
        <v>92.76</v>
      </c>
      <c r="C30" s="13">
        <f t="shared" si="14"/>
        <v>1.01</v>
      </c>
      <c r="D30" s="601"/>
      <c r="E30" s="13">
        <f t="shared" si="15"/>
        <v>1</v>
      </c>
      <c r="F30" s="601"/>
      <c r="G30" s="13">
        <f t="shared" si="16"/>
        <v>1</v>
      </c>
      <c r="H30" s="601"/>
      <c r="I30" s="13">
        <f t="shared" si="17"/>
        <v>1</v>
      </c>
      <c r="J30" s="601"/>
      <c r="K30" s="13">
        <f t="shared" si="18"/>
        <v>1</v>
      </c>
      <c r="L30" s="601"/>
      <c r="M30" s="13">
        <f t="shared" si="19"/>
        <v>1</v>
      </c>
      <c r="N30" s="601"/>
      <c r="O30" s="13">
        <f t="shared" si="20"/>
        <v>1</v>
      </c>
      <c r="P30" s="3194" t="s">
        <v>2984</v>
      </c>
      <c r="Q30" s="13">
        <f t="shared" si="21"/>
        <v>1</v>
      </c>
      <c r="R30" s="597">
        <f t="shared" ca="1" si="26"/>
        <v>28538</v>
      </c>
      <c r="S30" s="250">
        <f t="shared" ca="1" si="27"/>
        <v>2647185</v>
      </c>
      <c r="T30" s="901">
        <f t="shared" ca="1" si="28"/>
        <v>265</v>
      </c>
      <c r="U30" s="2989">
        <f t="shared" si="22"/>
        <v>0</v>
      </c>
      <c r="V30" s="2989">
        <f t="shared" si="23"/>
        <v>0</v>
      </c>
      <c r="W30" s="998"/>
      <c r="X30" s="2989">
        <f t="shared" si="24"/>
        <v>0</v>
      </c>
      <c r="Y30" s="2989">
        <f t="shared" si="25"/>
        <v>0</v>
      </c>
      <c r="Z30" s="998"/>
    </row>
    <row r="31" spans="1:45">
      <c r="A31" s="599">
        <f>面积清单!B7</f>
        <v>905</v>
      </c>
      <c r="B31" s="20">
        <f>面积清单!C7</f>
        <v>111.44</v>
      </c>
      <c r="C31" s="13">
        <f t="shared" si="14"/>
        <v>1.01</v>
      </c>
      <c r="D31" s="601"/>
      <c r="E31" s="13">
        <f t="shared" si="15"/>
        <v>1</v>
      </c>
      <c r="F31" s="601"/>
      <c r="G31" s="13">
        <f t="shared" si="16"/>
        <v>1</v>
      </c>
      <c r="H31" s="601"/>
      <c r="I31" s="13">
        <f t="shared" si="17"/>
        <v>1</v>
      </c>
      <c r="J31" s="601"/>
      <c r="K31" s="13">
        <f t="shared" si="18"/>
        <v>1</v>
      </c>
      <c r="L31" s="601"/>
      <c r="M31" s="13">
        <f t="shared" si="19"/>
        <v>1</v>
      </c>
      <c r="N31" s="601"/>
      <c r="O31" s="13">
        <f t="shared" si="20"/>
        <v>1</v>
      </c>
      <c r="P31" s="3194" t="s">
        <v>2983</v>
      </c>
      <c r="Q31" s="13">
        <f t="shared" si="21"/>
        <v>1</v>
      </c>
      <c r="R31" s="597">
        <f t="shared" ca="1" si="26"/>
        <v>28538</v>
      </c>
      <c r="S31" s="250">
        <f t="shared" ca="1" si="27"/>
        <v>3180275</v>
      </c>
      <c r="T31" s="901">
        <f t="shared" ca="1" si="28"/>
        <v>318</v>
      </c>
      <c r="U31" s="2989">
        <f t="shared" si="22"/>
        <v>0</v>
      </c>
      <c r="V31" s="2989">
        <f t="shared" si="23"/>
        <v>0</v>
      </c>
      <c r="W31" s="998"/>
      <c r="X31" s="2989">
        <f t="shared" si="24"/>
        <v>0</v>
      </c>
      <c r="Y31" s="2989">
        <f t="shared" si="25"/>
        <v>0</v>
      </c>
      <c r="Z31" s="998"/>
    </row>
    <row r="32" spans="1:45">
      <c r="A32" s="599">
        <f>面积清单!B8</f>
        <v>906</v>
      </c>
      <c r="B32" s="20">
        <f>面积清单!C8</f>
        <v>91.17</v>
      </c>
      <c r="C32" s="13">
        <f t="shared" si="14"/>
        <v>1.01</v>
      </c>
      <c r="D32" s="601"/>
      <c r="E32" s="13">
        <f t="shared" si="15"/>
        <v>1</v>
      </c>
      <c r="F32" s="601"/>
      <c r="G32" s="13">
        <f t="shared" si="16"/>
        <v>1</v>
      </c>
      <c r="H32" s="601"/>
      <c r="I32" s="13">
        <f t="shared" si="17"/>
        <v>1</v>
      </c>
      <c r="J32" s="601"/>
      <c r="K32" s="13">
        <f t="shared" si="18"/>
        <v>1</v>
      </c>
      <c r="L32" s="601"/>
      <c r="M32" s="13">
        <f t="shared" si="19"/>
        <v>1</v>
      </c>
      <c r="N32" s="601"/>
      <c r="O32" s="13">
        <f t="shared" si="20"/>
        <v>1</v>
      </c>
      <c r="P32" s="3194" t="s">
        <v>2984</v>
      </c>
      <c r="Q32" s="13">
        <f t="shared" si="21"/>
        <v>1</v>
      </c>
      <c r="R32" s="597">
        <f t="shared" ca="1" si="26"/>
        <v>28538</v>
      </c>
      <c r="S32" s="250">
        <f t="shared" ca="1" si="27"/>
        <v>2601809</v>
      </c>
      <c r="T32" s="901">
        <f t="shared" ca="1" si="28"/>
        <v>260</v>
      </c>
      <c r="U32" s="2989">
        <f t="shared" si="22"/>
        <v>0</v>
      </c>
      <c r="V32" s="2989">
        <f t="shared" si="23"/>
        <v>0</v>
      </c>
      <c r="W32" s="998"/>
      <c r="X32" s="2989">
        <f t="shared" si="24"/>
        <v>0</v>
      </c>
      <c r="Y32" s="2989">
        <f t="shared" si="25"/>
        <v>0</v>
      </c>
      <c r="Z32" s="998"/>
    </row>
    <row r="33" spans="1:26">
      <c r="A33" s="599">
        <f>面积清单!B9</f>
        <v>907</v>
      </c>
      <c r="B33" s="20">
        <f>面积清单!C9</f>
        <v>111.05</v>
      </c>
      <c r="C33" s="13">
        <f t="shared" si="14"/>
        <v>1.01</v>
      </c>
      <c r="D33" s="601"/>
      <c r="E33" s="13">
        <f t="shared" si="15"/>
        <v>1</v>
      </c>
      <c r="F33" s="601"/>
      <c r="G33" s="13">
        <f t="shared" si="16"/>
        <v>1</v>
      </c>
      <c r="H33" s="601"/>
      <c r="I33" s="13">
        <f t="shared" si="17"/>
        <v>1</v>
      </c>
      <c r="J33" s="601"/>
      <c r="K33" s="13">
        <f t="shared" si="18"/>
        <v>1</v>
      </c>
      <c r="L33" s="601"/>
      <c r="M33" s="13">
        <f t="shared" si="19"/>
        <v>1</v>
      </c>
      <c r="N33" s="601"/>
      <c r="O33" s="13">
        <f t="shared" si="20"/>
        <v>1</v>
      </c>
      <c r="P33" s="3194" t="s">
        <v>2983</v>
      </c>
      <c r="Q33" s="13">
        <f t="shared" si="21"/>
        <v>1</v>
      </c>
      <c r="R33" s="597">
        <f t="shared" ca="1" si="26"/>
        <v>28538</v>
      </c>
      <c r="S33" s="250">
        <f t="shared" ca="1" si="27"/>
        <v>3169145</v>
      </c>
      <c r="T33" s="901">
        <f t="shared" ca="1" si="28"/>
        <v>317</v>
      </c>
      <c r="U33" s="2989">
        <f t="shared" si="22"/>
        <v>0</v>
      </c>
      <c r="V33" s="2989">
        <f t="shared" si="23"/>
        <v>0</v>
      </c>
      <c r="W33" s="998"/>
      <c r="X33" s="2989">
        <f t="shared" si="24"/>
        <v>0</v>
      </c>
      <c r="Y33" s="2989">
        <f t="shared" si="25"/>
        <v>0</v>
      </c>
      <c r="Z33" s="998"/>
    </row>
    <row r="34" spans="1:26">
      <c r="A34" s="599">
        <f>面积清单!B10</f>
        <v>908</v>
      </c>
      <c r="B34" s="20">
        <f>面积清单!C10</f>
        <v>91.97</v>
      </c>
      <c r="C34" s="13">
        <f t="shared" si="14"/>
        <v>1.01</v>
      </c>
      <c r="D34" s="601"/>
      <c r="E34" s="13">
        <f t="shared" si="15"/>
        <v>1</v>
      </c>
      <c r="F34" s="601"/>
      <c r="G34" s="13">
        <f t="shared" si="16"/>
        <v>1</v>
      </c>
      <c r="H34" s="601"/>
      <c r="I34" s="13">
        <f t="shared" si="17"/>
        <v>1</v>
      </c>
      <c r="J34" s="601"/>
      <c r="K34" s="13">
        <f t="shared" si="18"/>
        <v>1</v>
      </c>
      <c r="L34" s="601"/>
      <c r="M34" s="13">
        <f t="shared" si="19"/>
        <v>1</v>
      </c>
      <c r="N34" s="601"/>
      <c r="O34" s="13">
        <f t="shared" si="20"/>
        <v>1</v>
      </c>
      <c r="P34" s="3194" t="s">
        <v>2984</v>
      </c>
      <c r="Q34" s="13">
        <f t="shared" si="21"/>
        <v>1</v>
      </c>
      <c r="R34" s="597">
        <f t="shared" ca="1" si="26"/>
        <v>28538</v>
      </c>
      <c r="S34" s="250">
        <f t="shared" ca="1" si="27"/>
        <v>2624640</v>
      </c>
      <c r="T34" s="901">
        <f t="shared" ca="1" si="28"/>
        <v>262</v>
      </c>
      <c r="U34" s="2989">
        <f t="shared" si="22"/>
        <v>0</v>
      </c>
      <c r="V34" s="2989">
        <f t="shared" si="23"/>
        <v>0</v>
      </c>
      <c r="W34" s="998"/>
      <c r="X34" s="2989">
        <f t="shared" si="24"/>
        <v>0</v>
      </c>
      <c r="Y34" s="2989">
        <f t="shared" si="25"/>
        <v>0</v>
      </c>
      <c r="Z34" s="998"/>
    </row>
    <row r="35" spans="1:26">
      <c r="A35" s="599">
        <f>面积清单!B11</f>
        <v>909</v>
      </c>
      <c r="B35" s="20">
        <f>面积清单!C11</f>
        <v>113.63</v>
      </c>
      <c r="C35" s="13">
        <f t="shared" si="14"/>
        <v>1.01</v>
      </c>
      <c r="D35" s="601"/>
      <c r="E35" s="13">
        <f t="shared" si="15"/>
        <v>1</v>
      </c>
      <c r="F35" s="601"/>
      <c r="G35" s="13">
        <f t="shared" si="16"/>
        <v>1</v>
      </c>
      <c r="H35" s="601"/>
      <c r="I35" s="13">
        <f t="shared" si="17"/>
        <v>1</v>
      </c>
      <c r="J35" s="601"/>
      <c r="K35" s="13">
        <f t="shared" si="18"/>
        <v>1</v>
      </c>
      <c r="L35" s="601"/>
      <c r="M35" s="13">
        <f t="shared" si="19"/>
        <v>1</v>
      </c>
      <c r="N35" s="601"/>
      <c r="O35" s="13">
        <f t="shared" si="20"/>
        <v>1</v>
      </c>
      <c r="P35" s="3194" t="s">
        <v>2983</v>
      </c>
      <c r="Q35" s="13">
        <f t="shared" si="21"/>
        <v>1</v>
      </c>
      <c r="R35" s="597">
        <f t="shared" ca="1" si="26"/>
        <v>28538</v>
      </c>
      <c r="S35" s="250">
        <f t="shared" ca="1" si="27"/>
        <v>3242773</v>
      </c>
      <c r="T35" s="901">
        <f t="shared" ca="1" si="28"/>
        <v>324</v>
      </c>
      <c r="U35" s="2989">
        <f t="shared" si="22"/>
        <v>0</v>
      </c>
      <c r="V35" s="2989">
        <f t="shared" si="23"/>
        <v>0</v>
      </c>
      <c r="W35" s="998"/>
      <c r="X35" s="2989">
        <f t="shared" si="24"/>
        <v>0</v>
      </c>
      <c r="Y35" s="2989">
        <f t="shared" si="25"/>
        <v>0</v>
      </c>
      <c r="Z35" s="998"/>
    </row>
    <row r="36" spans="1:26">
      <c r="A36" s="599">
        <f>面积清单!B12</f>
        <v>910</v>
      </c>
      <c r="B36" s="20">
        <f>面积清单!C12</f>
        <v>91.97</v>
      </c>
      <c r="C36" s="13">
        <f t="shared" si="14"/>
        <v>1.01</v>
      </c>
      <c r="D36" s="601"/>
      <c r="E36" s="13">
        <f t="shared" si="15"/>
        <v>1</v>
      </c>
      <c r="F36" s="601"/>
      <c r="G36" s="13">
        <f t="shared" si="16"/>
        <v>1</v>
      </c>
      <c r="H36" s="601"/>
      <c r="I36" s="13">
        <f t="shared" si="17"/>
        <v>1</v>
      </c>
      <c r="J36" s="601"/>
      <c r="K36" s="13">
        <f t="shared" si="18"/>
        <v>1</v>
      </c>
      <c r="L36" s="601"/>
      <c r="M36" s="13">
        <f t="shared" si="19"/>
        <v>1</v>
      </c>
      <c r="N36" s="601"/>
      <c r="O36" s="13">
        <f t="shared" si="20"/>
        <v>1</v>
      </c>
      <c r="P36" s="3194" t="s">
        <v>2984</v>
      </c>
      <c r="Q36" s="13">
        <f t="shared" si="21"/>
        <v>1</v>
      </c>
      <c r="R36" s="597">
        <f t="shared" ca="1" si="26"/>
        <v>28538</v>
      </c>
      <c r="S36" s="250">
        <f t="shared" ca="1" si="27"/>
        <v>2624640</v>
      </c>
      <c r="T36" s="901">
        <f t="shared" ca="1" si="28"/>
        <v>262</v>
      </c>
      <c r="U36" s="2989">
        <f t="shared" si="22"/>
        <v>0</v>
      </c>
      <c r="V36" s="2989">
        <f t="shared" si="23"/>
        <v>0</v>
      </c>
      <c r="W36" s="998"/>
      <c r="X36" s="2989">
        <f t="shared" si="24"/>
        <v>0</v>
      </c>
      <c r="Y36" s="2989">
        <f t="shared" si="25"/>
        <v>0</v>
      </c>
      <c r="Z36" s="998"/>
    </row>
    <row r="37" spans="1:26">
      <c r="A37" s="599">
        <f>面积清单!B13</f>
        <v>911</v>
      </c>
      <c r="B37" s="20">
        <f>面积清单!C13</f>
        <v>104.95</v>
      </c>
      <c r="C37" s="13">
        <f t="shared" si="14"/>
        <v>1.01</v>
      </c>
      <c r="D37" s="601"/>
      <c r="E37" s="13">
        <f t="shared" si="15"/>
        <v>1</v>
      </c>
      <c r="F37" s="601"/>
      <c r="G37" s="13">
        <f t="shared" si="16"/>
        <v>1</v>
      </c>
      <c r="H37" s="601"/>
      <c r="I37" s="13">
        <f t="shared" si="17"/>
        <v>1</v>
      </c>
      <c r="J37" s="601"/>
      <c r="K37" s="13">
        <f t="shared" si="18"/>
        <v>1</v>
      </c>
      <c r="L37" s="601"/>
      <c r="M37" s="13">
        <f t="shared" si="19"/>
        <v>1</v>
      </c>
      <c r="N37" s="601"/>
      <c r="O37" s="13">
        <f t="shared" si="20"/>
        <v>1</v>
      </c>
      <c r="P37" s="3194" t="s">
        <v>2983</v>
      </c>
      <c r="Q37" s="13">
        <f t="shared" si="21"/>
        <v>1</v>
      </c>
      <c r="R37" s="597">
        <f t="shared" ca="1" si="26"/>
        <v>28538</v>
      </c>
      <c r="S37" s="250">
        <f t="shared" ca="1" si="27"/>
        <v>2995063</v>
      </c>
      <c r="T37" s="901">
        <f t="shared" ca="1" si="28"/>
        <v>300</v>
      </c>
      <c r="U37" s="2989">
        <f t="shared" si="22"/>
        <v>0</v>
      </c>
      <c r="V37" s="2989">
        <f t="shared" si="23"/>
        <v>0</v>
      </c>
      <c r="W37" s="998"/>
      <c r="X37" s="2989">
        <f t="shared" si="24"/>
        <v>0</v>
      </c>
      <c r="Y37" s="2989">
        <f t="shared" si="25"/>
        <v>0</v>
      </c>
      <c r="Z37" s="998"/>
    </row>
    <row r="38" spans="1:26">
      <c r="A38" s="599">
        <f>面积清单!B14</f>
        <v>912</v>
      </c>
      <c r="B38" s="20">
        <f>面积清单!C14</f>
        <v>88.79</v>
      </c>
      <c r="C38" s="13">
        <f t="shared" si="14"/>
        <v>1.01</v>
      </c>
      <c r="D38" s="601"/>
      <c r="E38" s="13">
        <f t="shared" si="15"/>
        <v>1</v>
      </c>
      <c r="F38" s="601"/>
      <c r="G38" s="13">
        <f t="shared" si="16"/>
        <v>1</v>
      </c>
      <c r="H38" s="601"/>
      <c r="I38" s="13">
        <f t="shared" si="17"/>
        <v>1</v>
      </c>
      <c r="J38" s="601"/>
      <c r="K38" s="13">
        <f t="shared" si="18"/>
        <v>1</v>
      </c>
      <c r="L38" s="601"/>
      <c r="M38" s="13">
        <f t="shared" si="19"/>
        <v>1</v>
      </c>
      <c r="N38" s="601"/>
      <c r="O38" s="13">
        <f t="shared" si="20"/>
        <v>1</v>
      </c>
      <c r="P38" s="3194" t="s">
        <v>2984</v>
      </c>
      <c r="Q38" s="13">
        <f t="shared" si="21"/>
        <v>1</v>
      </c>
      <c r="R38" s="597">
        <f t="shared" ca="1" si="26"/>
        <v>28538</v>
      </c>
      <c r="S38" s="250">
        <f t="shared" ca="1" si="27"/>
        <v>2533889</v>
      </c>
      <c r="T38" s="901">
        <f t="shared" ca="1" si="28"/>
        <v>253</v>
      </c>
      <c r="U38" s="2989">
        <f t="shared" si="22"/>
        <v>0</v>
      </c>
      <c r="V38" s="2989">
        <f t="shared" si="23"/>
        <v>0</v>
      </c>
      <c r="W38" s="998"/>
      <c r="X38" s="2989">
        <f t="shared" si="24"/>
        <v>0</v>
      </c>
      <c r="Y38" s="2989">
        <f t="shared" si="25"/>
        <v>0</v>
      </c>
      <c r="Z38" s="998"/>
    </row>
    <row r="39" spans="1:26">
      <c r="A39" s="599">
        <f>面积清单!B15</f>
        <v>913</v>
      </c>
      <c r="B39" s="20">
        <f>面积清单!C15</f>
        <v>84.75</v>
      </c>
      <c r="C39" s="13">
        <f t="shared" si="14"/>
        <v>1.01</v>
      </c>
      <c r="D39" s="601"/>
      <c r="E39" s="13">
        <f t="shared" si="15"/>
        <v>1</v>
      </c>
      <c r="F39" s="601"/>
      <c r="G39" s="13">
        <f t="shared" si="16"/>
        <v>1</v>
      </c>
      <c r="H39" s="601"/>
      <c r="I39" s="13">
        <f t="shared" si="17"/>
        <v>1</v>
      </c>
      <c r="J39" s="601"/>
      <c r="K39" s="13">
        <f t="shared" si="18"/>
        <v>1</v>
      </c>
      <c r="L39" s="601"/>
      <c r="M39" s="13">
        <f t="shared" si="19"/>
        <v>1</v>
      </c>
      <c r="N39" s="601"/>
      <c r="O39" s="13">
        <f t="shared" si="20"/>
        <v>1</v>
      </c>
      <c r="P39" s="3194" t="s">
        <v>2983</v>
      </c>
      <c r="Q39" s="13">
        <f t="shared" si="21"/>
        <v>1</v>
      </c>
      <c r="R39" s="597">
        <f t="shared" ca="1" si="26"/>
        <v>28538</v>
      </c>
      <c r="S39" s="250">
        <f t="shared" ca="1" si="27"/>
        <v>2418596</v>
      </c>
      <c r="T39" s="901">
        <f t="shared" ca="1" si="28"/>
        <v>242</v>
      </c>
      <c r="U39" s="2989">
        <f t="shared" si="22"/>
        <v>0</v>
      </c>
      <c r="V39" s="2989">
        <f t="shared" si="23"/>
        <v>0</v>
      </c>
      <c r="W39" s="998"/>
      <c r="X39" s="2989">
        <f t="shared" si="24"/>
        <v>0</v>
      </c>
      <c r="Y39" s="2989">
        <f t="shared" si="25"/>
        <v>0</v>
      </c>
      <c r="Z39" s="998"/>
    </row>
    <row r="40" spans="1:26">
      <c r="A40" s="599">
        <f>面积清单!B16</f>
        <v>914</v>
      </c>
      <c r="B40" s="20">
        <f>面积清单!C16</f>
        <v>77.17</v>
      </c>
      <c r="C40" s="13">
        <f t="shared" si="14"/>
        <v>1.02</v>
      </c>
      <c r="D40" s="601"/>
      <c r="E40" s="13">
        <f t="shared" si="15"/>
        <v>1</v>
      </c>
      <c r="F40" s="601"/>
      <c r="G40" s="13">
        <f t="shared" si="16"/>
        <v>1</v>
      </c>
      <c r="H40" s="601"/>
      <c r="I40" s="13">
        <f t="shared" si="17"/>
        <v>1</v>
      </c>
      <c r="J40" s="601"/>
      <c r="K40" s="13">
        <f t="shared" si="18"/>
        <v>1</v>
      </c>
      <c r="L40" s="601"/>
      <c r="M40" s="13">
        <f t="shared" si="19"/>
        <v>1</v>
      </c>
      <c r="N40" s="601"/>
      <c r="O40" s="13">
        <f t="shared" si="20"/>
        <v>1</v>
      </c>
      <c r="P40" s="3194" t="s">
        <v>2984</v>
      </c>
      <c r="Q40" s="13">
        <f t="shared" si="21"/>
        <v>1</v>
      </c>
      <c r="R40" s="597">
        <f t="shared" ca="1" si="26"/>
        <v>28820</v>
      </c>
      <c r="S40" s="250">
        <f t="shared" ca="1" si="27"/>
        <v>2224039</v>
      </c>
      <c r="T40" s="901">
        <f t="shared" ca="1" si="28"/>
        <v>222</v>
      </c>
      <c r="U40" s="2989">
        <f t="shared" si="22"/>
        <v>0</v>
      </c>
      <c r="V40" s="2989">
        <f t="shared" si="23"/>
        <v>0</v>
      </c>
      <c r="W40" s="998"/>
      <c r="X40" s="2989">
        <f t="shared" si="24"/>
        <v>0</v>
      </c>
      <c r="Y40" s="2989">
        <f t="shared" si="25"/>
        <v>0</v>
      </c>
      <c r="Z40" s="998"/>
    </row>
    <row r="41" spans="1:26">
      <c r="A41" s="599">
        <f>面积清单!B17</f>
        <v>915</v>
      </c>
      <c r="B41" s="20">
        <f>面积清单!C17</f>
        <v>84.11</v>
      </c>
      <c r="C41" s="13">
        <f t="shared" si="14"/>
        <v>1.01</v>
      </c>
      <c r="D41" s="601"/>
      <c r="E41" s="13">
        <f t="shared" si="15"/>
        <v>1</v>
      </c>
      <c r="F41" s="601"/>
      <c r="G41" s="13">
        <f t="shared" si="16"/>
        <v>1</v>
      </c>
      <c r="H41" s="601"/>
      <c r="I41" s="13">
        <f t="shared" si="17"/>
        <v>1</v>
      </c>
      <c r="J41" s="601"/>
      <c r="K41" s="13">
        <f t="shared" si="18"/>
        <v>1</v>
      </c>
      <c r="L41" s="601"/>
      <c r="M41" s="13">
        <f t="shared" si="19"/>
        <v>1</v>
      </c>
      <c r="N41" s="601"/>
      <c r="O41" s="13">
        <f t="shared" si="20"/>
        <v>1</v>
      </c>
      <c r="P41" s="3194" t="s">
        <v>2983</v>
      </c>
      <c r="Q41" s="13">
        <f t="shared" si="21"/>
        <v>1</v>
      </c>
      <c r="R41" s="597">
        <f t="shared" ca="1" si="26"/>
        <v>28538</v>
      </c>
      <c r="S41" s="250">
        <f t="shared" ca="1" si="27"/>
        <v>2400331</v>
      </c>
      <c r="T41" s="901">
        <f t="shared" ca="1" si="28"/>
        <v>240</v>
      </c>
      <c r="U41" s="2989">
        <f t="shared" si="22"/>
        <v>0</v>
      </c>
      <c r="V41" s="2989">
        <f t="shared" si="23"/>
        <v>0</v>
      </c>
      <c r="W41" s="998"/>
      <c r="X41" s="2989">
        <f t="shared" si="24"/>
        <v>0</v>
      </c>
      <c r="Y41" s="2989">
        <f t="shared" si="25"/>
        <v>0</v>
      </c>
      <c r="Z41" s="998"/>
    </row>
    <row r="42" spans="1:26">
      <c r="A42" s="599">
        <f>面积清单!B18</f>
        <v>916</v>
      </c>
      <c r="B42" s="20">
        <f>面积清单!C18</f>
        <v>67.489999999999995</v>
      </c>
      <c r="C42" s="13">
        <f t="shared" si="14"/>
        <v>1.02</v>
      </c>
      <c r="D42" s="601"/>
      <c r="E42" s="13">
        <f t="shared" si="15"/>
        <v>1</v>
      </c>
      <c r="F42" s="601"/>
      <c r="G42" s="13">
        <f t="shared" si="16"/>
        <v>1</v>
      </c>
      <c r="H42" s="601"/>
      <c r="I42" s="13">
        <f t="shared" si="17"/>
        <v>1</v>
      </c>
      <c r="J42" s="601"/>
      <c r="K42" s="13">
        <f t="shared" si="18"/>
        <v>1</v>
      </c>
      <c r="L42" s="601"/>
      <c r="M42" s="13">
        <f t="shared" si="19"/>
        <v>1</v>
      </c>
      <c r="N42" s="601"/>
      <c r="O42" s="13">
        <f t="shared" si="20"/>
        <v>1</v>
      </c>
      <c r="P42" s="3194" t="s">
        <v>2984</v>
      </c>
      <c r="Q42" s="13">
        <f t="shared" si="21"/>
        <v>1</v>
      </c>
      <c r="R42" s="597">
        <f t="shared" ca="1" si="26"/>
        <v>28820</v>
      </c>
      <c r="S42" s="250">
        <f t="shared" ca="1" si="27"/>
        <v>1945062</v>
      </c>
      <c r="T42" s="901">
        <f t="shared" ca="1" si="28"/>
        <v>195</v>
      </c>
      <c r="U42" s="2989">
        <f t="shared" si="22"/>
        <v>0</v>
      </c>
      <c r="V42" s="2989">
        <f t="shared" si="23"/>
        <v>0</v>
      </c>
      <c r="W42" s="998"/>
      <c r="X42" s="2989">
        <f t="shared" si="24"/>
        <v>0</v>
      </c>
      <c r="Y42" s="2989">
        <f t="shared" si="25"/>
        <v>0</v>
      </c>
      <c r="Z42" s="998"/>
    </row>
    <row r="43" spans="1:26">
      <c r="A43" s="599"/>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599"/>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7"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2238</v>
      </c>
      <c r="B1" s="1638" t="s">
        <v>2239</v>
      </c>
      <c r="C1" s="1639"/>
      <c r="D1" s="1640"/>
      <c r="E1" s="1641" t="s">
        <v>1224</v>
      </c>
      <c r="F1" s="1642" t="s">
        <v>2240</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1911</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1"/>
      <c r="I2" s="2991"/>
      <c r="J2" s="2991"/>
      <c r="K2" s="2992"/>
      <c r="L2" s="2993"/>
      <c r="M2" s="2991"/>
      <c r="N2" s="2991"/>
      <c r="O2" s="2991"/>
      <c r="P2" s="1656"/>
      <c r="Q2" s="1657"/>
      <c r="R2" s="1657"/>
      <c r="S2" s="1657"/>
      <c r="T2" s="1657"/>
      <c r="U2" s="1657"/>
      <c r="V2" s="1657"/>
      <c r="W2" s="1657"/>
      <c r="X2" s="1657"/>
      <c r="Y2" s="1657"/>
      <c r="Z2" s="1657"/>
      <c r="AA2" s="1657"/>
      <c r="AB2" s="1657"/>
      <c r="AC2" s="1658"/>
    </row>
    <row r="3" spans="1:29" s="277" customFormat="1" ht="28.5" customHeight="1" thickBot="1">
      <c r="A3" s="1659" t="s">
        <v>1912</v>
      </c>
      <c r="B3" s="1660" t="e">
        <f ca="1">ROUND(IF(D2="——",C49,IF(C2="万元",B2*10000/D3,B2/D3)),0)</f>
        <v>#DIV/0!</v>
      </c>
      <c r="C3" s="1660" t="s">
        <v>2241</v>
      </c>
      <c r="D3" s="1660">
        <f>IF(C1="仅计算典型户型",'数据-取费表'!E5,'数据-取费表'!B5)</f>
        <v>1642.01</v>
      </c>
      <c r="E3" s="2991"/>
      <c r="F3" s="2994"/>
      <c r="G3" s="2991"/>
      <c r="H3" s="2991"/>
      <c r="I3" s="2991"/>
      <c r="J3" s="2991"/>
      <c r="K3" s="2992"/>
      <c r="L3" s="2993"/>
      <c r="M3" s="2991"/>
      <c r="N3" s="2991"/>
      <c r="O3" s="2991"/>
      <c r="P3" s="1661"/>
      <c r="Q3" s="1657"/>
      <c r="R3" s="1657"/>
      <c r="S3" s="1657"/>
      <c r="T3" s="1657"/>
      <c r="U3" s="1657"/>
      <c r="V3" s="1657"/>
      <c r="W3" s="1657"/>
      <c r="X3" s="1657"/>
      <c r="Y3" s="1657"/>
      <c r="Z3" s="1657"/>
      <c r="AA3" s="1657"/>
      <c r="AB3" s="1657"/>
      <c r="AC3" s="1662"/>
    </row>
    <row r="4" spans="1:29" ht="15">
      <c r="A4" s="1663" t="s">
        <v>2242</v>
      </c>
      <c r="B4" s="1664"/>
      <c r="C4" s="3434" t="s">
        <v>2243</v>
      </c>
      <c r="D4" s="3435"/>
      <c r="E4" s="3436" t="s">
        <v>2244</v>
      </c>
      <c r="F4" s="3437"/>
      <c r="G4" s="3434" t="s">
        <v>2245</v>
      </c>
      <c r="H4" s="3435"/>
      <c r="I4" s="3434" t="s">
        <v>2246</v>
      </c>
      <c r="J4" s="3435"/>
      <c r="K4" s="1665" t="s">
        <v>2247</v>
      </c>
      <c r="L4" s="2995"/>
      <c r="M4" s="2996"/>
      <c r="N4" s="2996"/>
      <c r="O4" s="2996"/>
      <c r="P4" s="3438" t="s">
        <v>2248</v>
      </c>
      <c r="Q4" s="3439"/>
      <c r="R4" s="3422" t="s">
        <v>2244</v>
      </c>
      <c r="S4" s="3423"/>
      <c r="T4" s="3422" t="s">
        <v>2245</v>
      </c>
      <c r="U4" s="3423"/>
      <c r="V4" s="3444" t="s">
        <v>2246</v>
      </c>
      <c r="W4" s="3444"/>
      <c r="X4" s="1666"/>
      <c r="Y4" s="3422" t="s">
        <v>2248</v>
      </c>
      <c r="Z4" s="3423"/>
      <c r="AA4" s="3431" t="s">
        <v>2244</v>
      </c>
      <c r="AB4" s="3431" t="s">
        <v>2245</v>
      </c>
      <c r="AC4" s="3431" t="s">
        <v>2246</v>
      </c>
    </row>
    <row r="5" spans="1:29" ht="15">
      <c r="A5" s="1668"/>
      <c r="B5" s="1669"/>
      <c r="C5" s="3447" t="s">
        <v>2249</v>
      </c>
      <c r="D5" s="3448"/>
      <c r="E5" s="3491" t="s">
        <v>2250</v>
      </c>
      <c r="F5" s="3446"/>
      <c r="G5" s="3447" t="s">
        <v>2251</v>
      </c>
      <c r="H5" s="3448"/>
      <c r="I5" s="3447" t="s">
        <v>2252</v>
      </c>
      <c r="J5" s="3448"/>
      <c r="K5" s="1670"/>
      <c r="L5" s="2995"/>
      <c r="M5" s="2996"/>
      <c r="N5" s="2996"/>
      <c r="O5" s="2996"/>
      <c r="P5" s="3440"/>
      <c r="Q5" s="3441"/>
      <c r="R5" s="3424"/>
      <c r="S5" s="3425"/>
      <c r="T5" s="3424"/>
      <c r="U5" s="3425"/>
      <c r="V5" s="3444"/>
      <c r="W5" s="3444"/>
      <c r="X5" s="1666"/>
      <c r="Y5" s="3424"/>
      <c r="Z5" s="3425"/>
      <c r="AA5" s="3432"/>
      <c r="AB5" s="3432"/>
      <c r="AC5" s="3432"/>
    </row>
    <row r="6" spans="1:29" ht="15.75" thickBot="1">
      <c r="A6" s="1671"/>
      <c r="B6" s="1672"/>
      <c r="C6" s="3449" t="s">
        <v>2253</v>
      </c>
      <c r="D6" s="3450"/>
      <c r="E6" s="3452" t="s">
        <v>2253</v>
      </c>
      <c r="F6" s="3453"/>
      <c r="G6" s="3449" t="s">
        <v>2253</v>
      </c>
      <c r="H6" s="3450"/>
      <c r="I6" s="3449" t="s">
        <v>2253</v>
      </c>
      <c r="J6" s="3450"/>
      <c r="K6" s="1670" t="s">
        <v>2254</v>
      </c>
      <c r="L6" s="2995"/>
      <c r="M6" s="2996"/>
      <c r="N6" s="2996"/>
      <c r="O6" s="2996"/>
      <c r="P6" s="3442"/>
      <c r="Q6" s="3443"/>
      <c r="R6" s="3424"/>
      <c r="S6" s="3425"/>
      <c r="T6" s="3426"/>
      <c r="U6" s="3427"/>
      <c r="V6" s="3444"/>
      <c r="W6" s="3444"/>
      <c r="X6" s="1666"/>
      <c r="Y6" s="3426"/>
      <c r="Z6" s="3427"/>
      <c r="AA6" s="3433"/>
      <c r="AB6" s="3433"/>
      <c r="AC6" s="3433"/>
    </row>
    <row r="7" spans="1:29" s="1685" customFormat="1" ht="15.75" thickBot="1">
      <c r="A7" s="1673" t="s">
        <v>2255</v>
      </c>
      <c r="B7" s="1674"/>
      <c r="C7" s="1675">
        <f>'数据-取费表'!B2</f>
        <v>44547</v>
      </c>
      <c r="D7" s="1676">
        <v>100</v>
      </c>
      <c r="E7" s="1677"/>
      <c r="F7" s="1678">
        <f>SUMIF(58:58,YEAR(E7)&amp;"-"&amp;MONTH(E7),59:59)</f>
        <v>0</v>
      </c>
      <c r="G7" s="1677"/>
      <c r="H7" s="1676">
        <f>SUMIF(58:58,YEAR(G7)&amp;"-"&amp;MONTH(G7),59:59)</f>
        <v>0</v>
      </c>
      <c r="I7" s="1677"/>
      <c r="J7" s="1676">
        <f>SUMIF(58:58,YEAR(I7)&amp;"-"&amp;MONTH(I7),59:59)</f>
        <v>0</v>
      </c>
      <c r="K7" s="1679"/>
      <c r="L7" s="2995"/>
      <c r="M7" s="2968"/>
      <c r="N7" s="2968"/>
      <c r="O7" s="2968"/>
      <c r="P7" s="3420" t="s">
        <v>2256</v>
      </c>
      <c r="Q7" s="3428"/>
      <c r="R7" s="1681" t="s">
        <v>34</v>
      </c>
      <c r="S7" s="1682">
        <f t="shared" ref="S7:S15" si="0">F7</f>
        <v>0</v>
      </c>
      <c r="T7" s="1681" t="s">
        <v>34</v>
      </c>
      <c r="U7" s="1682">
        <f t="shared" ref="U7:U15" si="1">H7</f>
        <v>0</v>
      </c>
      <c r="V7" s="1681" t="s">
        <v>34</v>
      </c>
      <c r="W7" s="1682">
        <f t="shared" ref="W7:W15" si="2">J7</f>
        <v>0</v>
      </c>
      <c r="X7" s="1683"/>
      <c r="Y7" s="3420" t="s">
        <v>2256</v>
      </c>
      <c r="Z7" s="3421"/>
      <c r="AA7" s="1684" t="e">
        <f>D7/F7</f>
        <v>#DIV/0!</v>
      </c>
      <c r="AB7" s="1684" t="e">
        <f>D7/H7</f>
        <v>#DIV/0!</v>
      </c>
      <c r="AC7" s="1684" t="e">
        <f>D7/J7</f>
        <v>#DIV/0!</v>
      </c>
    </row>
    <row r="8" spans="1:29" s="1685" customFormat="1" ht="15.75" thickBot="1">
      <c r="A8" s="1673" t="s">
        <v>2257</v>
      </c>
      <c r="B8" s="1674"/>
      <c r="C8" s="1686" t="s">
        <v>2258</v>
      </c>
      <c r="D8" s="1676">
        <v>100</v>
      </c>
      <c r="E8" s="1687"/>
      <c r="F8" s="1678">
        <f>SUMIF(61:61,E8,62:62)-SUMIF(61:61,C8,62:62)+100</f>
        <v>0</v>
      </c>
      <c r="G8" s="1686"/>
      <c r="H8" s="1676">
        <f>SUMIF(61:61,G8,62:62)-SUMIF(61:61,C8,62:62)+100</f>
        <v>0</v>
      </c>
      <c r="I8" s="1687"/>
      <c r="J8" s="1676">
        <f>SUMIF(61:61,I8,62:62)-SUMIF(61:61,C8,62:62)+100</f>
        <v>0</v>
      </c>
      <c r="K8" s="1679"/>
      <c r="L8" s="2995"/>
      <c r="M8" s="2968"/>
      <c r="N8" s="2968"/>
      <c r="O8" s="2968"/>
      <c r="P8" s="3420" t="s">
        <v>2259</v>
      </c>
      <c r="Q8" s="3421"/>
      <c r="R8" s="1681" t="s">
        <v>34</v>
      </c>
      <c r="S8" s="1682">
        <f t="shared" si="0"/>
        <v>0</v>
      </c>
      <c r="T8" s="1681" t="s">
        <v>34</v>
      </c>
      <c r="U8" s="1682">
        <f t="shared" si="1"/>
        <v>0</v>
      </c>
      <c r="V8" s="1681" t="s">
        <v>34</v>
      </c>
      <c r="W8" s="1682">
        <f t="shared" si="2"/>
        <v>0</v>
      </c>
      <c r="X8" s="1683"/>
      <c r="Y8" s="3420" t="s">
        <v>2259</v>
      </c>
      <c r="Z8" s="3421"/>
      <c r="AA8" s="1684" t="e">
        <f t="shared" ref="AA8:AA46" si="3">D8/F8</f>
        <v>#DIV/0!</v>
      </c>
      <c r="AB8" s="1684" t="e">
        <f t="shared" ref="AB8:AB46" si="4">D8/H8</f>
        <v>#DIV/0!</v>
      </c>
      <c r="AC8" s="1684" t="e">
        <f t="shared" ref="AC8:AC46" si="5">D8/J8</f>
        <v>#DIV/0!</v>
      </c>
    </row>
    <row r="9" spans="1:29" s="1685" customFormat="1">
      <c r="A9" s="1636" t="s">
        <v>2260</v>
      </c>
      <c r="B9" s="1688" t="s">
        <v>2261</v>
      </c>
      <c r="C9" s="1689"/>
      <c r="D9" s="1690">
        <v>100</v>
      </c>
      <c r="E9" s="1691"/>
      <c r="F9" s="1692">
        <f>SUMIF(63:63,E9,64:64)-SUMIF(63:63,C9,64:64)+100</f>
        <v>100</v>
      </c>
      <c r="G9" s="1693"/>
      <c r="H9" s="1690">
        <f>SUMIF(63:63,G9,64:64)-SUMIF(63:63,C9,64:64)+100</f>
        <v>100</v>
      </c>
      <c r="I9" s="1693"/>
      <c r="J9" s="1690">
        <f>SUMIF(63:63,I9,64:64)-SUMIF(63:63,C9,64:64)+100</f>
        <v>100</v>
      </c>
      <c r="K9" s="1679"/>
      <c r="L9" s="2995"/>
      <c r="M9" s="2968"/>
      <c r="N9" s="2968"/>
      <c r="O9" s="2968"/>
      <c r="P9" s="3490" t="s">
        <v>2262</v>
      </c>
      <c r="Q9" s="1635" t="str">
        <f t="shared" ref="Q9:Q15" si="6">B9</f>
        <v>用途</v>
      </c>
      <c r="R9" s="1681" t="s">
        <v>25</v>
      </c>
      <c r="S9" s="1682">
        <f t="shared" si="0"/>
        <v>100</v>
      </c>
      <c r="T9" s="1681" t="s">
        <v>25</v>
      </c>
      <c r="U9" s="1682">
        <f t="shared" si="1"/>
        <v>100</v>
      </c>
      <c r="V9" s="1681" t="s">
        <v>25</v>
      </c>
      <c r="W9" s="1682">
        <f t="shared" si="2"/>
        <v>100</v>
      </c>
      <c r="X9" s="1683"/>
      <c r="Y9" s="3386" t="s">
        <v>2263</v>
      </c>
      <c r="Z9" s="1694" t="str">
        <f t="shared" ref="Z9:Z15" si="7">Q9</f>
        <v>用途</v>
      </c>
      <c r="AA9" s="1684">
        <f t="shared" si="3"/>
        <v>1</v>
      </c>
      <c r="AB9" s="1684">
        <f t="shared" si="4"/>
        <v>1</v>
      </c>
      <c r="AC9" s="1684">
        <f t="shared" si="5"/>
        <v>1</v>
      </c>
    </row>
    <row r="10" spans="1:29" s="1702" customFormat="1" ht="27">
      <c r="A10" s="1695"/>
      <c r="B10" s="1696" t="s">
        <v>2264</v>
      </c>
      <c r="C10" s="1697"/>
      <c r="D10" s="1698">
        <v>100</v>
      </c>
      <c r="E10" s="1699"/>
      <c r="F10" s="1700">
        <f>SUMIF(65:65,E10,66:66)-SUMIF(65:65,C10,66:66)+100</f>
        <v>100</v>
      </c>
      <c r="G10" s="1697"/>
      <c r="H10" s="1698">
        <f>SUMIF(65:65,G10,66:66)-SUMIF(65:65,C10,66:66)+100</f>
        <v>100</v>
      </c>
      <c r="I10" s="1697"/>
      <c r="J10" s="1698">
        <f>SUMIF(65:65,I10,66:66)-SUMIF(65:65,C10,66:66)+100</f>
        <v>100</v>
      </c>
      <c r="K10" s="1701"/>
      <c r="L10" s="2997"/>
      <c r="M10" s="2998"/>
      <c r="N10" s="2998"/>
      <c r="O10" s="2998"/>
      <c r="P10" s="3490"/>
      <c r="Q10" s="1635" t="str">
        <f t="shared" si="6"/>
        <v>土地使用年限（年）</v>
      </c>
      <c r="R10" s="1681" t="s">
        <v>25</v>
      </c>
      <c r="S10" s="1682">
        <f t="shared" si="0"/>
        <v>100</v>
      </c>
      <c r="T10" s="1681" t="s">
        <v>25</v>
      </c>
      <c r="U10" s="1682">
        <f t="shared" si="1"/>
        <v>100</v>
      </c>
      <c r="V10" s="1681" t="s">
        <v>25</v>
      </c>
      <c r="W10" s="1682">
        <f t="shared" si="2"/>
        <v>100</v>
      </c>
      <c r="X10" s="1683"/>
      <c r="Y10" s="3386"/>
      <c r="Z10" s="1694" t="str">
        <f t="shared" si="7"/>
        <v>土地使用年限（年）</v>
      </c>
      <c r="AA10" s="1684">
        <f t="shared" si="3"/>
        <v>1</v>
      </c>
      <c r="AB10" s="1684">
        <f t="shared" si="4"/>
        <v>1</v>
      </c>
      <c r="AC10" s="1684">
        <f t="shared" si="5"/>
        <v>1</v>
      </c>
    </row>
    <row r="11" spans="1:29" ht="15">
      <c r="A11" s="1703"/>
      <c r="B11" s="1696" t="s">
        <v>2265</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2999"/>
      <c r="M11" s="2996"/>
      <c r="N11" s="2996"/>
      <c r="O11" s="2996"/>
      <c r="P11" s="3490"/>
      <c r="Q11" s="1635" t="str">
        <f t="shared" si="6"/>
        <v>容积率</v>
      </c>
      <c r="R11" s="1681" t="s">
        <v>28</v>
      </c>
      <c r="S11" s="1682" t="e">
        <f t="shared" si="0"/>
        <v>#N/A</v>
      </c>
      <c r="T11" s="1681" t="s">
        <v>28</v>
      </c>
      <c r="U11" s="1682" t="e">
        <f t="shared" si="1"/>
        <v>#N/A</v>
      </c>
      <c r="V11" s="1681" t="s">
        <v>28</v>
      </c>
      <c r="W11" s="1682" t="e">
        <f t="shared" si="2"/>
        <v>#N/A</v>
      </c>
      <c r="X11" s="1683"/>
      <c r="Y11" s="338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5"/>
      <c r="M12" s="2968"/>
      <c r="N12" s="2968"/>
      <c r="O12" s="2968"/>
      <c r="P12" s="3490"/>
      <c r="Q12" s="1635">
        <f t="shared" si="6"/>
        <v>111</v>
      </c>
      <c r="R12" s="1681" t="s">
        <v>28</v>
      </c>
      <c r="S12" s="1682">
        <f t="shared" si="0"/>
        <v>100</v>
      </c>
      <c r="T12" s="1681" t="s">
        <v>28</v>
      </c>
      <c r="U12" s="1682">
        <f t="shared" si="1"/>
        <v>100</v>
      </c>
      <c r="V12" s="1681" t="s">
        <v>28</v>
      </c>
      <c r="W12" s="1682">
        <f t="shared" si="2"/>
        <v>100</v>
      </c>
      <c r="X12" s="1683"/>
      <c r="Y12" s="3386"/>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0"/>
      <c r="M13" s="2996"/>
      <c r="N13" s="2996"/>
      <c r="O13" s="2996"/>
      <c r="P13" s="3490"/>
      <c r="Q13" s="1635">
        <f t="shared" si="6"/>
        <v>111</v>
      </c>
      <c r="R13" s="1681" t="s">
        <v>28</v>
      </c>
      <c r="S13" s="1682">
        <f t="shared" si="0"/>
        <v>100</v>
      </c>
      <c r="T13" s="1681" t="s">
        <v>28</v>
      </c>
      <c r="U13" s="1682">
        <f t="shared" si="1"/>
        <v>100</v>
      </c>
      <c r="V13" s="1681" t="s">
        <v>28</v>
      </c>
      <c r="W13" s="1682">
        <f t="shared" si="2"/>
        <v>100</v>
      </c>
      <c r="X13" s="1683"/>
      <c r="Y13" s="3386"/>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0"/>
      <c r="M14" s="2996"/>
      <c r="N14" s="2996"/>
      <c r="O14" s="2996"/>
      <c r="P14" s="3490"/>
      <c r="Q14" s="1635">
        <f t="shared" si="6"/>
        <v>111</v>
      </c>
      <c r="R14" s="1681" t="s">
        <v>28</v>
      </c>
      <c r="S14" s="1682">
        <f t="shared" si="0"/>
        <v>100</v>
      </c>
      <c r="T14" s="1681" t="s">
        <v>28</v>
      </c>
      <c r="U14" s="1682">
        <f t="shared" si="1"/>
        <v>100</v>
      </c>
      <c r="V14" s="1681" t="s">
        <v>28</v>
      </c>
      <c r="W14" s="1682">
        <f t="shared" si="2"/>
        <v>100</v>
      </c>
      <c r="X14" s="1683"/>
      <c r="Y14" s="3386"/>
      <c r="Z14" s="1694">
        <f t="shared" si="7"/>
        <v>111</v>
      </c>
      <c r="AA14" s="1684">
        <f t="shared" si="3"/>
        <v>1</v>
      </c>
      <c r="AB14" s="1684">
        <f t="shared" si="4"/>
        <v>1</v>
      </c>
      <c r="AC14" s="1684">
        <f t="shared" si="5"/>
        <v>1</v>
      </c>
    </row>
    <row r="15" spans="1:29" ht="99.75">
      <c r="A15" s="1718" t="s">
        <v>2266</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0"/>
      <c r="M15" s="2996"/>
      <c r="N15" s="2996"/>
      <c r="O15" s="2996"/>
      <c r="P15" s="3485" t="s">
        <v>2267</v>
      </c>
      <c r="Q15" s="1616" t="str">
        <f t="shared" si="6"/>
        <v>居住社区成熟度</v>
      </c>
      <c r="R15" s="1726" t="s">
        <v>28</v>
      </c>
      <c r="S15" s="1727">
        <f t="shared" si="0"/>
        <v>100</v>
      </c>
      <c r="T15" s="1726" t="s">
        <v>28</v>
      </c>
      <c r="U15" s="1727">
        <f t="shared" si="1"/>
        <v>100</v>
      </c>
      <c r="V15" s="1726" t="s">
        <v>28</v>
      </c>
      <c r="W15" s="1727">
        <f t="shared" si="2"/>
        <v>100</v>
      </c>
      <c r="X15" s="1666"/>
      <c r="Y15" s="3429" t="s">
        <v>2267</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0"/>
      <c r="M16" s="2996"/>
      <c r="N16" s="2996"/>
      <c r="O16" s="2996"/>
      <c r="P16" s="3486"/>
      <c r="Q16" s="1616"/>
      <c r="R16" s="1726"/>
      <c r="S16" s="1727"/>
      <c r="T16" s="1726"/>
      <c r="U16" s="1727"/>
      <c r="V16" s="1726"/>
      <c r="W16" s="1727"/>
      <c r="X16" s="1666"/>
      <c r="Y16" s="3430"/>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0"/>
      <c r="M17" s="2996"/>
      <c r="N17" s="2996"/>
      <c r="O17" s="2996"/>
      <c r="P17" s="3486"/>
      <c r="Q17" s="1616" t="str">
        <f>B17</f>
        <v>交通便捷度</v>
      </c>
      <c r="R17" s="1726" t="s">
        <v>28</v>
      </c>
      <c r="S17" s="1727">
        <f>F17</f>
        <v>100</v>
      </c>
      <c r="T17" s="1726" t="s">
        <v>28</v>
      </c>
      <c r="U17" s="1727">
        <f>H17</f>
        <v>100</v>
      </c>
      <c r="V17" s="1726" t="s">
        <v>28</v>
      </c>
      <c r="W17" s="1727">
        <f>J17</f>
        <v>100</v>
      </c>
      <c r="X17" s="1666"/>
      <c r="Y17" s="3430"/>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0"/>
      <c r="M18" s="2996"/>
      <c r="N18" s="2996"/>
      <c r="O18" s="2996"/>
      <c r="P18" s="3486"/>
      <c r="Q18" s="1616"/>
      <c r="R18" s="1726"/>
      <c r="S18" s="1727"/>
      <c r="T18" s="1726"/>
      <c r="U18" s="1727"/>
      <c r="V18" s="1726"/>
      <c r="W18" s="1727"/>
      <c r="X18" s="1666"/>
      <c r="Y18" s="3430"/>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0"/>
      <c r="M19" s="2996"/>
      <c r="N19" s="2996"/>
      <c r="O19" s="2996"/>
      <c r="P19" s="3486"/>
      <c r="Q19" s="1616" t="str">
        <f>B19</f>
        <v>公共配套设施</v>
      </c>
      <c r="R19" s="1726" t="s">
        <v>28</v>
      </c>
      <c r="S19" s="1727">
        <f>F19</f>
        <v>100</v>
      </c>
      <c r="T19" s="1726" t="s">
        <v>28</v>
      </c>
      <c r="U19" s="1727">
        <f>H19</f>
        <v>100</v>
      </c>
      <c r="V19" s="1726" t="s">
        <v>28</v>
      </c>
      <c r="W19" s="1727">
        <f>J19</f>
        <v>100</v>
      </c>
      <c r="X19" s="1666"/>
      <c r="Y19" s="3430"/>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0"/>
      <c r="M20" s="2996"/>
      <c r="N20" s="2996"/>
      <c r="O20" s="2996"/>
      <c r="P20" s="3486"/>
      <c r="Q20" s="1616"/>
      <c r="R20" s="1726"/>
      <c r="S20" s="1727"/>
      <c r="T20" s="1726"/>
      <c r="U20" s="1727"/>
      <c r="V20" s="1726"/>
      <c r="W20" s="1727"/>
      <c r="X20" s="1666"/>
      <c r="Y20" s="3430"/>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0"/>
      <c r="M21" s="2996"/>
      <c r="N21" s="2996"/>
      <c r="O21" s="2996"/>
      <c r="P21" s="3486"/>
      <c r="Q21" s="1616" t="str">
        <f>B21</f>
        <v>基础设施水平</v>
      </c>
      <c r="R21" s="1726" t="s">
        <v>28</v>
      </c>
      <c r="S21" s="1727">
        <f>F21</f>
        <v>100</v>
      </c>
      <c r="T21" s="1726" t="s">
        <v>28</v>
      </c>
      <c r="U21" s="1727">
        <f>H21</f>
        <v>100</v>
      </c>
      <c r="V21" s="1726" t="s">
        <v>28</v>
      </c>
      <c r="W21" s="1727">
        <f>J21</f>
        <v>100</v>
      </c>
      <c r="X21" s="1666"/>
      <c r="Y21" s="3430"/>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0"/>
      <c r="M22" s="2996"/>
      <c r="N22" s="2996"/>
      <c r="O22" s="2996"/>
      <c r="P22" s="3486"/>
      <c r="Q22" s="1616"/>
      <c r="R22" s="1726"/>
      <c r="S22" s="1727"/>
      <c r="T22" s="1726"/>
      <c r="U22" s="1727"/>
      <c r="V22" s="1726"/>
      <c r="W22" s="1727"/>
      <c r="X22" s="1666"/>
      <c r="Y22" s="3430"/>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0"/>
      <c r="M23" s="2996"/>
      <c r="N23" s="2996"/>
      <c r="O23" s="2996"/>
      <c r="P23" s="3486"/>
      <c r="Q23" s="1616" t="str">
        <f>B23</f>
        <v>自然及人文环境</v>
      </c>
      <c r="R23" s="1726" t="s">
        <v>28</v>
      </c>
      <c r="S23" s="1727">
        <f>F23</f>
        <v>100</v>
      </c>
      <c r="T23" s="1726" t="s">
        <v>28</v>
      </c>
      <c r="U23" s="1727">
        <f>H23</f>
        <v>100</v>
      </c>
      <c r="V23" s="1726" t="s">
        <v>28</v>
      </c>
      <c r="W23" s="1727">
        <f>J23</f>
        <v>100</v>
      </c>
      <c r="X23" s="1666"/>
      <c r="Y23" s="3430"/>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0"/>
      <c r="M24" s="2996"/>
      <c r="N24" s="2996"/>
      <c r="O24" s="2996"/>
      <c r="P24" s="3486"/>
      <c r="Q24" s="1616"/>
      <c r="R24" s="1726"/>
      <c r="S24" s="1727"/>
      <c r="T24" s="1726"/>
      <c r="U24" s="1727"/>
      <c r="V24" s="1726"/>
      <c r="W24" s="1727"/>
      <c r="X24" s="1666"/>
      <c r="Y24" s="3430"/>
      <c r="Z24" s="1728"/>
      <c r="AA24" s="1729">
        <v>1</v>
      </c>
      <c r="AB24" s="1729">
        <v>1</v>
      </c>
      <c r="AC24" s="1729">
        <v>1</v>
      </c>
    </row>
    <row r="25" spans="1:29" ht="15">
      <c r="A25" s="1703"/>
      <c r="B25" s="1696" t="s">
        <v>2268</v>
      </c>
      <c r="C25" s="1753"/>
      <c r="D25" s="1712">
        <v>100</v>
      </c>
      <c r="E25" s="1754"/>
      <c r="F25" s="1755">
        <f>SUMIF(86:86,E25,87:87)-SUMIF(86:86,C25,87:87)+100</f>
        <v>100</v>
      </c>
      <c r="G25" s="1756"/>
      <c r="H25" s="1712">
        <f>SUMIF(86:86,G25,87:87)-SUMIF(86:86,C25,87:87)+100</f>
        <v>100</v>
      </c>
      <c r="I25" s="1754"/>
      <c r="J25" s="1712">
        <f>SUMIF(86:86,I25,87:87)-SUMIF(86:86,C25,87:87)+100</f>
        <v>100</v>
      </c>
      <c r="K25" s="1701"/>
      <c r="L25" s="3000"/>
      <c r="M25" s="2996"/>
      <c r="N25" s="2996"/>
      <c r="O25" s="2996"/>
      <c r="P25" s="3486"/>
      <c r="Q25" s="1616" t="str">
        <f t="shared" ref="Q25:Q46" si="11">B25</f>
        <v>楼层-1</v>
      </c>
      <c r="R25" s="1726" t="s">
        <v>28</v>
      </c>
      <c r="S25" s="1727">
        <f>F25</f>
        <v>100</v>
      </c>
      <c r="T25" s="1726" t="s">
        <v>28</v>
      </c>
      <c r="U25" s="1727">
        <f>H25</f>
        <v>100</v>
      </c>
      <c r="V25" s="1726" t="s">
        <v>28</v>
      </c>
      <c r="W25" s="1727">
        <f>J25</f>
        <v>100</v>
      </c>
      <c r="X25" s="1666"/>
      <c r="Y25" s="3430"/>
      <c r="Z25" s="1728" t="str">
        <f>Q25</f>
        <v>楼层-1</v>
      </c>
      <c r="AA25" s="1729">
        <f t="shared" si="3"/>
        <v>1</v>
      </c>
      <c r="AB25" s="1729">
        <f t="shared" si="4"/>
        <v>1</v>
      </c>
      <c r="AC25" s="1729">
        <f t="shared" si="5"/>
        <v>1</v>
      </c>
    </row>
    <row r="26" spans="1:29" ht="15">
      <c r="A26" s="1703"/>
      <c r="B26" s="1696" t="s">
        <v>2269</v>
      </c>
      <c r="C26" s="1753"/>
      <c r="D26" s="1712">
        <v>100</v>
      </c>
      <c r="E26" s="1754"/>
      <c r="F26" s="1755">
        <f>SUMIF(88:88,E26,89:89)-SUMIF(88:88,C26,89:89)+100</f>
        <v>100</v>
      </c>
      <c r="G26" s="1756"/>
      <c r="H26" s="1712">
        <f>SUMIF(88:88,G26,89:89)-SUMIF(88:88,C26,89:89)+100</f>
        <v>100</v>
      </c>
      <c r="I26" s="1754"/>
      <c r="J26" s="1712">
        <f>SUMIF(88:88,I26,89:89)-SUMIF(88:88,C26,89:89)+100</f>
        <v>100</v>
      </c>
      <c r="K26" s="1701"/>
      <c r="L26" s="3000"/>
      <c r="M26" s="2996"/>
      <c r="N26" s="2996"/>
      <c r="O26" s="2996"/>
      <c r="P26" s="3486"/>
      <c r="Q26" s="1616" t="str">
        <f t="shared" si="11"/>
        <v>朝向</v>
      </c>
      <c r="R26" s="1726" t="s">
        <v>28</v>
      </c>
      <c r="S26" s="1727">
        <f>F26</f>
        <v>100</v>
      </c>
      <c r="T26" s="1726" t="s">
        <v>28</v>
      </c>
      <c r="U26" s="1727">
        <f>H26</f>
        <v>100</v>
      </c>
      <c r="V26" s="1726" t="s">
        <v>28</v>
      </c>
      <c r="W26" s="1727">
        <f>J26</f>
        <v>100</v>
      </c>
      <c r="X26" s="1666"/>
      <c r="Y26" s="3430"/>
      <c r="Z26" s="1728" t="str">
        <f>Q26</f>
        <v>朝向</v>
      </c>
      <c r="AA26" s="1729">
        <f t="shared" si="3"/>
        <v>1</v>
      </c>
      <c r="AB26" s="1729">
        <f t="shared" si="4"/>
        <v>1</v>
      </c>
      <c r="AC26" s="1729">
        <f t="shared" si="5"/>
        <v>1</v>
      </c>
    </row>
    <row r="27" spans="1:29" s="1685" customFormat="1" ht="15">
      <c r="A27" s="1706"/>
      <c r="B27" s="1707" t="s">
        <v>2270</v>
      </c>
      <c r="C27" s="1708"/>
      <c r="D27" s="1757">
        <v>100</v>
      </c>
      <c r="E27" s="1758"/>
      <c r="F27" s="1759">
        <f>SUMIF(90:90,E27,91:91)-SUMIF(90:90,C27,91:91)+100</f>
        <v>100</v>
      </c>
      <c r="G27" s="1760"/>
      <c r="H27" s="1757">
        <f>SUMIF(90:90,G27,91:91)-SUMIF(90:90,C27,91:91)+100</f>
        <v>100</v>
      </c>
      <c r="I27" s="1758"/>
      <c r="J27" s="1757">
        <f>SUMIF(90:90,I27,91:91)-SUMIF(90:90,C27,91:91)+100</f>
        <v>100</v>
      </c>
      <c r="K27" s="1710"/>
      <c r="L27" s="2995"/>
      <c r="M27" s="2968"/>
      <c r="N27" s="2968"/>
      <c r="O27" s="2968"/>
      <c r="P27" s="3486"/>
      <c r="Q27" s="1635" t="str">
        <f t="shared" si="11"/>
        <v>道路级别</v>
      </c>
      <c r="R27" s="1681" t="s">
        <v>28</v>
      </c>
      <c r="S27" s="1682">
        <f>F27</f>
        <v>100</v>
      </c>
      <c r="T27" s="1681" t="s">
        <v>28</v>
      </c>
      <c r="U27" s="1682">
        <f>H27</f>
        <v>100</v>
      </c>
      <c r="V27" s="1681" t="s">
        <v>28</v>
      </c>
      <c r="W27" s="1682">
        <f>J27</f>
        <v>100</v>
      </c>
      <c r="X27" s="1683"/>
      <c r="Y27" s="3430"/>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0"/>
      <c r="M28" s="2996"/>
      <c r="N28" s="2996"/>
      <c r="O28" s="2996"/>
      <c r="P28" s="3486"/>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0"/>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0"/>
      <c r="M29" s="2996"/>
      <c r="N29" s="2996"/>
      <c r="O29" s="2996"/>
      <c r="P29" s="3486"/>
      <c r="Q29" s="1616">
        <f t="shared" si="11"/>
        <v>111</v>
      </c>
      <c r="R29" s="1726" t="s">
        <v>28</v>
      </c>
      <c r="S29" s="1727">
        <f t="shared" si="12"/>
        <v>100</v>
      </c>
      <c r="T29" s="1726" t="s">
        <v>28</v>
      </c>
      <c r="U29" s="1727">
        <f t="shared" si="13"/>
        <v>100</v>
      </c>
      <c r="V29" s="1726" t="s">
        <v>28</v>
      </c>
      <c r="W29" s="1727">
        <f t="shared" si="14"/>
        <v>100</v>
      </c>
      <c r="X29" s="1666"/>
      <c r="Y29" s="3430"/>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0"/>
      <c r="M30" s="2996"/>
      <c r="N30" s="2996"/>
      <c r="O30" s="2996"/>
      <c r="P30" s="3486"/>
      <c r="Q30" s="1616">
        <f t="shared" si="11"/>
        <v>111</v>
      </c>
      <c r="R30" s="1726" t="s">
        <v>28</v>
      </c>
      <c r="S30" s="1727">
        <f t="shared" si="12"/>
        <v>100</v>
      </c>
      <c r="T30" s="1726" t="s">
        <v>28</v>
      </c>
      <c r="U30" s="1727">
        <f t="shared" si="13"/>
        <v>100</v>
      </c>
      <c r="V30" s="1726" t="s">
        <v>28</v>
      </c>
      <c r="W30" s="1727">
        <f t="shared" si="14"/>
        <v>100</v>
      </c>
      <c r="X30" s="1666"/>
      <c r="Y30" s="3430"/>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0"/>
      <c r="M31" s="2996"/>
      <c r="N31" s="2996"/>
      <c r="O31" s="2996"/>
      <c r="P31" s="3486"/>
      <c r="Q31" s="1616">
        <f t="shared" si="11"/>
        <v>111</v>
      </c>
      <c r="R31" s="1726" t="s">
        <v>28</v>
      </c>
      <c r="S31" s="1727">
        <f t="shared" si="12"/>
        <v>100</v>
      </c>
      <c r="T31" s="1726" t="s">
        <v>28</v>
      </c>
      <c r="U31" s="1727">
        <f t="shared" si="13"/>
        <v>100</v>
      </c>
      <c r="V31" s="1726" t="s">
        <v>28</v>
      </c>
      <c r="W31" s="1727">
        <f t="shared" si="14"/>
        <v>100</v>
      </c>
      <c r="X31" s="1666"/>
      <c r="Y31" s="3430"/>
      <c r="Z31" s="1728">
        <f t="shared" si="15"/>
        <v>111</v>
      </c>
      <c r="AA31" s="1729">
        <f t="shared" si="3"/>
        <v>1</v>
      </c>
      <c r="AB31" s="1729">
        <f t="shared" si="4"/>
        <v>1</v>
      </c>
      <c r="AC31" s="1729">
        <f t="shared" si="5"/>
        <v>1</v>
      </c>
    </row>
    <row r="32" spans="1:29" ht="15">
      <c r="A32" s="1718" t="s">
        <v>2271</v>
      </c>
      <c r="B32" s="1688" t="s">
        <v>2272</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0"/>
      <c r="M32" s="2996"/>
      <c r="N32" s="2996"/>
      <c r="O32" s="2996"/>
      <c r="P32" s="3487" t="s">
        <v>2273</v>
      </c>
      <c r="Q32" s="1616" t="str">
        <f t="shared" si="11"/>
        <v>建筑类型</v>
      </c>
      <c r="R32" s="1726" t="s">
        <v>28</v>
      </c>
      <c r="S32" s="1727">
        <f t="shared" si="12"/>
        <v>100</v>
      </c>
      <c r="T32" s="1726" t="s">
        <v>28</v>
      </c>
      <c r="U32" s="1727">
        <f t="shared" si="13"/>
        <v>100</v>
      </c>
      <c r="V32" s="1726" t="s">
        <v>28</v>
      </c>
      <c r="W32" s="1727">
        <f t="shared" si="14"/>
        <v>100</v>
      </c>
      <c r="X32" s="1666"/>
      <c r="Y32" s="3418" t="s">
        <v>2273</v>
      </c>
      <c r="Z32" s="1728" t="str">
        <f t="shared" si="15"/>
        <v>建筑类型</v>
      </c>
      <c r="AA32" s="1729">
        <f t="shared" si="3"/>
        <v>1</v>
      </c>
      <c r="AB32" s="1729">
        <f t="shared" si="4"/>
        <v>1</v>
      </c>
      <c r="AC32" s="1729">
        <f t="shared" si="5"/>
        <v>1</v>
      </c>
    </row>
    <row r="33" spans="1:29" s="1772" customFormat="1" ht="15">
      <c r="A33" s="1765"/>
      <c r="B33" s="1696" t="s">
        <v>2274</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2999"/>
      <c r="M33" s="2060"/>
      <c r="N33" s="2060"/>
      <c r="O33" s="2060"/>
      <c r="P33" s="3488"/>
      <c r="Q33" s="1767" t="str">
        <f t="shared" si="11"/>
        <v>项目建筑规模</v>
      </c>
      <c r="R33" s="1768" t="s">
        <v>28</v>
      </c>
      <c r="S33" s="1769" t="e">
        <f t="shared" si="12"/>
        <v>#N/A</v>
      </c>
      <c r="T33" s="1768" t="s">
        <v>28</v>
      </c>
      <c r="U33" s="1769" t="e">
        <f t="shared" si="13"/>
        <v>#N/A</v>
      </c>
      <c r="V33" s="1768" t="s">
        <v>28</v>
      </c>
      <c r="W33" s="1769" t="e">
        <f t="shared" si="14"/>
        <v>#N/A</v>
      </c>
      <c r="X33" s="1770"/>
      <c r="Y33" s="3418"/>
      <c r="Z33" s="1771" t="str">
        <f t="shared" si="15"/>
        <v>项目建筑规模</v>
      </c>
      <c r="AA33" s="1729" t="e">
        <f t="shared" si="3"/>
        <v>#N/A</v>
      </c>
      <c r="AB33" s="1729" t="e">
        <f t="shared" si="4"/>
        <v>#N/A</v>
      </c>
      <c r="AC33" s="1729" t="e">
        <f t="shared" si="5"/>
        <v>#N/A</v>
      </c>
    </row>
    <row r="34" spans="1:29" ht="15">
      <c r="A34" s="1773"/>
      <c r="B34" s="1696" t="s">
        <v>2275</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0"/>
      <c r="M34" s="2996"/>
      <c r="N34" s="2996"/>
      <c r="O34" s="2996"/>
      <c r="P34" s="3488"/>
      <c r="Q34" s="1616" t="str">
        <f t="shared" si="11"/>
        <v>建筑结构</v>
      </c>
      <c r="R34" s="1726" t="s">
        <v>28</v>
      </c>
      <c r="S34" s="1727">
        <f t="shared" si="12"/>
        <v>100</v>
      </c>
      <c r="T34" s="1726" t="s">
        <v>28</v>
      </c>
      <c r="U34" s="1727">
        <f t="shared" si="13"/>
        <v>100</v>
      </c>
      <c r="V34" s="1726" t="s">
        <v>28</v>
      </c>
      <c r="W34" s="1727">
        <f t="shared" si="14"/>
        <v>100</v>
      </c>
      <c r="X34" s="1666"/>
      <c r="Y34" s="3418"/>
      <c r="Z34" s="1728" t="str">
        <f t="shared" si="15"/>
        <v>建筑结构</v>
      </c>
      <c r="AA34" s="1729">
        <f t="shared" si="3"/>
        <v>1</v>
      </c>
      <c r="AB34" s="1729">
        <f t="shared" si="4"/>
        <v>1</v>
      </c>
      <c r="AC34" s="1729">
        <f t="shared" si="5"/>
        <v>1</v>
      </c>
    </row>
    <row r="35" spans="1:29" ht="15">
      <c r="A35" s="1773"/>
      <c r="B35" s="1696" t="s">
        <v>2276</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0"/>
      <c r="M35" s="2996"/>
      <c r="N35" s="2996"/>
      <c r="O35" s="2996"/>
      <c r="P35" s="3488"/>
      <c r="Q35" s="1616" t="str">
        <f t="shared" si="11"/>
        <v>建筑品质</v>
      </c>
      <c r="R35" s="1726" t="s">
        <v>28</v>
      </c>
      <c r="S35" s="1727">
        <f t="shared" si="12"/>
        <v>100</v>
      </c>
      <c r="T35" s="1726" t="s">
        <v>28</v>
      </c>
      <c r="U35" s="1727">
        <f t="shared" si="13"/>
        <v>100</v>
      </c>
      <c r="V35" s="1726" t="s">
        <v>28</v>
      </c>
      <c r="W35" s="1727">
        <f t="shared" si="14"/>
        <v>100</v>
      </c>
      <c r="X35" s="1666"/>
      <c r="Y35" s="3418"/>
      <c r="Z35" s="1728" t="str">
        <f t="shared" si="15"/>
        <v>建筑品质</v>
      </c>
      <c r="AA35" s="1729">
        <f t="shared" si="3"/>
        <v>1</v>
      </c>
      <c r="AB35" s="1729">
        <f t="shared" si="4"/>
        <v>1</v>
      </c>
      <c r="AC35" s="1729">
        <f t="shared" si="5"/>
        <v>1</v>
      </c>
    </row>
    <row r="36" spans="1:29" ht="15">
      <c r="A36" s="1773"/>
      <c r="B36" s="1696" t="s">
        <v>2277</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0"/>
      <c r="M36" s="2996"/>
      <c r="N36" s="2996"/>
      <c r="O36" s="2996"/>
      <c r="P36" s="3488"/>
      <c r="Q36" s="1616" t="str">
        <f t="shared" si="11"/>
        <v>公共部分装修</v>
      </c>
      <c r="R36" s="1726" t="s">
        <v>28</v>
      </c>
      <c r="S36" s="1727">
        <f t="shared" si="12"/>
        <v>100</v>
      </c>
      <c r="T36" s="1726" t="s">
        <v>28</v>
      </c>
      <c r="U36" s="1727">
        <f t="shared" si="13"/>
        <v>100</v>
      </c>
      <c r="V36" s="1726" t="s">
        <v>28</v>
      </c>
      <c r="W36" s="1727">
        <f t="shared" si="14"/>
        <v>100</v>
      </c>
      <c r="X36" s="1666"/>
      <c r="Y36" s="3418"/>
      <c r="Z36" s="1728" t="str">
        <f t="shared" si="15"/>
        <v>公共部分装修</v>
      </c>
      <c r="AA36" s="1729">
        <f t="shared" si="3"/>
        <v>1</v>
      </c>
      <c r="AB36" s="1729">
        <f t="shared" si="4"/>
        <v>1</v>
      </c>
      <c r="AC36" s="1729">
        <f t="shared" si="5"/>
        <v>1</v>
      </c>
    </row>
    <row r="37" spans="1:29" s="1685" customFormat="1" ht="15">
      <c r="A37" s="1776"/>
      <c r="B37" s="1696" t="s">
        <v>2278</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5"/>
      <c r="M37" s="2968"/>
      <c r="N37" s="2968"/>
      <c r="O37" s="2968"/>
      <c r="P37" s="3488"/>
      <c r="Q37" s="1635" t="str">
        <f t="shared" si="11"/>
        <v>成新度</v>
      </c>
      <c r="R37" s="1681" t="s">
        <v>28</v>
      </c>
      <c r="S37" s="1682" t="e">
        <f t="shared" si="12"/>
        <v>#N/A</v>
      </c>
      <c r="T37" s="1681" t="s">
        <v>28</v>
      </c>
      <c r="U37" s="1682" t="e">
        <f t="shared" si="13"/>
        <v>#N/A</v>
      </c>
      <c r="V37" s="1681" t="s">
        <v>28</v>
      </c>
      <c r="W37" s="1682" t="e">
        <f t="shared" si="14"/>
        <v>#N/A</v>
      </c>
      <c r="X37" s="1683"/>
      <c r="Y37" s="3418"/>
      <c r="Z37" s="1694" t="str">
        <f t="shared" si="15"/>
        <v>成新度</v>
      </c>
      <c r="AA37" s="1684" t="e">
        <f t="shared" si="3"/>
        <v>#N/A</v>
      </c>
      <c r="AB37" s="1684" t="e">
        <f t="shared" si="4"/>
        <v>#N/A</v>
      </c>
      <c r="AC37" s="1684" t="e">
        <f t="shared" si="5"/>
        <v>#N/A</v>
      </c>
    </row>
    <row r="38" spans="1:29" ht="15">
      <c r="A38" s="1773"/>
      <c r="B38" s="1696" t="s">
        <v>2279</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0"/>
      <c r="M38" s="2996"/>
      <c r="N38" s="2996"/>
      <c r="O38" s="2996"/>
      <c r="P38" s="3488" t="s">
        <v>2273</v>
      </c>
      <c r="Q38" s="1616" t="str">
        <f t="shared" si="11"/>
        <v>物业管理</v>
      </c>
      <c r="R38" s="1726" t="s">
        <v>28</v>
      </c>
      <c r="S38" s="1727">
        <f t="shared" si="12"/>
        <v>100</v>
      </c>
      <c r="T38" s="1726" t="s">
        <v>28</v>
      </c>
      <c r="U38" s="1727">
        <f t="shared" si="13"/>
        <v>100</v>
      </c>
      <c r="V38" s="1726" t="s">
        <v>28</v>
      </c>
      <c r="W38" s="1727">
        <f t="shared" si="14"/>
        <v>100</v>
      </c>
      <c r="X38" s="1666"/>
      <c r="Y38" s="3418" t="s">
        <v>2273</v>
      </c>
      <c r="Z38" s="1728" t="str">
        <f t="shared" si="15"/>
        <v>物业管理</v>
      </c>
      <c r="AA38" s="1729">
        <f t="shared" si="3"/>
        <v>1</v>
      </c>
      <c r="AB38" s="1729">
        <f t="shared" si="4"/>
        <v>1</v>
      </c>
      <c r="AC38" s="1729">
        <f t="shared" si="5"/>
        <v>1</v>
      </c>
    </row>
    <row r="39" spans="1:29" ht="15">
      <c r="A39" s="1773"/>
      <c r="B39" s="1696" t="s">
        <v>2280</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0"/>
      <c r="M39" s="2996"/>
      <c r="N39" s="2996"/>
      <c r="O39" s="2996"/>
      <c r="P39" s="3488"/>
      <c r="Q39" s="1616" t="str">
        <f t="shared" si="11"/>
        <v>市政基础设施</v>
      </c>
      <c r="R39" s="1726" t="s">
        <v>28</v>
      </c>
      <c r="S39" s="1727">
        <f t="shared" si="12"/>
        <v>100</v>
      </c>
      <c r="T39" s="1726" t="s">
        <v>28</v>
      </c>
      <c r="U39" s="1727">
        <f t="shared" si="13"/>
        <v>100</v>
      </c>
      <c r="V39" s="1726" t="s">
        <v>28</v>
      </c>
      <c r="W39" s="1727">
        <f t="shared" si="14"/>
        <v>100</v>
      </c>
      <c r="X39" s="1666"/>
      <c r="Y39" s="3418"/>
      <c r="Z39" s="1728" t="str">
        <f t="shared" si="15"/>
        <v>市政基础设施</v>
      </c>
      <c r="AA39" s="1729">
        <f t="shared" si="3"/>
        <v>1</v>
      </c>
      <c r="AB39" s="1729">
        <f t="shared" si="4"/>
        <v>1</v>
      </c>
      <c r="AC39" s="1729">
        <f t="shared" si="5"/>
        <v>1</v>
      </c>
    </row>
    <row r="40" spans="1:29" ht="15">
      <c r="A40" s="1773"/>
      <c r="B40" s="1696" t="s">
        <v>2281</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0"/>
      <c r="M40" s="2996"/>
      <c r="N40" s="2996"/>
      <c r="O40" s="2996"/>
      <c r="P40" s="3488"/>
      <c r="Q40" s="1616" t="str">
        <f t="shared" si="11"/>
        <v>房型</v>
      </c>
      <c r="R40" s="1726" t="s">
        <v>28</v>
      </c>
      <c r="S40" s="1727">
        <f t="shared" si="12"/>
        <v>100</v>
      </c>
      <c r="T40" s="1726" t="s">
        <v>28</v>
      </c>
      <c r="U40" s="1727">
        <f t="shared" si="13"/>
        <v>100</v>
      </c>
      <c r="V40" s="1726" t="s">
        <v>28</v>
      </c>
      <c r="W40" s="1727">
        <f t="shared" si="14"/>
        <v>100</v>
      </c>
      <c r="X40" s="1666"/>
      <c r="Y40" s="3418"/>
      <c r="Z40" s="1728" t="str">
        <f t="shared" si="15"/>
        <v>房型</v>
      </c>
      <c r="AA40" s="1729">
        <f t="shared" si="3"/>
        <v>1</v>
      </c>
      <c r="AB40" s="1729">
        <f t="shared" si="4"/>
        <v>1</v>
      </c>
      <c r="AC40" s="1729">
        <f t="shared" si="5"/>
        <v>1</v>
      </c>
    </row>
    <row r="41" spans="1:29" s="1772" customFormat="1" ht="28.5">
      <c r="A41" s="1765"/>
      <c r="B41" s="1696" t="s">
        <v>2282</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2999"/>
      <c r="M41" s="2060"/>
      <c r="N41" s="2060"/>
      <c r="O41" s="2060"/>
      <c r="P41" s="3488"/>
      <c r="Q41" s="1767" t="str">
        <f t="shared" si="11"/>
        <v>单套/主力户型建筑面积</v>
      </c>
      <c r="R41" s="1768" t="s">
        <v>28</v>
      </c>
      <c r="S41" s="1769">
        <f t="shared" si="12"/>
        <v>100</v>
      </c>
      <c r="T41" s="1768" t="s">
        <v>28</v>
      </c>
      <c r="U41" s="1769">
        <f t="shared" si="13"/>
        <v>100</v>
      </c>
      <c r="V41" s="1768" t="s">
        <v>28</v>
      </c>
      <c r="W41" s="1769">
        <f t="shared" si="14"/>
        <v>100</v>
      </c>
      <c r="X41" s="1770"/>
      <c r="Y41" s="3418"/>
      <c r="Z41" s="1771" t="str">
        <f t="shared" si="15"/>
        <v>单套/主力户型建筑面积</v>
      </c>
      <c r="AA41" s="1729">
        <f t="shared" si="3"/>
        <v>1</v>
      </c>
      <c r="AB41" s="1729">
        <f t="shared" si="4"/>
        <v>1</v>
      </c>
      <c r="AC41" s="1729">
        <f t="shared" si="5"/>
        <v>1</v>
      </c>
    </row>
    <row r="42" spans="1:29" ht="15">
      <c r="A42" s="1773"/>
      <c r="B42" s="1696" t="s">
        <v>2283</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0"/>
      <c r="M42" s="2996"/>
      <c r="N42" s="2996"/>
      <c r="O42" s="2996"/>
      <c r="P42" s="3488"/>
      <c r="Q42" s="1616" t="str">
        <f t="shared" si="11"/>
        <v>内部装修</v>
      </c>
      <c r="R42" s="1726" t="s">
        <v>28</v>
      </c>
      <c r="S42" s="1727">
        <f t="shared" si="12"/>
        <v>100</v>
      </c>
      <c r="T42" s="1726" t="s">
        <v>28</v>
      </c>
      <c r="U42" s="1727">
        <f t="shared" si="13"/>
        <v>100</v>
      </c>
      <c r="V42" s="1726" t="s">
        <v>28</v>
      </c>
      <c r="W42" s="1727">
        <f t="shared" si="14"/>
        <v>100</v>
      </c>
      <c r="X42" s="1666"/>
      <c r="Y42" s="3418"/>
      <c r="Z42" s="1728" t="str">
        <f t="shared" si="15"/>
        <v>内部装修</v>
      </c>
      <c r="AA42" s="1729">
        <f t="shared" si="3"/>
        <v>1</v>
      </c>
      <c r="AB42" s="1729">
        <f t="shared" si="4"/>
        <v>1</v>
      </c>
      <c r="AC42" s="1729">
        <f t="shared" si="5"/>
        <v>1</v>
      </c>
    </row>
    <row r="43" spans="1:29" ht="15">
      <c r="A43" s="1773"/>
      <c r="B43" s="1696" t="s">
        <v>2284</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0"/>
      <c r="M43" s="2996"/>
      <c r="N43" s="2996"/>
      <c r="O43" s="2996"/>
      <c r="P43" s="3488"/>
      <c r="Q43" s="1616" t="str">
        <f t="shared" si="11"/>
        <v>内部装修维护情况</v>
      </c>
      <c r="R43" s="1726" t="s">
        <v>28</v>
      </c>
      <c r="S43" s="1727">
        <f t="shared" si="12"/>
        <v>100</v>
      </c>
      <c r="T43" s="1726" t="s">
        <v>28</v>
      </c>
      <c r="U43" s="1727">
        <f t="shared" si="13"/>
        <v>100</v>
      </c>
      <c r="V43" s="1726" t="s">
        <v>28</v>
      </c>
      <c r="W43" s="1727">
        <f t="shared" si="14"/>
        <v>100</v>
      </c>
      <c r="X43" s="1666"/>
      <c r="Y43" s="3418"/>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5"/>
      <c r="M44" s="2968"/>
      <c r="N44" s="2968"/>
      <c r="O44" s="2968"/>
      <c r="P44" s="3488"/>
      <c r="Q44" s="1635">
        <f t="shared" si="11"/>
        <v>111</v>
      </c>
      <c r="R44" s="1681" t="s">
        <v>28</v>
      </c>
      <c r="S44" s="1682">
        <f t="shared" si="12"/>
        <v>100</v>
      </c>
      <c r="T44" s="1681" t="s">
        <v>28</v>
      </c>
      <c r="U44" s="1682">
        <f t="shared" si="13"/>
        <v>100</v>
      </c>
      <c r="V44" s="1681" t="s">
        <v>28</v>
      </c>
      <c r="W44" s="1682">
        <f t="shared" si="14"/>
        <v>100</v>
      </c>
      <c r="X44" s="1683"/>
      <c r="Y44" s="341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0"/>
      <c r="M45" s="2996"/>
      <c r="N45" s="2996"/>
      <c r="O45" s="2996"/>
      <c r="P45" s="3488"/>
      <c r="Q45" s="1616">
        <f t="shared" si="11"/>
        <v>111</v>
      </c>
      <c r="R45" s="1726" t="s">
        <v>28</v>
      </c>
      <c r="S45" s="1727">
        <f t="shared" si="12"/>
        <v>100</v>
      </c>
      <c r="T45" s="1726" t="s">
        <v>28</v>
      </c>
      <c r="U45" s="1727">
        <f t="shared" si="13"/>
        <v>100</v>
      </c>
      <c r="V45" s="1726" t="s">
        <v>28</v>
      </c>
      <c r="W45" s="1727">
        <f t="shared" si="14"/>
        <v>100</v>
      </c>
      <c r="X45" s="1666"/>
      <c r="Y45" s="3418"/>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0"/>
      <c r="M46" s="2996"/>
      <c r="N46" s="2996"/>
      <c r="O46" s="2996"/>
      <c r="P46" s="3489"/>
      <c r="Q46" s="1616">
        <f t="shared" si="11"/>
        <v>111</v>
      </c>
      <c r="R46" s="1726" t="s">
        <v>27</v>
      </c>
      <c r="S46" s="1727">
        <f t="shared" si="12"/>
        <v>100</v>
      </c>
      <c r="T46" s="1726" t="s">
        <v>27</v>
      </c>
      <c r="U46" s="1727">
        <f t="shared" si="13"/>
        <v>100</v>
      </c>
      <c r="V46" s="1726" t="s">
        <v>27</v>
      </c>
      <c r="W46" s="1727">
        <f t="shared" si="14"/>
        <v>100</v>
      </c>
      <c r="X46" s="1666"/>
      <c r="Y46" s="3419"/>
      <c r="Z46" s="1728">
        <f t="shared" si="15"/>
        <v>111</v>
      </c>
      <c r="AA46" s="1729">
        <f t="shared" si="3"/>
        <v>1</v>
      </c>
      <c r="AB46" s="1729">
        <f t="shared" si="4"/>
        <v>1</v>
      </c>
      <c r="AC46" s="1729">
        <f t="shared" si="5"/>
        <v>1</v>
      </c>
    </row>
    <row r="47" spans="1:29" ht="15">
      <c r="A47" s="1782" t="s">
        <v>2285</v>
      </c>
      <c r="B47" s="1783"/>
      <c r="C47" s="1784" t="s">
        <v>26</v>
      </c>
      <c r="D47" s="1785"/>
      <c r="E47" s="1786"/>
      <c r="F47" s="1787"/>
      <c r="G47" s="1788"/>
      <c r="H47" s="1789"/>
      <c r="I47" s="1786"/>
      <c r="J47" s="1789"/>
      <c r="K47" s="1790"/>
      <c r="L47" s="3001"/>
      <c r="N47" s="2996"/>
      <c r="P47" s="3412" t="str">
        <f>A47</f>
        <v>成交单价（元/平方米）</v>
      </c>
      <c r="Q47" s="3412"/>
      <c r="R47" s="3413">
        <f>E47</f>
        <v>0</v>
      </c>
      <c r="S47" s="3413"/>
      <c r="T47" s="3413">
        <f>G47</f>
        <v>0</v>
      </c>
      <c r="U47" s="3413"/>
      <c r="V47" s="3413">
        <f>I47</f>
        <v>0</v>
      </c>
      <c r="W47" s="3413"/>
      <c r="X47" s="1792"/>
      <c r="Y47" s="1793"/>
      <c r="Z47" s="1792"/>
      <c r="AA47" s="1792"/>
      <c r="AB47" s="1792"/>
      <c r="AC47" s="1792"/>
    </row>
    <row r="48" spans="1:29" ht="15.75" thickBot="1">
      <c r="A48" s="1794" t="s">
        <v>2286</v>
      </c>
      <c r="B48" s="1795"/>
      <c r="C48" s="1796" t="e">
        <f>R49</f>
        <v>#DIV/0!</v>
      </c>
      <c r="D48" s="1797" t="s">
        <v>2740</v>
      </c>
      <c r="E48" s="1798" t="e">
        <f>R48</f>
        <v>#DIV/0!</v>
      </c>
      <c r="F48" s="1799"/>
      <c r="G48" s="1796" t="e">
        <f>T48</f>
        <v>#DIV/0!</v>
      </c>
      <c r="H48" s="1799"/>
      <c r="I48" s="1798" t="e">
        <f>V48</f>
        <v>#DIV/0!</v>
      </c>
      <c r="J48" s="1799"/>
      <c r="K48" s="2512">
        <f>F48+H48+J48</f>
        <v>0</v>
      </c>
      <c r="L48" s="3001"/>
      <c r="P48" s="3412" t="str">
        <f>A48</f>
        <v>比较价值（元/平方米）</v>
      </c>
      <c r="Q48" s="3412"/>
      <c r="R48" s="3413" t="e">
        <f>IF(E1="售价",ROUND(PRODUCT(R47,AA7:AA46),0),ROUND(PRODUCT(R47,AA7:AA46),1))</f>
        <v>#DIV/0!</v>
      </c>
      <c r="S48" s="3413"/>
      <c r="T48" s="3483" t="e">
        <f>IF(E1="售价",ROUND(PRODUCT(T47,AB7:AB46),0),ROUND(PRODUCT(T47,AB7:AB46),1))</f>
        <v>#DIV/0!</v>
      </c>
      <c r="U48" s="3484"/>
      <c r="V48" s="3413" t="e">
        <f>IF(E1="售价",ROUND(PRODUCT(V47,AC7:AC46),0),ROUND(PRODUCT(V47,AC7:AC46),1))</f>
        <v>#DIV/0!</v>
      </c>
      <c r="W48" s="3413"/>
      <c r="X48" s="1792"/>
      <c r="Y48" s="1792"/>
      <c r="Z48" s="1792"/>
      <c r="AA48" s="1792"/>
      <c r="AB48" s="1792"/>
      <c r="AC48" s="1792"/>
    </row>
    <row r="49" spans="1:29" ht="15.75" thickBot="1">
      <c r="A49" s="1800" t="s">
        <v>2287</v>
      </c>
      <c r="B49" s="1801"/>
      <c r="C49" s="1802" t="e">
        <f>R49</f>
        <v>#DIV/0!</v>
      </c>
      <c r="D49" s="1803"/>
      <c r="E49" s="1803"/>
      <c r="F49" s="1803"/>
      <c r="G49" s="1803"/>
      <c r="H49" s="1803"/>
      <c r="I49" s="1803"/>
      <c r="J49" s="1803"/>
      <c r="K49" s="1804"/>
      <c r="L49" s="3001"/>
      <c r="P49" s="3414" t="str">
        <f>A49</f>
        <v>估价对象XX用房的比较价值（楼面单价，元/平方米）</v>
      </c>
      <c r="Q49" s="3415"/>
      <c r="R49" s="3416" t="e">
        <f>IF(E1="售价",ROUND(IF(D48="简单平均",AVERAGE(R48:V48),R48*F48+T48*H48+V48*J48),0),ROUND(IF(D48="简单平均",AVERAGE(R48:V48),R48*F48+T48*H48+V48*J48),1))</f>
        <v>#DIV/0!</v>
      </c>
      <c r="S49" s="3416"/>
      <c r="T49" s="3416"/>
      <c r="U49" s="3416"/>
      <c r="V49" s="3416"/>
      <c r="W49" s="3416"/>
      <c r="X49" s="1792"/>
      <c r="Y49" s="1792"/>
      <c r="Z49" s="1792"/>
      <c r="AA49" s="1792"/>
      <c r="AB49" s="1792"/>
      <c r="AC49" s="1792"/>
    </row>
    <row r="50" spans="1:29">
      <c r="G50" s="3005"/>
    </row>
    <row r="52" spans="1:29" ht="13.5" customHeight="1">
      <c r="C52" s="383" t="s">
        <v>2288</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2289</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2290</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8"/>
      <c r="L54" s="3002"/>
      <c r="P54" s="1813"/>
    </row>
    <row r="55" spans="1:29" s="1814" customFormat="1">
      <c r="B55" s="3006"/>
      <c r="C55" s="3007"/>
      <c r="K55" s="3008"/>
      <c r="L55" s="3002"/>
      <c r="P55" s="1813"/>
    </row>
    <row r="56" spans="1:29">
      <c r="B56" s="3006"/>
      <c r="C56" s="3007"/>
    </row>
    <row r="57" spans="1:29" ht="21.75" thickBot="1">
      <c r="A57" s="1817" t="s">
        <v>2291</v>
      </c>
      <c r="B57" s="1792"/>
      <c r="C57" s="1818"/>
      <c r="D57" s="1818"/>
      <c r="E57" s="1818"/>
      <c r="F57" s="1818"/>
      <c r="G57" s="1818"/>
      <c r="H57" s="1818"/>
      <c r="I57" s="1818"/>
      <c r="J57" s="1818"/>
      <c r="K57" s="1819"/>
      <c r="L57" s="3003"/>
      <c r="M57" s="3004"/>
      <c r="N57" s="3004"/>
      <c r="O57" s="3004"/>
      <c r="P57" s="1821"/>
      <c r="Q57" s="1822"/>
    </row>
    <row r="58" spans="1:29" s="1828" customFormat="1" ht="15">
      <c r="A58" s="1823" t="s">
        <v>2292</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2293</v>
      </c>
      <c r="B60" s="1836"/>
      <c r="C60" s="1837"/>
      <c r="D60" s="1838"/>
      <c r="E60" s="1838"/>
      <c r="F60" s="1838"/>
      <c r="G60" s="1838"/>
      <c r="H60" s="1838"/>
      <c r="I60" s="1838"/>
      <c r="J60" s="1838"/>
      <c r="K60" s="1838"/>
      <c r="L60" s="1838"/>
      <c r="M60" s="1839"/>
      <c r="N60" s="1838"/>
      <c r="O60" s="1839"/>
      <c r="P60" s="1834"/>
      <c r="Q60" s="1822"/>
    </row>
    <row r="61" spans="1:29" s="1685" customFormat="1" ht="15">
      <c r="A61" s="1840" t="s">
        <v>2294</v>
      </c>
      <c r="B61" s="1830"/>
      <c r="C61" s="1841" t="s">
        <v>2295</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2296</v>
      </c>
      <c r="B63" s="1848" t="s">
        <v>2261</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2264</v>
      </c>
      <c r="C65" s="1860" t="s">
        <v>2297</v>
      </c>
      <c r="D65" s="1860" t="s">
        <v>2298</v>
      </c>
      <c r="E65" s="1860" t="s">
        <v>2299</v>
      </c>
      <c r="F65" s="1860" t="s">
        <v>2300</v>
      </c>
      <c r="G65" s="1860" t="s">
        <v>2301</v>
      </c>
      <c r="H65" s="1860" t="s">
        <v>2302</v>
      </c>
      <c r="I65" s="1860" t="s">
        <v>2303</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2265</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2266</v>
      </c>
      <c r="B76" s="1848" t="s">
        <v>2304</v>
      </c>
      <c r="C76" s="1886" t="s">
        <v>2305</v>
      </c>
      <c r="D76" s="1886" t="s">
        <v>2306</v>
      </c>
      <c r="E76" s="1886" t="s">
        <v>2307</v>
      </c>
      <c r="F76" s="1886" t="s">
        <v>2308</v>
      </c>
      <c r="G76" s="1886" t="s">
        <v>2309</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2310</v>
      </c>
      <c r="C78" s="579" t="s">
        <v>2305</v>
      </c>
      <c r="D78" s="579" t="s">
        <v>2306</v>
      </c>
      <c r="E78" s="579" t="s">
        <v>2307</v>
      </c>
      <c r="F78" s="579" t="s">
        <v>2308</v>
      </c>
      <c r="G78" s="579" t="s">
        <v>2309</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2311</v>
      </c>
      <c r="C80" s="579" t="s">
        <v>2305</v>
      </c>
      <c r="D80" s="579" t="s">
        <v>2306</v>
      </c>
      <c r="E80" s="579" t="s">
        <v>2307</v>
      </c>
      <c r="F80" s="579" t="s">
        <v>2308</v>
      </c>
      <c r="G80" s="579" t="s">
        <v>2309</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2312</v>
      </c>
      <c r="D82" s="1860" t="s">
        <v>2313</v>
      </c>
      <c r="E82" s="1860" t="s">
        <v>2314</v>
      </c>
      <c r="F82" s="1860" t="s">
        <v>2315</v>
      </c>
      <c r="G82" s="1860" t="s">
        <v>2316</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2317</v>
      </c>
      <c r="C84" s="579" t="s">
        <v>2305</v>
      </c>
      <c r="D84" s="579" t="s">
        <v>2306</v>
      </c>
      <c r="E84" s="579" t="s">
        <v>2307</v>
      </c>
      <c r="F84" s="579" t="s">
        <v>2308</v>
      </c>
      <c r="G84" s="579" t="s">
        <v>2309</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2318</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2319</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2271</v>
      </c>
      <c r="B100" s="1848" t="s">
        <v>2320</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2321</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2322</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2323</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2324</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2326</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2327</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2328</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2282</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2329</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2330</v>
      </c>
      <c r="C124" s="579" t="s">
        <v>2305</v>
      </c>
      <c r="D124" s="579" t="s">
        <v>2306</v>
      </c>
      <c r="E124" s="579" t="s">
        <v>2307</v>
      </c>
      <c r="F124" s="579" t="s">
        <v>2308</v>
      </c>
      <c r="G124" s="579" t="s">
        <v>2309</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2331</v>
      </c>
    </row>
    <row r="137" spans="1:17" ht="15">
      <c r="B137" s="1912" t="s">
        <v>2332</v>
      </c>
      <c r="C137" s="1913"/>
      <c r="D137" s="1913"/>
      <c r="E137" s="1913"/>
      <c r="F137" s="1913"/>
      <c r="G137" s="1914"/>
      <c r="H137" s="1915"/>
      <c r="I137" s="1916" t="s">
        <v>2333</v>
      </c>
      <c r="J137" s="1913"/>
      <c r="K137" s="1917"/>
    </row>
    <row r="138" spans="1:17" ht="15">
      <c r="B138" s="1918"/>
      <c r="C138" s="1919" t="s">
        <v>2334</v>
      </c>
      <c r="D138" s="1919" t="s">
        <v>2335</v>
      </c>
      <c r="E138" s="1920" t="s">
        <v>2336</v>
      </c>
      <c r="F138" s="1921" t="s">
        <v>2337</v>
      </c>
      <c r="G138" s="1919" t="s">
        <v>2335</v>
      </c>
      <c r="H138" s="1922" t="s">
        <v>2336</v>
      </c>
      <c r="I138" s="1923"/>
      <c r="J138" s="1919" t="s">
        <v>2338</v>
      </c>
      <c r="K138" s="1922" t="s">
        <v>2339</v>
      </c>
    </row>
    <row r="139" spans="1:17" ht="15">
      <c r="B139" s="1924">
        <v>6</v>
      </c>
      <c r="C139" s="1925">
        <v>96</v>
      </c>
      <c r="D139" s="1926" t="s">
        <v>2340</v>
      </c>
      <c r="E139" s="1927">
        <v>100</v>
      </c>
      <c r="F139" s="1928">
        <v>102.5</v>
      </c>
      <c r="G139" s="1926" t="s">
        <v>2340</v>
      </c>
      <c r="H139" s="1929">
        <v>105</v>
      </c>
      <c r="I139" s="1930" t="s">
        <v>2341</v>
      </c>
      <c r="J139" s="1925">
        <v>20</v>
      </c>
      <c r="K139" s="1931">
        <f>C145/(J139-2)</f>
        <v>4.0555555555555553E-3</v>
      </c>
    </row>
    <row r="140" spans="1:17" ht="15">
      <c r="B140" s="1932">
        <v>5</v>
      </c>
      <c r="C140" s="1933">
        <v>100</v>
      </c>
      <c r="D140" s="1933"/>
      <c r="E140" s="1934"/>
      <c r="F140" s="1935">
        <v>102</v>
      </c>
      <c r="G140" s="1933"/>
      <c r="H140" s="1936"/>
      <c r="I140" s="1937" t="s">
        <v>2342</v>
      </c>
      <c r="J140" s="1938">
        <f>ROUNDUP((J139-1)/2,0)</f>
        <v>10</v>
      </c>
      <c r="K140" s="1939">
        <v>100</v>
      </c>
    </row>
    <row r="141" spans="1:17" ht="15">
      <c r="B141" s="1932">
        <v>4</v>
      </c>
      <c r="C141" s="1933">
        <v>102</v>
      </c>
      <c r="D141" s="1933"/>
      <c r="E141" s="1934"/>
      <c r="F141" s="1935">
        <v>101.5</v>
      </c>
      <c r="G141" s="1933"/>
      <c r="H141" s="1936"/>
      <c r="I141" s="1937" t="s">
        <v>2343</v>
      </c>
      <c r="J141" s="1938">
        <v>1</v>
      </c>
      <c r="K141" s="1940">
        <f>ROUND(100+(J141-J140)*K139*100,1)</f>
        <v>96.4</v>
      </c>
    </row>
    <row r="142" spans="1:17" ht="15">
      <c r="B142" s="1932">
        <v>3</v>
      </c>
      <c r="C142" s="1933">
        <v>103</v>
      </c>
      <c r="D142" s="1933"/>
      <c r="E142" s="1934"/>
      <c r="F142" s="1935">
        <v>101</v>
      </c>
      <c r="G142" s="1933"/>
      <c r="H142" s="1936"/>
      <c r="I142" s="1937" t="s">
        <v>2344</v>
      </c>
      <c r="J142" s="1938">
        <f>J139</f>
        <v>20</v>
      </c>
      <c r="K142" s="1941">
        <v>95</v>
      </c>
    </row>
    <row r="143" spans="1:17" ht="15">
      <c r="B143" s="1932">
        <v>2</v>
      </c>
      <c r="C143" s="1933">
        <v>100</v>
      </c>
      <c r="D143" s="1933"/>
      <c r="E143" s="1934"/>
      <c r="F143" s="1935">
        <v>100.5</v>
      </c>
      <c r="G143" s="1933"/>
      <c r="H143" s="1936"/>
      <c r="I143" s="1937" t="s">
        <v>2345</v>
      </c>
      <c r="J143" s="1933">
        <v>15</v>
      </c>
      <c r="K143" s="1940">
        <f>ROUND(100+(J143-J140)*K139*100,1)</f>
        <v>102</v>
      </c>
    </row>
    <row r="144" spans="1:17" ht="15">
      <c r="B144" s="1932">
        <v>1</v>
      </c>
      <c r="C144" s="1933">
        <v>98</v>
      </c>
      <c r="D144" s="1420" t="s">
        <v>2346</v>
      </c>
      <c r="E144" s="1934">
        <v>102</v>
      </c>
      <c r="F144" s="1942">
        <v>100</v>
      </c>
      <c r="G144" s="1420" t="s">
        <v>2346</v>
      </c>
      <c r="H144" s="1936">
        <v>105</v>
      </c>
      <c r="I144" s="1937" t="s">
        <v>2345</v>
      </c>
      <c r="J144" s="1933">
        <v>18</v>
      </c>
      <c r="K144" s="1940">
        <f>ROUND(100+(J144-J140)*K139*100,1)</f>
        <v>103.2</v>
      </c>
    </row>
    <row r="145" spans="2:11" ht="15.75" thickBot="1">
      <c r="B145" s="1943" t="s">
        <v>2347</v>
      </c>
      <c r="C145" s="1944">
        <f>ROUND(MAX(C139:C144)/MIN(C139:C144)-1,3)</f>
        <v>7.2999999999999995E-2</v>
      </c>
      <c r="D145" s="1945"/>
      <c r="E145" s="1945"/>
      <c r="F145" s="1574" t="s">
        <v>2348</v>
      </c>
      <c r="G145" s="1946"/>
      <c r="H145" s="1947"/>
      <c r="I145" s="1948" t="s">
        <v>2345</v>
      </c>
      <c r="J145" s="1949">
        <v>8</v>
      </c>
      <c r="K145" s="1950">
        <f>ROUND(100+(J145-J140)*K139*100,1)</f>
        <v>99.2</v>
      </c>
    </row>
    <row r="147" spans="2:11">
      <c r="B147" s="1573" t="s">
        <v>2349</v>
      </c>
    </row>
    <row r="148" spans="2:11">
      <c r="B148" s="1573" t="s">
        <v>2350</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6" priority="20" stopIfTrue="1" operator="containsText" text="超过">
      <formula>NOT(ISERROR(SEARCH("超过",F52)))</formula>
    </cfRule>
  </conditionalFormatting>
  <conditionalFormatting sqref="J54">
    <cfRule type="containsText" dxfId="145" priority="19" stopIfTrue="1" operator="containsText" text="超过">
      <formula>NOT(ISERROR(SEARCH("超过",J54)))</formula>
    </cfRule>
  </conditionalFormatting>
  <conditionalFormatting sqref="H54">
    <cfRule type="containsText" dxfId="144" priority="18" stopIfTrue="1" operator="containsText" text="超过">
      <formula>NOT(ISERROR(SEARCH("超过",H54)))</formula>
    </cfRule>
  </conditionalFormatting>
  <conditionalFormatting sqref="F54">
    <cfRule type="containsText" dxfId="143" priority="17" stopIfTrue="1" operator="containsText" text="超过">
      <formula>NOT(ISERROR(SEARCH("超过",F54)))</formula>
    </cfRule>
  </conditionalFormatting>
  <conditionalFormatting sqref="F53 H53 J53">
    <cfRule type="containsText" dxfId="142" priority="16" stopIfTrue="1" operator="containsText" text="超过">
      <formula>NOT(ISERROR(SEARCH("超过",F53)))</formula>
    </cfRule>
  </conditionalFormatting>
  <conditionalFormatting sqref="E52">
    <cfRule type="expression" dxfId="141" priority="15" stopIfTrue="1">
      <formula>$F$52="超过30%"</formula>
    </cfRule>
  </conditionalFormatting>
  <conditionalFormatting sqref="G54">
    <cfRule type="expression" dxfId="140" priority="13" stopIfTrue="1">
      <formula>$H$54="超过30%"</formula>
    </cfRule>
  </conditionalFormatting>
  <conditionalFormatting sqref="E53">
    <cfRule type="expression" dxfId="139" priority="12" stopIfTrue="1">
      <formula>$F$53="超过20%"</formula>
    </cfRule>
  </conditionalFormatting>
  <conditionalFormatting sqref="E54">
    <cfRule type="expression" dxfId="138" priority="11" stopIfTrue="1">
      <formula>$F$54="超过30%"</formula>
    </cfRule>
  </conditionalFormatting>
  <conditionalFormatting sqref="G52">
    <cfRule type="expression" dxfId="137" priority="10" stopIfTrue="1">
      <formula>$H$52="超过30%"</formula>
    </cfRule>
  </conditionalFormatting>
  <conditionalFormatting sqref="G53">
    <cfRule type="expression" dxfId="136" priority="9" stopIfTrue="1">
      <formula>$H$53="超过20%"</formula>
    </cfRule>
  </conditionalFormatting>
  <conditionalFormatting sqref="I52">
    <cfRule type="expression" dxfId="135" priority="8" stopIfTrue="1">
      <formula>$J$52="超过30%"</formula>
    </cfRule>
  </conditionalFormatting>
  <conditionalFormatting sqref="I53">
    <cfRule type="expression" dxfId="134" priority="7" stopIfTrue="1">
      <formula>$J$53="超过20%"</formula>
    </cfRule>
  </conditionalFormatting>
  <conditionalFormatting sqref="I54">
    <cfRule type="expression" dxfId="133" priority="6" stopIfTrue="1">
      <formula>$J$54="超过30%"</formula>
    </cfRule>
  </conditionalFormatting>
  <conditionalFormatting sqref="F48">
    <cfRule type="expression" dxfId="132" priority="4">
      <formula>$D$48="简单平均"</formula>
    </cfRule>
  </conditionalFormatting>
  <conditionalFormatting sqref="H48">
    <cfRule type="expression" dxfId="131" priority="3">
      <formula>$D$48="简单平均"</formula>
    </cfRule>
  </conditionalFormatting>
  <conditionalFormatting sqref="J48">
    <cfRule type="expression" dxfId="130" priority="2">
      <formula>$D$48="简单平均"</formula>
    </cfRule>
  </conditionalFormatting>
  <conditionalFormatting sqref="F7:F46 H7:H46 J7:J46">
    <cfRule type="cellIs" dxfId="12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2238</v>
      </c>
      <c r="B1" s="1638" t="s">
        <v>2351</v>
      </c>
      <c r="C1" s="1639"/>
      <c r="D1" s="2470"/>
      <c r="E1" s="1641"/>
      <c r="F1" s="1642" t="s">
        <v>2240</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1911</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0"/>
      <c r="I2" s="3010"/>
      <c r="J2" s="3010"/>
      <c r="K2" s="3010"/>
      <c r="L2" s="3012"/>
      <c r="M2" s="3010"/>
      <c r="N2" s="3010"/>
      <c r="O2" s="3010"/>
      <c r="P2" s="2472"/>
      <c r="Q2" s="1957"/>
      <c r="R2" s="1957"/>
      <c r="S2" s="1957"/>
      <c r="T2" s="1957"/>
      <c r="U2" s="1957"/>
      <c r="V2" s="1957"/>
      <c r="W2" s="1957"/>
      <c r="X2" s="1957"/>
      <c r="Y2" s="1957"/>
      <c r="Z2" s="1957"/>
      <c r="AA2" s="1957"/>
      <c r="AB2" s="1957"/>
      <c r="AC2" s="1958"/>
    </row>
    <row r="3" spans="1:29" s="1960" customFormat="1" ht="28.5" customHeight="1" thickBot="1">
      <c r="A3" s="1659" t="s">
        <v>1912</v>
      </c>
      <c r="B3" s="1963" t="e">
        <f ca="1">ROUND(IF(D2="——",C49,IF(C2="万元",B2*10000/D3,B2/D3)),0)</f>
        <v>#DIV/0!</v>
      </c>
      <c r="C3" s="1660" t="s">
        <v>2241</v>
      </c>
      <c r="D3" s="1660">
        <f>IF(C1="仅计算典型户型",'数据-取费表'!E5,'数据-取费表'!B5)</f>
        <v>1642.01</v>
      </c>
      <c r="F3" s="3009"/>
      <c r="G3" s="3010"/>
      <c r="H3" s="3010"/>
      <c r="I3" s="3010"/>
      <c r="J3" s="3010"/>
      <c r="K3" s="3011"/>
      <c r="L3" s="3012"/>
      <c r="M3" s="3010"/>
      <c r="N3" s="3010"/>
      <c r="O3" s="3010"/>
      <c r="P3" s="2472"/>
      <c r="Q3" s="1957"/>
      <c r="R3" s="1957"/>
      <c r="S3" s="1957"/>
      <c r="T3" s="1957"/>
      <c r="U3" s="1957"/>
      <c r="V3" s="1957"/>
      <c r="W3" s="1957"/>
      <c r="X3" s="1957"/>
      <c r="Y3" s="1957"/>
      <c r="Z3" s="1957"/>
      <c r="AA3" s="1957"/>
      <c r="AB3" s="1957"/>
      <c r="AC3" s="1965"/>
    </row>
    <row r="4" spans="1:29" ht="15">
      <c r="A4" s="1663" t="s">
        <v>2242</v>
      </c>
      <c r="B4" s="1664"/>
      <c r="C4" s="3434" t="s">
        <v>2243</v>
      </c>
      <c r="D4" s="3435"/>
      <c r="E4" s="3436" t="s">
        <v>2244</v>
      </c>
      <c r="F4" s="3437"/>
      <c r="G4" s="3434" t="s">
        <v>2245</v>
      </c>
      <c r="H4" s="3435"/>
      <c r="I4" s="3434" t="s">
        <v>2246</v>
      </c>
      <c r="J4" s="3435"/>
      <c r="K4" s="1966" t="s">
        <v>2247</v>
      </c>
      <c r="L4" s="2995"/>
      <c r="M4" s="2996"/>
      <c r="N4" s="2996"/>
      <c r="O4" s="2996"/>
      <c r="P4" s="3438" t="s">
        <v>2248</v>
      </c>
      <c r="Q4" s="3439"/>
      <c r="R4" s="3422" t="s">
        <v>2244</v>
      </c>
      <c r="S4" s="3423"/>
      <c r="T4" s="3422" t="s">
        <v>2245</v>
      </c>
      <c r="U4" s="3423"/>
      <c r="V4" s="3444" t="s">
        <v>2246</v>
      </c>
      <c r="W4" s="3444"/>
      <c r="X4" s="2075"/>
      <c r="Y4" s="3422" t="s">
        <v>2248</v>
      </c>
      <c r="Z4" s="3423"/>
      <c r="AA4" s="3431" t="s">
        <v>2244</v>
      </c>
      <c r="AB4" s="3444" t="s">
        <v>2245</v>
      </c>
      <c r="AC4" s="3431" t="s">
        <v>2246</v>
      </c>
    </row>
    <row r="5" spans="1:29" ht="15">
      <c r="A5" s="1668"/>
      <c r="B5" s="1669"/>
      <c r="C5" s="3447" t="s">
        <v>2249</v>
      </c>
      <c r="D5" s="3448"/>
      <c r="E5" s="3491" t="s">
        <v>2250</v>
      </c>
      <c r="F5" s="3446"/>
      <c r="G5" s="3447" t="s">
        <v>2251</v>
      </c>
      <c r="H5" s="3448"/>
      <c r="I5" s="3447" t="s">
        <v>2252</v>
      </c>
      <c r="J5" s="3448"/>
      <c r="K5" s="1966"/>
      <c r="L5" s="2995"/>
      <c r="M5" s="2996"/>
      <c r="N5" s="2996"/>
      <c r="O5" s="2996"/>
      <c r="P5" s="3440"/>
      <c r="Q5" s="3441"/>
      <c r="R5" s="3424"/>
      <c r="S5" s="3425"/>
      <c r="T5" s="3424"/>
      <c r="U5" s="3425"/>
      <c r="V5" s="3444"/>
      <c r="W5" s="3444"/>
      <c r="X5" s="2075"/>
      <c r="Y5" s="3424"/>
      <c r="Z5" s="3425"/>
      <c r="AA5" s="3432"/>
      <c r="AB5" s="3444"/>
      <c r="AC5" s="3432"/>
    </row>
    <row r="6" spans="1:29" ht="15.75" thickBot="1">
      <c r="A6" s="1671"/>
      <c r="B6" s="1672"/>
      <c r="C6" s="3449" t="s">
        <v>2253</v>
      </c>
      <c r="D6" s="3450"/>
      <c r="E6" s="3452" t="s">
        <v>2253</v>
      </c>
      <c r="F6" s="3453"/>
      <c r="G6" s="3449" t="s">
        <v>2253</v>
      </c>
      <c r="H6" s="3450"/>
      <c r="I6" s="3449" t="s">
        <v>2253</v>
      </c>
      <c r="J6" s="3450"/>
      <c r="K6" s="1966" t="s">
        <v>2254</v>
      </c>
      <c r="L6" s="2995"/>
      <c r="M6" s="2996"/>
      <c r="N6" s="2996"/>
      <c r="O6" s="2996"/>
      <c r="P6" s="3442"/>
      <c r="Q6" s="3443"/>
      <c r="R6" s="3424"/>
      <c r="S6" s="3425"/>
      <c r="T6" s="3426"/>
      <c r="U6" s="3427"/>
      <c r="V6" s="3444"/>
      <c r="W6" s="3444"/>
      <c r="X6" s="2075"/>
      <c r="Y6" s="3426"/>
      <c r="Z6" s="3427"/>
      <c r="AA6" s="3433"/>
      <c r="AB6" s="3444"/>
      <c r="AC6" s="3433"/>
    </row>
    <row r="7" spans="1:29" s="1685" customFormat="1" ht="15.75" thickBot="1">
      <c r="A7" s="1673" t="s">
        <v>2255</v>
      </c>
      <c r="B7" s="1674"/>
      <c r="C7" s="1675">
        <f>'数据-取费表'!B2</f>
        <v>44547</v>
      </c>
      <c r="D7" s="1676">
        <v>100</v>
      </c>
      <c r="E7" s="1677"/>
      <c r="F7" s="1678">
        <f>SUMIF(58:58,YEAR(E7)&amp;"-"&amp;MONTH(E7),59:59)</f>
        <v>0</v>
      </c>
      <c r="G7" s="1677"/>
      <c r="H7" s="1676">
        <f>SUMIF(58:58,YEAR(G7)&amp;"-"&amp;MONTH(G7),59:59)</f>
        <v>0</v>
      </c>
      <c r="I7" s="1677"/>
      <c r="J7" s="1676">
        <f>SUMIF(58:58,YEAR(I7)&amp;"-"&amp;MONTH(I7),59:59)</f>
        <v>0</v>
      </c>
      <c r="K7" s="1968"/>
      <c r="L7" s="2995"/>
      <c r="M7" s="2968"/>
      <c r="N7" s="2968"/>
      <c r="O7" s="2968"/>
      <c r="P7" s="3420" t="s">
        <v>2256</v>
      </c>
      <c r="Q7" s="3428"/>
      <c r="R7" s="1681" t="s">
        <v>25</v>
      </c>
      <c r="S7" s="1682">
        <f t="shared" ref="S7:S15" si="0">F7</f>
        <v>0</v>
      </c>
      <c r="T7" s="1681" t="s">
        <v>25</v>
      </c>
      <c r="U7" s="1682">
        <f t="shared" ref="U7:U15" si="1">H7</f>
        <v>0</v>
      </c>
      <c r="V7" s="1681" t="s">
        <v>25</v>
      </c>
      <c r="W7" s="1682">
        <f t="shared" ref="W7:W15" si="2">J7</f>
        <v>0</v>
      </c>
      <c r="X7" s="1683"/>
      <c r="Y7" s="3420" t="s">
        <v>2256</v>
      </c>
      <c r="Z7" s="3421"/>
      <c r="AA7" s="1684" t="e">
        <f>D7/F7</f>
        <v>#DIV/0!</v>
      </c>
      <c r="AB7" s="1684" t="e">
        <f>D7/H7</f>
        <v>#DIV/0!</v>
      </c>
      <c r="AC7" s="1684" t="e">
        <f>D7/J7</f>
        <v>#DIV/0!</v>
      </c>
    </row>
    <row r="8" spans="1:29" s="1685" customFormat="1" ht="15.75" thickBot="1">
      <c r="A8" s="1673" t="s">
        <v>2257</v>
      </c>
      <c r="B8" s="1674"/>
      <c r="C8" s="1686" t="s">
        <v>2258</v>
      </c>
      <c r="D8" s="1676">
        <v>100</v>
      </c>
      <c r="E8" s="1686"/>
      <c r="F8" s="1678">
        <f>SUMIF(61:61,E8,62:62)-SUMIF(61:61,C8,62:62)+100</f>
        <v>0</v>
      </c>
      <c r="G8" s="1686"/>
      <c r="H8" s="1676">
        <f>SUMIF(61:61,G8,62:62)-SUMIF(61:61,C8,62:62)+100</f>
        <v>0</v>
      </c>
      <c r="I8" s="1686"/>
      <c r="J8" s="1676">
        <f>SUMIF(61:61,I8,62:62)-SUMIF(61:61,C8,62:62)+100</f>
        <v>0</v>
      </c>
      <c r="K8" s="1968"/>
      <c r="L8" s="2995"/>
      <c r="M8" s="2968"/>
      <c r="N8" s="2968"/>
      <c r="O8" s="2968"/>
      <c r="P8" s="3420" t="s">
        <v>2259</v>
      </c>
      <c r="Q8" s="3421"/>
      <c r="R8" s="1681" t="s">
        <v>25</v>
      </c>
      <c r="S8" s="1682">
        <f t="shared" si="0"/>
        <v>0</v>
      </c>
      <c r="T8" s="1681" t="s">
        <v>25</v>
      </c>
      <c r="U8" s="1682">
        <f t="shared" si="1"/>
        <v>0</v>
      </c>
      <c r="V8" s="1681" t="s">
        <v>25</v>
      </c>
      <c r="W8" s="1682">
        <f t="shared" si="2"/>
        <v>0</v>
      </c>
      <c r="X8" s="1683"/>
      <c r="Y8" s="3420" t="s">
        <v>2259</v>
      </c>
      <c r="Z8" s="3421"/>
      <c r="AA8" s="1684" t="e">
        <f t="shared" ref="AA8:AA46" si="3">D8/F8</f>
        <v>#DIV/0!</v>
      </c>
      <c r="AB8" s="1684" t="e">
        <f t="shared" ref="AB8:AB46" si="4">D8/H8</f>
        <v>#DIV/0!</v>
      </c>
      <c r="AC8" s="1684" t="e">
        <f t="shared" ref="AC8:AC46" si="5">D8/J8</f>
        <v>#DIV/0!</v>
      </c>
    </row>
    <row r="9" spans="1:29" s="1685" customFormat="1">
      <c r="A9" s="2067" t="s">
        <v>2260</v>
      </c>
      <c r="B9" s="1688" t="s">
        <v>2261</v>
      </c>
      <c r="C9" s="1689"/>
      <c r="D9" s="1690">
        <v>100</v>
      </c>
      <c r="E9" s="1691"/>
      <c r="F9" s="1692">
        <f>SUMIF(63:63,E9,64:64)-SUMIF(63:63,C9,64:64)+100</f>
        <v>100</v>
      </c>
      <c r="G9" s="1691"/>
      <c r="H9" s="1690">
        <f>SUMIF(63:63,G9,64:64)-SUMIF(63:63,C9,64:64)+100</f>
        <v>100</v>
      </c>
      <c r="I9" s="1691"/>
      <c r="J9" s="1690">
        <f>SUMIF(63:63,I9,64:64)-SUMIF(63:63,C9,64:64)+100</f>
        <v>100</v>
      </c>
      <c r="K9" s="1968"/>
      <c r="L9" s="2995"/>
      <c r="M9" s="2968"/>
      <c r="N9" s="2968"/>
      <c r="O9" s="2968"/>
      <c r="P9" s="3490" t="s">
        <v>2262</v>
      </c>
      <c r="Q9" s="2066" t="str">
        <f t="shared" ref="Q9:Q15" si="6">B9</f>
        <v>用途</v>
      </c>
      <c r="R9" s="1681" t="s">
        <v>25</v>
      </c>
      <c r="S9" s="1682">
        <f t="shared" si="0"/>
        <v>100</v>
      </c>
      <c r="T9" s="1681" t="s">
        <v>25</v>
      </c>
      <c r="U9" s="1682">
        <f t="shared" si="1"/>
        <v>100</v>
      </c>
      <c r="V9" s="1681" t="s">
        <v>25</v>
      </c>
      <c r="W9" s="1682">
        <f t="shared" si="2"/>
        <v>100</v>
      </c>
      <c r="X9" s="1683"/>
      <c r="Y9" s="3386" t="s">
        <v>2263</v>
      </c>
      <c r="Z9" s="1694" t="str">
        <f t="shared" ref="Z9:Z15" si="7">Q9</f>
        <v>用途</v>
      </c>
      <c r="AA9" s="1684">
        <f t="shared" si="3"/>
        <v>1</v>
      </c>
      <c r="AB9" s="1684">
        <f t="shared" si="4"/>
        <v>1</v>
      </c>
      <c r="AC9" s="1684">
        <f t="shared" si="5"/>
        <v>1</v>
      </c>
    </row>
    <row r="10" spans="1:29" s="1702" customFormat="1" ht="27">
      <c r="A10" s="1695"/>
      <c r="B10" s="1696" t="s">
        <v>2264</v>
      </c>
      <c r="C10" s="1697"/>
      <c r="D10" s="1698">
        <v>100</v>
      </c>
      <c r="E10" s="1699"/>
      <c r="F10" s="1700">
        <f>SUMIF(65:65,E10,66:66)-SUMIF(65:65,C10,66:66)+100</f>
        <v>100</v>
      </c>
      <c r="G10" s="1697"/>
      <c r="H10" s="1698">
        <f>SUMIF(65:65,G10,66:66)-SUMIF(65:65,C10,66:66)+100</f>
        <v>100</v>
      </c>
      <c r="I10" s="1697"/>
      <c r="J10" s="1698">
        <f>SUMIF(65:65,I10,66:66)-SUMIF(65:65,C10,66:66)+100</f>
        <v>100</v>
      </c>
      <c r="K10" s="1993"/>
      <c r="L10" s="2997"/>
      <c r="M10" s="2998"/>
      <c r="N10" s="2998"/>
      <c r="O10" s="2998"/>
      <c r="P10" s="3490"/>
      <c r="Q10" s="2066" t="str">
        <f t="shared" si="6"/>
        <v>土地使用年限（年）</v>
      </c>
      <c r="R10" s="1681" t="s">
        <v>25</v>
      </c>
      <c r="S10" s="1682">
        <f t="shared" si="0"/>
        <v>100</v>
      </c>
      <c r="T10" s="1681" t="s">
        <v>25</v>
      </c>
      <c r="U10" s="1682">
        <f t="shared" si="1"/>
        <v>100</v>
      </c>
      <c r="V10" s="1681" t="s">
        <v>25</v>
      </c>
      <c r="W10" s="1682">
        <f t="shared" si="2"/>
        <v>100</v>
      </c>
      <c r="X10" s="1683"/>
      <c r="Y10" s="3386"/>
      <c r="Z10" s="1694" t="str">
        <f t="shared" si="7"/>
        <v>土地使用年限（年）</v>
      </c>
      <c r="AA10" s="1684">
        <f t="shared" si="3"/>
        <v>1</v>
      </c>
      <c r="AB10" s="1684">
        <f t="shared" si="4"/>
        <v>1</v>
      </c>
      <c r="AC10" s="1684">
        <f t="shared" si="5"/>
        <v>1</v>
      </c>
    </row>
    <row r="11" spans="1:29" ht="15">
      <c r="A11" s="1703"/>
      <c r="B11" s="1696" t="s">
        <v>2265</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2999"/>
      <c r="M11" s="2996"/>
      <c r="N11" s="2996"/>
      <c r="O11" s="2996"/>
      <c r="P11" s="3490"/>
      <c r="Q11" s="2066" t="str">
        <f t="shared" si="6"/>
        <v>容积率</v>
      </c>
      <c r="R11" s="1681" t="s">
        <v>25</v>
      </c>
      <c r="S11" s="1682" t="e">
        <f t="shared" si="0"/>
        <v>#N/A</v>
      </c>
      <c r="T11" s="1681" t="s">
        <v>25</v>
      </c>
      <c r="U11" s="1682" t="e">
        <f t="shared" si="1"/>
        <v>#N/A</v>
      </c>
      <c r="V11" s="1681" t="s">
        <v>25</v>
      </c>
      <c r="W11" s="1682" t="e">
        <f t="shared" si="2"/>
        <v>#N/A</v>
      </c>
      <c r="X11" s="1683"/>
      <c r="Y11" s="338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5"/>
      <c r="M12" s="2968"/>
      <c r="N12" s="2968"/>
      <c r="O12" s="2968"/>
      <c r="P12" s="3490"/>
      <c r="Q12" s="2066">
        <f t="shared" si="6"/>
        <v>111</v>
      </c>
      <c r="R12" s="1681" t="s">
        <v>25</v>
      </c>
      <c r="S12" s="1682">
        <f t="shared" si="0"/>
        <v>100</v>
      </c>
      <c r="T12" s="1681" t="s">
        <v>25</v>
      </c>
      <c r="U12" s="1682">
        <f t="shared" si="1"/>
        <v>100</v>
      </c>
      <c r="V12" s="1681" t="s">
        <v>25</v>
      </c>
      <c r="W12" s="1682">
        <f t="shared" si="2"/>
        <v>100</v>
      </c>
      <c r="X12" s="1683"/>
      <c r="Y12" s="3386"/>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0"/>
      <c r="M13" s="2996"/>
      <c r="N13" s="2996"/>
      <c r="O13" s="2996"/>
      <c r="P13" s="3490"/>
      <c r="Q13" s="2066">
        <f t="shared" si="6"/>
        <v>111</v>
      </c>
      <c r="R13" s="1681" t="s">
        <v>25</v>
      </c>
      <c r="S13" s="1682">
        <f t="shared" si="0"/>
        <v>100</v>
      </c>
      <c r="T13" s="1681" t="s">
        <v>25</v>
      </c>
      <c r="U13" s="1682">
        <f t="shared" si="1"/>
        <v>100</v>
      </c>
      <c r="V13" s="1681" t="s">
        <v>25</v>
      </c>
      <c r="W13" s="1682">
        <f t="shared" si="2"/>
        <v>100</v>
      </c>
      <c r="X13" s="1683"/>
      <c r="Y13" s="3386"/>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0"/>
      <c r="M14" s="2996"/>
      <c r="N14" s="2996"/>
      <c r="O14" s="2996"/>
      <c r="P14" s="3490"/>
      <c r="Q14" s="2066">
        <f t="shared" si="6"/>
        <v>111</v>
      </c>
      <c r="R14" s="1681" t="s">
        <v>25</v>
      </c>
      <c r="S14" s="1682">
        <f t="shared" si="0"/>
        <v>100</v>
      </c>
      <c r="T14" s="1681" t="s">
        <v>25</v>
      </c>
      <c r="U14" s="1682">
        <f t="shared" si="1"/>
        <v>100</v>
      </c>
      <c r="V14" s="1681" t="s">
        <v>25</v>
      </c>
      <c r="W14" s="1682">
        <f t="shared" si="2"/>
        <v>100</v>
      </c>
      <c r="X14" s="1683"/>
      <c r="Y14" s="3386"/>
      <c r="Z14" s="1694">
        <f t="shared" si="7"/>
        <v>111</v>
      </c>
      <c r="AA14" s="1684">
        <f t="shared" si="3"/>
        <v>1</v>
      </c>
      <c r="AB14" s="1684">
        <f t="shared" si="4"/>
        <v>1</v>
      </c>
      <c r="AC14" s="1684">
        <f t="shared" si="5"/>
        <v>1</v>
      </c>
    </row>
    <row r="15" spans="1:29" ht="71.25">
      <c r="A15" s="1718" t="s">
        <v>2266</v>
      </c>
      <c r="B15" s="1719" t="s">
        <v>2352</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0"/>
      <c r="M15" s="2996"/>
      <c r="N15" s="2996"/>
      <c r="O15" s="2996"/>
      <c r="P15" s="3485" t="s">
        <v>2267</v>
      </c>
      <c r="Q15" s="2072" t="str">
        <f t="shared" si="6"/>
        <v>商业繁华度</v>
      </c>
      <c r="R15" s="1726" t="s">
        <v>25</v>
      </c>
      <c r="S15" s="1727">
        <f t="shared" si="0"/>
        <v>100</v>
      </c>
      <c r="T15" s="1726" t="s">
        <v>25</v>
      </c>
      <c r="U15" s="1727">
        <f t="shared" si="1"/>
        <v>100</v>
      </c>
      <c r="V15" s="1726" t="s">
        <v>25</v>
      </c>
      <c r="W15" s="1727">
        <f t="shared" si="2"/>
        <v>100</v>
      </c>
      <c r="X15" s="2075"/>
      <c r="Y15" s="3429" t="s">
        <v>2267</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0"/>
      <c r="M16" s="2996"/>
      <c r="N16" s="2996"/>
      <c r="O16" s="2996"/>
      <c r="P16" s="3486"/>
      <c r="Q16" s="2072"/>
      <c r="R16" s="1726"/>
      <c r="S16" s="1727"/>
      <c r="T16" s="1726"/>
      <c r="U16" s="1727"/>
      <c r="V16" s="1726"/>
      <c r="W16" s="1727"/>
      <c r="X16" s="2075"/>
      <c r="Y16" s="3430"/>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0"/>
      <c r="M17" s="2996"/>
      <c r="N17" s="2996"/>
      <c r="O17" s="2996"/>
      <c r="P17" s="3486"/>
      <c r="Q17" s="2072" t="str">
        <f>B17</f>
        <v>交通便捷度</v>
      </c>
      <c r="R17" s="1726" t="s">
        <v>25</v>
      </c>
      <c r="S17" s="1727">
        <f>F17</f>
        <v>100</v>
      </c>
      <c r="T17" s="1726" t="s">
        <v>25</v>
      </c>
      <c r="U17" s="1727">
        <f>H17</f>
        <v>100</v>
      </c>
      <c r="V17" s="1726" t="s">
        <v>25</v>
      </c>
      <c r="W17" s="1727">
        <f>J17</f>
        <v>100</v>
      </c>
      <c r="X17" s="2075"/>
      <c r="Y17" s="343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0"/>
      <c r="M18" s="2996"/>
      <c r="N18" s="2996"/>
      <c r="O18" s="2996"/>
      <c r="P18" s="3486"/>
      <c r="Q18" s="2072"/>
      <c r="R18" s="1726"/>
      <c r="S18" s="1727"/>
      <c r="T18" s="1726"/>
      <c r="U18" s="1727"/>
      <c r="V18" s="1726"/>
      <c r="W18" s="1727"/>
      <c r="X18" s="2075"/>
      <c r="Y18" s="3430"/>
      <c r="Z18" s="2079"/>
      <c r="AA18" s="2070">
        <v>1</v>
      </c>
      <c r="AB18" s="2070">
        <v>1</v>
      </c>
      <c r="AC18" s="2070">
        <v>1</v>
      </c>
    </row>
    <row r="19" spans="1:29" ht="42.75">
      <c r="A19" s="1703"/>
      <c r="B19" s="1738" t="s">
        <v>2353</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0"/>
      <c r="M19" s="2996"/>
      <c r="N19" s="2996"/>
      <c r="O19" s="2996"/>
      <c r="P19" s="3486"/>
      <c r="Q19" s="2072" t="str">
        <f>B19</f>
        <v>公共配套设施</v>
      </c>
      <c r="R19" s="1726" t="s">
        <v>25</v>
      </c>
      <c r="S19" s="1727">
        <f>F19</f>
        <v>100</v>
      </c>
      <c r="T19" s="1726" t="s">
        <v>25</v>
      </c>
      <c r="U19" s="1727">
        <f>H19</f>
        <v>100</v>
      </c>
      <c r="V19" s="1726" t="s">
        <v>25</v>
      </c>
      <c r="W19" s="1727">
        <f>J19</f>
        <v>100</v>
      </c>
      <c r="X19" s="2075"/>
      <c r="Y19" s="343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0"/>
      <c r="M20" s="2996"/>
      <c r="N20" s="2996"/>
      <c r="O20" s="2996"/>
      <c r="P20" s="3486"/>
      <c r="Q20" s="2072"/>
      <c r="R20" s="1726"/>
      <c r="S20" s="1727"/>
      <c r="T20" s="1726"/>
      <c r="U20" s="1727"/>
      <c r="V20" s="1726"/>
      <c r="W20" s="1727"/>
      <c r="X20" s="2075"/>
      <c r="Y20" s="3430"/>
      <c r="Z20" s="2079"/>
      <c r="AA20" s="2070">
        <v>1</v>
      </c>
      <c r="AB20" s="2070">
        <v>1</v>
      </c>
      <c r="AC20" s="2070">
        <v>1</v>
      </c>
    </row>
    <row r="21" spans="1:29" ht="28.5">
      <c r="A21" s="1703"/>
      <c r="B21" s="1751" t="s">
        <v>2354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0"/>
      <c r="M21" s="2996"/>
      <c r="N21" s="2996"/>
      <c r="O21" s="2996"/>
      <c r="P21" s="3486"/>
      <c r="Q21" s="2072" t="str">
        <f>B21</f>
        <v>基础设施水平</v>
      </c>
      <c r="R21" s="1726" t="s">
        <v>25</v>
      </c>
      <c r="S21" s="1727">
        <f>F21</f>
        <v>100</v>
      </c>
      <c r="T21" s="1726" t="s">
        <v>25</v>
      </c>
      <c r="U21" s="1727">
        <f>H21</f>
        <v>100</v>
      </c>
      <c r="V21" s="1726" t="s">
        <v>25</v>
      </c>
      <c r="W21" s="1727">
        <f>J21</f>
        <v>100</v>
      </c>
      <c r="X21" s="2075"/>
      <c r="Y21" s="343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0"/>
      <c r="M22" s="2996"/>
      <c r="N22" s="2996"/>
      <c r="O22" s="2996"/>
      <c r="P22" s="3486"/>
      <c r="Q22" s="2072"/>
      <c r="R22" s="1726"/>
      <c r="S22" s="1727"/>
      <c r="T22" s="1726"/>
      <c r="U22" s="1727"/>
      <c r="V22" s="1726"/>
      <c r="W22" s="1727"/>
      <c r="X22" s="2075"/>
      <c r="Y22" s="3430"/>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0"/>
      <c r="M23" s="2996"/>
      <c r="N23" s="2996"/>
      <c r="O23" s="2996"/>
      <c r="P23" s="3486"/>
      <c r="Q23" s="2072" t="str">
        <f>B23</f>
        <v>自然及人文环境</v>
      </c>
      <c r="R23" s="1726" t="s">
        <v>25</v>
      </c>
      <c r="S23" s="1727">
        <f>F23</f>
        <v>100</v>
      </c>
      <c r="T23" s="1726" t="s">
        <v>25</v>
      </c>
      <c r="U23" s="1727">
        <f>H23</f>
        <v>100</v>
      </c>
      <c r="V23" s="1726" t="s">
        <v>25</v>
      </c>
      <c r="W23" s="1727">
        <f>J23</f>
        <v>100</v>
      </c>
      <c r="X23" s="2075"/>
      <c r="Y23" s="343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0"/>
      <c r="M24" s="2996"/>
      <c r="N24" s="2996"/>
      <c r="O24" s="2996"/>
      <c r="P24" s="3486"/>
      <c r="Q24" s="2072"/>
      <c r="R24" s="1726"/>
      <c r="S24" s="1727"/>
      <c r="T24" s="1726"/>
      <c r="U24" s="1727"/>
      <c r="V24" s="1726"/>
      <c r="W24" s="1727"/>
      <c r="X24" s="2075"/>
      <c r="Y24" s="3430"/>
      <c r="Z24" s="2079"/>
      <c r="AA24" s="2070">
        <v>1</v>
      </c>
      <c r="AB24" s="2070">
        <v>1</v>
      </c>
      <c r="AC24" s="2070">
        <v>1</v>
      </c>
    </row>
    <row r="25" spans="1:29" ht="15">
      <c r="A25" s="1703"/>
      <c r="B25" s="1696" t="s">
        <v>2355</v>
      </c>
      <c r="C25" s="1992"/>
      <c r="D25" s="1712">
        <v>100</v>
      </c>
      <c r="E25" s="1992"/>
      <c r="F25" s="1755">
        <f>SUMIF(86:86,E25,87:87)-SUMIF(86:86,C25,87:87)+100</f>
        <v>100</v>
      </c>
      <c r="G25" s="1992"/>
      <c r="H25" s="1712">
        <f>SUMIF(86:86,G25,87:87)-SUMIF(86:86,C25,87:87)+100</f>
        <v>100</v>
      </c>
      <c r="I25" s="1992"/>
      <c r="J25" s="1712">
        <f>SUMIF(86:86,I25,87:87)-SUMIF(86:86,C25,87:87)+100</f>
        <v>100</v>
      </c>
      <c r="K25" s="1993"/>
      <c r="L25" s="3000"/>
      <c r="M25" s="2996"/>
      <c r="N25" s="2996"/>
      <c r="O25" s="2996"/>
      <c r="P25" s="3486"/>
      <c r="Q25" s="2072" t="str">
        <f t="shared" ref="Q25:Q46" si="11">B25</f>
        <v>临街状况</v>
      </c>
      <c r="R25" s="1726" t="s">
        <v>25</v>
      </c>
      <c r="S25" s="1727">
        <f>F25</f>
        <v>100</v>
      </c>
      <c r="T25" s="1726" t="s">
        <v>25</v>
      </c>
      <c r="U25" s="1727">
        <f>H25</f>
        <v>100</v>
      </c>
      <c r="V25" s="1726" t="s">
        <v>25</v>
      </c>
      <c r="W25" s="1727">
        <f>J25</f>
        <v>100</v>
      </c>
      <c r="X25" s="2075"/>
      <c r="Y25" s="3430"/>
      <c r="Z25" s="2079" t="str">
        <f>Q25</f>
        <v>临街状况</v>
      </c>
      <c r="AA25" s="2070">
        <f t="shared" si="3"/>
        <v>1</v>
      </c>
      <c r="AB25" s="2070">
        <f t="shared" si="4"/>
        <v>1</v>
      </c>
      <c r="AC25" s="2070">
        <f t="shared" si="5"/>
        <v>1</v>
      </c>
    </row>
    <row r="26" spans="1:29" ht="15">
      <c r="A26" s="1703"/>
      <c r="B26" s="1761" t="s">
        <v>2356</v>
      </c>
      <c r="C26" s="1711"/>
      <c r="D26" s="1712">
        <v>100</v>
      </c>
      <c r="E26" s="1711"/>
      <c r="F26" s="1755">
        <f>SUMIF(88:88,E26,89:89)-SUMIF(88:88,C26,89:89)+100</f>
        <v>100</v>
      </c>
      <c r="G26" s="1711"/>
      <c r="H26" s="1712">
        <f>SUMIF(88:88,G26,89:89)-SUMIF(88:88,C26,89:89)+100</f>
        <v>100</v>
      </c>
      <c r="I26" s="1711"/>
      <c r="J26" s="1712">
        <f>SUMIF(88:88,I26,89:89)-SUMIF(88:88,C26,89:89)+100</f>
        <v>100</v>
      </c>
      <c r="K26" s="1990"/>
      <c r="L26" s="3000"/>
      <c r="M26" s="2996"/>
      <c r="N26" s="2996"/>
      <c r="O26" s="2996"/>
      <c r="P26" s="3486"/>
      <c r="Q26" s="2072" t="str">
        <f t="shared" si="11"/>
        <v>平面位置/可视性</v>
      </c>
      <c r="R26" s="1726" t="s">
        <v>25</v>
      </c>
      <c r="S26" s="1727">
        <f>F26</f>
        <v>100</v>
      </c>
      <c r="T26" s="1726" t="s">
        <v>25</v>
      </c>
      <c r="U26" s="1727">
        <f>H26</f>
        <v>100</v>
      </c>
      <c r="V26" s="1726" t="s">
        <v>25</v>
      </c>
      <c r="W26" s="1727">
        <f>J26</f>
        <v>100</v>
      </c>
      <c r="X26" s="2075"/>
      <c r="Y26" s="3430"/>
      <c r="Z26" s="2079" t="str">
        <f>Q26</f>
        <v>平面位置/可视性</v>
      </c>
      <c r="AA26" s="2070">
        <f t="shared" si="3"/>
        <v>1</v>
      </c>
      <c r="AB26" s="2070">
        <f t="shared" si="4"/>
        <v>1</v>
      </c>
      <c r="AC26" s="2070">
        <f t="shared" si="5"/>
        <v>1</v>
      </c>
    </row>
    <row r="27" spans="1:29" s="1685" customFormat="1" ht="15">
      <c r="A27" s="1706"/>
      <c r="B27" s="1738" t="s">
        <v>2357</v>
      </c>
      <c r="C27" s="2477"/>
      <c r="D27" s="1757">
        <v>100</v>
      </c>
      <c r="E27" s="2477"/>
      <c r="F27" s="1759">
        <f>SUMIF(90:90,E27,91:91)-SUMIF(90:90,C27,91:91)+100</f>
        <v>100</v>
      </c>
      <c r="G27" s="2477"/>
      <c r="H27" s="1757">
        <f>SUMIF(90:90,G27,91:91)-SUMIF(90:90,C27,91:91)+100</f>
        <v>100</v>
      </c>
      <c r="I27" s="2477"/>
      <c r="J27" s="1757">
        <f>SUMIF(90:90,I27,91:91)-SUMIF(90:90,C27,91:91)+100</f>
        <v>100</v>
      </c>
      <c r="K27" s="1993"/>
      <c r="L27" s="2995"/>
      <c r="M27" s="2968"/>
      <c r="N27" s="2968"/>
      <c r="O27" s="2968"/>
      <c r="P27" s="3486"/>
      <c r="Q27" s="2066" t="str">
        <f t="shared" si="11"/>
        <v>人流量</v>
      </c>
      <c r="R27" s="1681" t="s">
        <v>25</v>
      </c>
      <c r="S27" s="1682">
        <f>F27</f>
        <v>100</v>
      </c>
      <c r="T27" s="1681" t="s">
        <v>25</v>
      </c>
      <c r="U27" s="1682">
        <f>H27</f>
        <v>100</v>
      </c>
      <c r="V27" s="1681" t="s">
        <v>25</v>
      </c>
      <c r="W27" s="1682">
        <f>J27</f>
        <v>100</v>
      </c>
      <c r="X27" s="1683"/>
      <c r="Y27" s="3430"/>
      <c r="Z27" s="1694" t="str">
        <f>Q27</f>
        <v>人流量</v>
      </c>
      <c r="AA27" s="2070">
        <f>D27/F27</f>
        <v>1</v>
      </c>
      <c r="AB27" s="2070">
        <f>D27/H27</f>
        <v>1</v>
      </c>
      <c r="AC27" s="2070">
        <f>D27/J27</f>
        <v>1</v>
      </c>
    </row>
    <row r="28" spans="1:29" ht="15">
      <c r="A28" s="1703"/>
      <c r="B28" s="1696" t="s">
        <v>2358</v>
      </c>
      <c r="C28" s="1992"/>
      <c r="D28" s="1712">
        <v>100</v>
      </c>
      <c r="E28" s="1992"/>
      <c r="F28" s="1755">
        <f>SUMIF(92:92,E28,93:93)-SUMIF(92:92,C28,93:93)+100</f>
        <v>100</v>
      </c>
      <c r="G28" s="1992"/>
      <c r="H28" s="1712">
        <f>SUMIF(92:92,G28,93:93)-SUMIF(92:92,C28,93:93)+100</f>
        <v>100</v>
      </c>
      <c r="I28" s="1992"/>
      <c r="J28" s="1712">
        <f>SUMIF(92:92,I28,93:93)-SUMIF(92:92,C28,93:93)+100</f>
        <v>100</v>
      </c>
      <c r="K28" s="1990"/>
      <c r="L28" s="3000"/>
      <c r="M28" s="2996"/>
      <c r="N28" s="2996"/>
      <c r="O28" s="2996"/>
      <c r="P28" s="3486"/>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0"/>
      <c r="M29" s="2996"/>
      <c r="N29" s="2996"/>
      <c r="O29" s="2996"/>
      <c r="P29" s="3486"/>
      <c r="Q29" s="2072">
        <f t="shared" si="11"/>
        <v>111</v>
      </c>
      <c r="R29" s="1726" t="s">
        <v>25</v>
      </c>
      <c r="S29" s="1727">
        <f t="shared" si="12"/>
        <v>100</v>
      </c>
      <c r="T29" s="1726" t="s">
        <v>25</v>
      </c>
      <c r="U29" s="1727">
        <f t="shared" si="13"/>
        <v>100</v>
      </c>
      <c r="V29" s="1726" t="s">
        <v>25</v>
      </c>
      <c r="W29" s="1727">
        <f t="shared" si="14"/>
        <v>100</v>
      </c>
      <c r="X29" s="2075"/>
      <c r="Y29" s="343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0"/>
      <c r="M30" s="2996"/>
      <c r="N30" s="2996"/>
      <c r="O30" s="2996"/>
      <c r="P30" s="3486"/>
      <c r="Q30" s="2072">
        <f t="shared" si="11"/>
        <v>111</v>
      </c>
      <c r="R30" s="1726" t="s">
        <v>25</v>
      </c>
      <c r="S30" s="1727">
        <f t="shared" si="12"/>
        <v>100</v>
      </c>
      <c r="T30" s="1726" t="s">
        <v>25</v>
      </c>
      <c r="U30" s="1727">
        <f t="shared" si="13"/>
        <v>100</v>
      </c>
      <c r="V30" s="1726" t="s">
        <v>25</v>
      </c>
      <c r="W30" s="1727">
        <f t="shared" si="14"/>
        <v>100</v>
      </c>
      <c r="X30" s="2075"/>
      <c r="Y30" s="343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0"/>
      <c r="M31" s="2996"/>
      <c r="N31" s="2996"/>
      <c r="O31" s="2996"/>
      <c r="P31" s="3486"/>
      <c r="Q31" s="2072">
        <f t="shared" si="11"/>
        <v>111</v>
      </c>
      <c r="R31" s="1726" t="s">
        <v>25</v>
      </c>
      <c r="S31" s="1727">
        <f t="shared" si="12"/>
        <v>100</v>
      </c>
      <c r="T31" s="1726" t="s">
        <v>25</v>
      </c>
      <c r="U31" s="1727">
        <f t="shared" si="13"/>
        <v>100</v>
      </c>
      <c r="V31" s="1726" t="s">
        <v>25</v>
      </c>
      <c r="W31" s="1727">
        <f t="shared" si="14"/>
        <v>100</v>
      </c>
      <c r="X31" s="2075"/>
      <c r="Y31" s="3430"/>
      <c r="Z31" s="2079">
        <f t="shared" si="15"/>
        <v>111</v>
      </c>
      <c r="AA31" s="2070">
        <f t="shared" si="3"/>
        <v>1</v>
      </c>
      <c r="AB31" s="2070">
        <f t="shared" si="4"/>
        <v>1</v>
      </c>
      <c r="AC31" s="2070">
        <f t="shared" si="5"/>
        <v>1</v>
      </c>
    </row>
    <row r="32" spans="1:29" ht="15">
      <c r="A32" s="1718" t="s">
        <v>2271</v>
      </c>
      <c r="B32" s="1688" t="s">
        <v>2359</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0"/>
      <c r="M32" s="2996"/>
      <c r="N32" s="2996"/>
      <c r="O32" s="2996"/>
      <c r="P32" s="3487" t="s">
        <v>2273</v>
      </c>
      <c r="Q32" s="2072" t="str">
        <f t="shared" si="11"/>
        <v>商业类型</v>
      </c>
      <c r="R32" s="1726" t="s">
        <v>25</v>
      </c>
      <c r="S32" s="1727">
        <f t="shared" si="12"/>
        <v>100</v>
      </c>
      <c r="T32" s="1726" t="s">
        <v>25</v>
      </c>
      <c r="U32" s="1727">
        <f t="shared" si="13"/>
        <v>100</v>
      </c>
      <c r="V32" s="1726" t="s">
        <v>25</v>
      </c>
      <c r="W32" s="1727">
        <f t="shared" si="14"/>
        <v>100</v>
      </c>
      <c r="X32" s="2075"/>
      <c r="Y32" s="3418" t="s">
        <v>2273</v>
      </c>
      <c r="Z32" s="2079" t="str">
        <f t="shared" si="15"/>
        <v>商业类型</v>
      </c>
      <c r="AA32" s="2070">
        <f t="shared" si="3"/>
        <v>1</v>
      </c>
      <c r="AB32" s="2070">
        <f t="shared" si="4"/>
        <v>1</v>
      </c>
      <c r="AC32" s="2070">
        <f t="shared" si="5"/>
        <v>1</v>
      </c>
    </row>
    <row r="33" spans="1:29" s="1772" customFormat="1" ht="15">
      <c r="A33" s="1765"/>
      <c r="B33" s="1696" t="s">
        <v>2274</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2999"/>
      <c r="M33" s="2060"/>
      <c r="N33" s="2060"/>
      <c r="O33" s="2060"/>
      <c r="P33" s="3488"/>
      <c r="Q33" s="1767" t="str">
        <f t="shared" si="11"/>
        <v>项目建筑规模</v>
      </c>
      <c r="R33" s="1768" t="s">
        <v>25</v>
      </c>
      <c r="S33" s="1769" t="e">
        <f t="shared" si="12"/>
        <v>#N/A</v>
      </c>
      <c r="T33" s="1768" t="s">
        <v>25</v>
      </c>
      <c r="U33" s="1769" t="e">
        <f t="shared" si="13"/>
        <v>#N/A</v>
      </c>
      <c r="V33" s="1768" t="s">
        <v>25</v>
      </c>
      <c r="W33" s="1769" t="e">
        <f t="shared" si="14"/>
        <v>#N/A</v>
      </c>
      <c r="X33" s="1770"/>
      <c r="Y33" s="3418"/>
      <c r="Z33" s="1771" t="str">
        <f t="shared" si="15"/>
        <v>项目建筑规模</v>
      </c>
      <c r="AA33" s="2070" t="e">
        <f t="shared" si="3"/>
        <v>#N/A</v>
      </c>
      <c r="AB33" s="2070" t="e">
        <f t="shared" si="4"/>
        <v>#N/A</v>
      </c>
      <c r="AC33" s="2070" t="e">
        <f t="shared" si="5"/>
        <v>#N/A</v>
      </c>
    </row>
    <row r="34" spans="1:29" ht="15">
      <c r="A34" s="1773"/>
      <c r="B34" s="1696" t="s">
        <v>2275</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0"/>
      <c r="M34" s="2996"/>
      <c r="N34" s="2996"/>
      <c r="O34" s="2996"/>
      <c r="P34" s="3488"/>
      <c r="Q34" s="2072" t="str">
        <f t="shared" si="11"/>
        <v>建筑结构</v>
      </c>
      <c r="R34" s="1726" t="s">
        <v>25</v>
      </c>
      <c r="S34" s="1727">
        <f t="shared" si="12"/>
        <v>100</v>
      </c>
      <c r="T34" s="1726" t="s">
        <v>25</v>
      </c>
      <c r="U34" s="1727">
        <f t="shared" si="13"/>
        <v>100</v>
      </c>
      <c r="V34" s="1726" t="s">
        <v>25</v>
      </c>
      <c r="W34" s="1727">
        <f t="shared" si="14"/>
        <v>100</v>
      </c>
      <c r="X34" s="2075"/>
      <c r="Y34" s="3418"/>
      <c r="Z34" s="2079" t="str">
        <f t="shared" si="15"/>
        <v>建筑结构</v>
      </c>
      <c r="AA34" s="2070">
        <f t="shared" si="3"/>
        <v>1</v>
      </c>
      <c r="AB34" s="2070">
        <f t="shared" si="4"/>
        <v>1</v>
      </c>
      <c r="AC34" s="2070">
        <f t="shared" si="5"/>
        <v>1</v>
      </c>
    </row>
    <row r="35" spans="1:29" ht="15">
      <c r="A35" s="1773"/>
      <c r="B35" s="1696" t="s">
        <v>2360</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0"/>
      <c r="M35" s="2996"/>
      <c r="N35" s="2996"/>
      <c r="O35" s="2996"/>
      <c r="P35" s="3488"/>
      <c r="Q35" s="2072" t="str">
        <f t="shared" si="11"/>
        <v>公共部分装修</v>
      </c>
      <c r="R35" s="1726" t="s">
        <v>25</v>
      </c>
      <c r="S35" s="1727">
        <f t="shared" si="12"/>
        <v>100</v>
      </c>
      <c r="T35" s="1726" t="s">
        <v>25</v>
      </c>
      <c r="U35" s="1727">
        <f t="shared" si="13"/>
        <v>100</v>
      </c>
      <c r="V35" s="1726" t="s">
        <v>25</v>
      </c>
      <c r="W35" s="1727">
        <f t="shared" si="14"/>
        <v>100</v>
      </c>
      <c r="X35" s="2075"/>
      <c r="Y35" s="3418"/>
      <c r="Z35" s="2079" t="str">
        <f t="shared" si="15"/>
        <v>公共部分装修</v>
      </c>
      <c r="AA35" s="2070">
        <f t="shared" si="3"/>
        <v>1</v>
      </c>
      <c r="AB35" s="2070">
        <f t="shared" si="4"/>
        <v>1</v>
      </c>
      <c r="AC35" s="2070">
        <f t="shared" si="5"/>
        <v>1</v>
      </c>
    </row>
    <row r="36" spans="1:29" ht="15">
      <c r="A36" s="1773"/>
      <c r="B36" s="1696" t="s">
        <v>2361</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0"/>
      <c r="M36" s="2996"/>
      <c r="N36" s="2996"/>
      <c r="O36" s="2996"/>
      <c r="P36" s="3488"/>
      <c r="Q36" s="2072" t="str">
        <f t="shared" si="11"/>
        <v>成新度</v>
      </c>
      <c r="R36" s="1726" t="s">
        <v>25</v>
      </c>
      <c r="S36" s="1727" t="e">
        <f t="shared" si="12"/>
        <v>#N/A</v>
      </c>
      <c r="T36" s="1726" t="s">
        <v>25</v>
      </c>
      <c r="U36" s="1727" t="e">
        <f t="shared" si="13"/>
        <v>#N/A</v>
      </c>
      <c r="V36" s="1726" t="s">
        <v>25</v>
      </c>
      <c r="W36" s="1727" t="e">
        <f t="shared" si="14"/>
        <v>#N/A</v>
      </c>
      <c r="X36" s="2075"/>
      <c r="Y36" s="3418"/>
      <c r="Z36" s="2079" t="str">
        <f t="shared" si="15"/>
        <v>成新度</v>
      </c>
      <c r="AA36" s="2070" t="e">
        <f t="shared" si="3"/>
        <v>#N/A</v>
      </c>
      <c r="AB36" s="2070" t="e">
        <f t="shared" si="4"/>
        <v>#N/A</v>
      </c>
      <c r="AC36" s="2070" t="e">
        <f t="shared" si="5"/>
        <v>#N/A</v>
      </c>
    </row>
    <row r="37" spans="1:29" s="1685" customFormat="1" ht="15">
      <c r="A37" s="1776"/>
      <c r="B37" s="1696" t="s">
        <v>2362</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5"/>
      <c r="M37" s="2968"/>
      <c r="N37" s="2968"/>
      <c r="O37" s="2968"/>
      <c r="P37" s="3488"/>
      <c r="Q37" s="2066" t="str">
        <f t="shared" si="11"/>
        <v>市政基础设施</v>
      </c>
      <c r="R37" s="1681" t="s">
        <v>25</v>
      </c>
      <c r="S37" s="1682">
        <f t="shared" si="12"/>
        <v>100</v>
      </c>
      <c r="T37" s="1681" t="s">
        <v>25</v>
      </c>
      <c r="U37" s="1682">
        <f t="shared" si="13"/>
        <v>100</v>
      </c>
      <c r="V37" s="1681" t="s">
        <v>25</v>
      </c>
      <c r="W37" s="1682">
        <f t="shared" si="14"/>
        <v>100</v>
      </c>
      <c r="X37" s="1683"/>
      <c r="Y37" s="3418"/>
      <c r="Z37" s="1694" t="str">
        <f t="shared" si="15"/>
        <v>市政基础设施</v>
      </c>
      <c r="AA37" s="1684">
        <f t="shared" si="3"/>
        <v>1</v>
      </c>
      <c r="AB37" s="1684">
        <f t="shared" si="4"/>
        <v>1</v>
      </c>
      <c r="AC37" s="1684">
        <f t="shared" si="5"/>
        <v>1</v>
      </c>
    </row>
    <row r="38" spans="1:29" ht="15">
      <c r="A38" s="1773"/>
      <c r="B38" s="1696" t="s">
        <v>2363</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0"/>
      <c r="M38" s="2996"/>
      <c r="N38" s="2996"/>
      <c r="O38" s="2996"/>
      <c r="P38" s="3488" t="s">
        <v>2273</v>
      </c>
      <c r="Q38" s="2072" t="str">
        <f t="shared" si="11"/>
        <v>业态</v>
      </c>
      <c r="R38" s="1726" t="s">
        <v>25</v>
      </c>
      <c r="S38" s="1727">
        <f t="shared" si="12"/>
        <v>100</v>
      </c>
      <c r="T38" s="1726" t="s">
        <v>25</v>
      </c>
      <c r="U38" s="1727">
        <f t="shared" si="13"/>
        <v>100</v>
      </c>
      <c r="V38" s="1726" t="s">
        <v>25</v>
      </c>
      <c r="W38" s="1727">
        <f t="shared" si="14"/>
        <v>100</v>
      </c>
      <c r="X38" s="2075"/>
      <c r="Y38" s="3418" t="s">
        <v>2273</v>
      </c>
      <c r="Z38" s="2079" t="str">
        <f t="shared" si="15"/>
        <v>业态</v>
      </c>
      <c r="AA38" s="2070">
        <f t="shared" si="3"/>
        <v>1</v>
      </c>
      <c r="AB38" s="2070">
        <f t="shared" si="4"/>
        <v>1</v>
      </c>
      <c r="AC38" s="2070">
        <f t="shared" si="5"/>
        <v>1</v>
      </c>
    </row>
    <row r="39" spans="1:29" ht="15">
      <c r="A39" s="1773"/>
      <c r="B39" s="1696" t="s">
        <v>2364</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0"/>
      <c r="M39" s="2996"/>
      <c r="N39" s="2996"/>
      <c r="O39" s="2996"/>
      <c r="P39" s="3488"/>
      <c r="Q39" s="2072" t="str">
        <f t="shared" si="11"/>
        <v>层高</v>
      </c>
      <c r="R39" s="1726" t="s">
        <v>25</v>
      </c>
      <c r="S39" s="1727">
        <f t="shared" si="12"/>
        <v>100</v>
      </c>
      <c r="T39" s="1726" t="s">
        <v>25</v>
      </c>
      <c r="U39" s="1727">
        <f t="shared" si="13"/>
        <v>100</v>
      </c>
      <c r="V39" s="1726" t="s">
        <v>25</v>
      </c>
      <c r="W39" s="1727">
        <f t="shared" si="14"/>
        <v>100</v>
      </c>
      <c r="X39" s="2075"/>
      <c r="Y39" s="3418"/>
      <c r="Z39" s="2079" t="str">
        <f t="shared" si="15"/>
        <v>层高</v>
      </c>
      <c r="AA39" s="2070">
        <f t="shared" si="3"/>
        <v>1</v>
      </c>
      <c r="AB39" s="2070">
        <f t="shared" si="4"/>
        <v>1</v>
      </c>
      <c r="AC39" s="2070">
        <f t="shared" si="5"/>
        <v>1</v>
      </c>
    </row>
    <row r="40" spans="1:29" ht="15">
      <c r="A40" s="1773"/>
      <c r="B40" s="1696" t="s">
        <v>2365</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0"/>
      <c r="M40" s="2996"/>
      <c r="N40" s="2996"/>
      <c r="O40" s="2996"/>
      <c r="P40" s="3488"/>
      <c r="Q40" s="2072" t="str">
        <f t="shared" si="11"/>
        <v>单套建筑面积</v>
      </c>
      <c r="R40" s="1726" t="s">
        <v>25</v>
      </c>
      <c r="S40" s="1727">
        <f t="shared" si="12"/>
        <v>100</v>
      </c>
      <c r="T40" s="1726" t="s">
        <v>25</v>
      </c>
      <c r="U40" s="1727">
        <f t="shared" si="13"/>
        <v>100</v>
      </c>
      <c r="V40" s="1726" t="s">
        <v>25</v>
      </c>
      <c r="W40" s="1727">
        <f t="shared" si="14"/>
        <v>100</v>
      </c>
      <c r="X40" s="2075"/>
      <c r="Y40" s="3418"/>
      <c r="Z40" s="2079" t="str">
        <f t="shared" si="15"/>
        <v>单套建筑面积</v>
      </c>
      <c r="AA40" s="2070">
        <f t="shared" si="3"/>
        <v>1</v>
      </c>
      <c r="AB40" s="2070">
        <f t="shared" si="4"/>
        <v>1</v>
      </c>
      <c r="AC40" s="2070">
        <f t="shared" si="5"/>
        <v>1</v>
      </c>
    </row>
    <row r="41" spans="1:29" s="1772" customFormat="1" ht="15">
      <c r="A41" s="1765"/>
      <c r="B41" s="2071" t="s">
        <v>2366</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2999"/>
      <c r="M41" s="2060"/>
      <c r="N41" s="2060"/>
      <c r="O41" s="2060"/>
      <c r="P41" s="3488"/>
      <c r="Q41" s="1767" t="str">
        <f t="shared" si="11"/>
        <v>进深比</v>
      </c>
      <c r="R41" s="1768" t="s">
        <v>25</v>
      </c>
      <c r="S41" s="1769">
        <f t="shared" si="12"/>
        <v>100</v>
      </c>
      <c r="T41" s="1768" t="s">
        <v>25</v>
      </c>
      <c r="U41" s="1769">
        <f t="shared" si="13"/>
        <v>100</v>
      </c>
      <c r="V41" s="1768" t="s">
        <v>25</v>
      </c>
      <c r="W41" s="1769">
        <f t="shared" si="14"/>
        <v>100</v>
      </c>
      <c r="X41" s="1770"/>
      <c r="Y41" s="3418"/>
      <c r="Z41" s="1771" t="str">
        <f t="shared" si="15"/>
        <v>进深比</v>
      </c>
      <c r="AA41" s="2070">
        <f t="shared" si="3"/>
        <v>1</v>
      </c>
      <c r="AB41" s="2070">
        <f t="shared" si="4"/>
        <v>1</v>
      </c>
      <c r="AC41" s="2070">
        <f t="shared" si="5"/>
        <v>1</v>
      </c>
    </row>
    <row r="42" spans="1:29" ht="15">
      <c r="A42" s="1773"/>
      <c r="B42" s="1696" t="s">
        <v>2367</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0"/>
      <c r="M42" s="2996"/>
      <c r="N42" s="2996"/>
      <c r="O42" s="2996"/>
      <c r="P42" s="3488"/>
      <c r="Q42" s="2072" t="str">
        <f t="shared" si="11"/>
        <v>内部装修</v>
      </c>
      <c r="R42" s="1726" t="s">
        <v>25</v>
      </c>
      <c r="S42" s="1727">
        <f t="shared" si="12"/>
        <v>100</v>
      </c>
      <c r="T42" s="1726" t="s">
        <v>25</v>
      </c>
      <c r="U42" s="1727">
        <f t="shared" si="13"/>
        <v>100</v>
      </c>
      <c r="V42" s="1726" t="s">
        <v>25</v>
      </c>
      <c r="W42" s="1727">
        <f t="shared" si="14"/>
        <v>100</v>
      </c>
      <c r="X42" s="2075"/>
      <c r="Y42" s="3418"/>
      <c r="Z42" s="2079" t="str">
        <f t="shared" si="15"/>
        <v>内部装修</v>
      </c>
      <c r="AA42" s="2070">
        <f t="shared" si="3"/>
        <v>1</v>
      </c>
      <c r="AB42" s="2070">
        <f t="shared" si="4"/>
        <v>1</v>
      </c>
      <c r="AC42" s="2070">
        <f t="shared" si="5"/>
        <v>1</v>
      </c>
    </row>
    <row r="43" spans="1:29" ht="15">
      <c r="A43" s="1773"/>
      <c r="B43" s="1696" t="s">
        <v>2284</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0"/>
      <c r="M43" s="2996"/>
      <c r="N43" s="2996"/>
      <c r="O43" s="2996"/>
      <c r="P43" s="3488"/>
      <c r="Q43" s="2072" t="str">
        <f t="shared" si="11"/>
        <v>内部装修维护情况</v>
      </c>
      <c r="R43" s="1726" t="s">
        <v>25</v>
      </c>
      <c r="S43" s="1727">
        <f t="shared" si="12"/>
        <v>100</v>
      </c>
      <c r="T43" s="1726" t="s">
        <v>25</v>
      </c>
      <c r="U43" s="1727">
        <f t="shared" si="13"/>
        <v>100</v>
      </c>
      <c r="V43" s="1726" t="s">
        <v>25</v>
      </c>
      <c r="W43" s="1727">
        <f t="shared" si="14"/>
        <v>100</v>
      </c>
      <c r="X43" s="2075"/>
      <c r="Y43" s="3418"/>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5"/>
      <c r="M44" s="2968"/>
      <c r="N44" s="2968"/>
      <c r="O44" s="2968"/>
      <c r="P44" s="3488"/>
      <c r="Q44" s="2066">
        <f t="shared" si="11"/>
        <v>111</v>
      </c>
      <c r="R44" s="1681" t="s">
        <v>25</v>
      </c>
      <c r="S44" s="1682">
        <f t="shared" si="12"/>
        <v>100</v>
      </c>
      <c r="T44" s="1681" t="s">
        <v>25</v>
      </c>
      <c r="U44" s="1682">
        <f t="shared" si="13"/>
        <v>100</v>
      </c>
      <c r="V44" s="1681" t="s">
        <v>25</v>
      </c>
      <c r="W44" s="1682">
        <f t="shared" si="14"/>
        <v>100</v>
      </c>
      <c r="X44" s="1683"/>
      <c r="Y44" s="341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0"/>
      <c r="M45" s="2996"/>
      <c r="N45" s="2996"/>
      <c r="O45" s="2996"/>
      <c r="P45" s="3488"/>
      <c r="Q45" s="2072">
        <f t="shared" si="11"/>
        <v>111</v>
      </c>
      <c r="R45" s="1726" t="s">
        <v>25</v>
      </c>
      <c r="S45" s="1727">
        <f t="shared" si="12"/>
        <v>100</v>
      </c>
      <c r="T45" s="1726" t="s">
        <v>25</v>
      </c>
      <c r="U45" s="1727">
        <f t="shared" si="13"/>
        <v>100</v>
      </c>
      <c r="V45" s="1726" t="s">
        <v>25</v>
      </c>
      <c r="W45" s="1727">
        <f t="shared" si="14"/>
        <v>100</v>
      </c>
      <c r="X45" s="2075"/>
      <c r="Y45" s="3418"/>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0"/>
      <c r="M46" s="2996"/>
      <c r="N46" s="2996"/>
      <c r="O46" s="2996"/>
      <c r="P46" s="3489"/>
      <c r="Q46" s="2072">
        <f t="shared" si="11"/>
        <v>111</v>
      </c>
      <c r="R46" s="1726" t="s">
        <v>25</v>
      </c>
      <c r="S46" s="1727">
        <f t="shared" si="12"/>
        <v>100</v>
      </c>
      <c r="T46" s="1726" t="s">
        <v>25</v>
      </c>
      <c r="U46" s="1727">
        <f t="shared" si="13"/>
        <v>100</v>
      </c>
      <c r="V46" s="1726" t="s">
        <v>25</v>
      </c>
      <c r="W46" s="1727">
        <f t="shared" si="14"/>
        <v>100</v>
      </c>
      <c r="X46" s="2075"/>
      <c r="Y46" s="3419"/>
      <c r="Z46" s="2079">
        <f t="shared" si="15"/>
        <v>111</v>
      </c>
      <c r="AA46" s="2070">
        <f t="shared" si="3"/>
        <v>1</v>
      </c>
      <c r="AB46" s="2070">
        <f t="shared" si="4"/>
        <v>1</v>
      </c>
      <c r="AC46" s="2070">
        <f t="shared" si="5"/>
        <v>1</v>
      </c>
    </row>
    <row r="47" spans="1:29" ht="15">
      <c r="A47" s="1782" t="s">
        <v>2285</v>
      </c>
      <c r="B47" s="1783"/>
      <c r="C47" s="1784" t="s">
        <v>1</v>
      </c>
      <c r="D47" s="1785"/>
      <c r="E47" s="1786"/>
      <c r="F47" s="1787"/>
      <c r="G47" s="1788"/>
      <c r="H47" s="1789"/>
      <c r="I47" s="1786"/>
      <c r="J47" s="1789"/>
      <c r="K47" s="2014"/>
      <c r="L47" s="3001"/>
      <c r="N47" s="2996"/>
      <c r="P47" s="3412" t="str">
        <f>A47</f>
        <v>成交单价（元/平方米）</v>
      </c>
      <c r="Q47" s="3412"/>
      <c r="R47" s="3413">
        <f>E47</f>
        <v>0</v>
      </c>
      <c r="S47" s="3413"/>
      <c r="T47" s="3413">
        <f>G47</f>
        <v>0</v>
      </c>
      <c r="U47" s="3413"/>
      <c r="V47" s="3413">
        <f>I47</f>
        <v>0</v>
      </c>
      <c r="W47" s="3413"/>
      <c r="X47" s="1792"/>
      <c r="Y47" s="2074"/>
      <c r="Z47" s="1792"/>
      <c r="AA47" s="1792"/>
      <c r="AB47" s="1792"/>
      <c r="AC47" s="1792"/>
    </row>
    <row r="48" spans="1:29" ht="15.75" thickBot="1">
      <c r="A48" s="1794" t="s">
        <v>2368</v>
      </c>
      <c r="B48" s="1795"/>
      <c r="C48" s="1796" t="e">
        <f>R49</f>
        <v>#DIV/0!</v>
      </c>
      <c r="D48" s="1797" t="s">
        <v>2740</v>
      </c>
      <c r="E48" s="1798" t="e">
        <f>R48</f>
        <v>#DIV/0!</v>
      </c>
      <c r="F48" s="1799"/>
      <c r="G48" s="1796" t="e">
        <f>T48</f>
        <v>#DIV/0!</v>
      </c>
      <c r="H48" s="1799"/>
      <c r="I48" s="1798" t="e">
        <f>V48</f>
        <v>#DIV/0!</v>
      </c>
      <c r="J48" s="1799"/>
      <c r="K48" s="2511">
        <f>F48+H48+J48</f>
        <v>0</v>
      </c>
      <c r="L48" s="3001"/>
      <c r="N48" s="2996"/>
      <c r="P48" s="3412" t="str">
        <f>A48</f>
        <v>比较价值（元/平方米）</v>
      </c>
      <c r="Q48" s="3412"/>
      <c r="R48" s="3413" t="e">
        <f>IF(E1="售价",ROUND(PRODUCT(R47,AA7:AA46),0),ROUND(PRODUCT(R47,AA7:AA46),1))</f>
        <v>#DIV/0!</v>
      </c>
      <c r="S48" s="3413"/>
      <c r="T48" s="3413" t="e">
        <f>IF(E1="售价",ROUND(PRODUCT(T47,AB7:AB46),0),ROUND(PRODUCT(T47,AB7:AB46),1))</f>
        <v>#DIV/0!</v>
      </c>
      <c r="U48" s="3413"/>
      <c r="V48" s="3413" t="e">
        <f>IF(E1="售价",ROUND(PRODUCT(V47,AC7:AC46),0),ROUND(PRODUCT(V47,AC7:AC46),1))</f>
        <v>#DIV/0!</v>
      </c>
      <c r="W48" s="3413"/>
      <c r="X48" s="1792"/>
      <c r="Y48" s="1792"/>
      <c r="Z48" s="1792"/>
      <c r="AA48" s="1792"/>
      <c r="AB48" s="1792"/>
      <c r="AC48" s="1792"/>
    </row>
    <row r="49" spans="1:29" ht="15.75" thickBot="1">
      <c r="A49" s="1800" t="s">
        <v>2369</v>
      </c>
      <c r="B49" s="1801"/>
      <c r="C49" s="1803" t="e">
        <f>R49</f>
        <v>#DIV/0!</v>
      </c>
      <c r="D49" s="1803"/>
      <c r="E49" s="1803"/>
      <c r="F49" s="1803"/>
      <c r="G49" s="1803"/>
      <c r="H49" s="1803"/>
      <c r="I49" s="1803"/>
      <c r="J49" s="1803"/>
      <c r="K49" s="2019"/>
      <c r="L49" s="3001"/>
      <c r="N49" s="2996"/>
      <c r="P49" s="3414" t="str">
        <f>A49</f>
        <v>估价对象XX用房的比较价值（楼面单价，元/平方米）</v>
      </c>
      <c r="Q49" s="3415"/>
      <c r="R49" s="3416" t="e">
        <f>IF(E1="售价",ROUND(IF(D48="简单平均",AVERAGE(R48:V48),R48*F48+T48*H48+V48*J48),0),ROUND(IF(D48="简单平均",AVERAGE(R48:V48),R48*F48+T48*H48+V48*J48),1))</f>
        <v>#DIV/0!</v>
      </c>
      <c r="S49" s="3416"/>
      <c r="T49" s="3416"/>
      <c r="U49" s="3416"/>
      <c r="V49" s="3416"/>
      <c r="W49" s="3416"/>
      <c r="X49" s="1792"/>
      <c r="Y49" s="1792"/>
      <c r="Z49" s="1792"/>
      <c r="AA49" s="1792"/>
      <c r="AB49" s="1792"/>
      <c r="AC49" s="1792"/>
    </row>
    <row r="50" spans="1:29">
      <c r="G50" s="3005"/>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2370</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2371</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2372</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8"/>
      <c r="L54" s="3002"/>
      <c r="P54" s="2481"/>
      <c r="Q54" s="1812"/>
      <c r="R54" s="1812"/>
      <c r="S54" s="1812"/>
      <c r="T54" s="1812"/>
      <c r="U54" s="1812"/>
      <c r="V54" s="1812"/>
      <c r="W54" s="1812"/>
      <c r="X54" s="1812"/>
      <c r="Y54" s="1812"/>
      <c r="Z54" s="1812"/>
      <c r="AA54" s="1812"/>
      <c r="AB54" s="1812"/>
      <c r="AC54" s="1812"/>
    </row>
    <row r="55" spans="1:29" s="1814" customFormat="1">
      <c r="B55" s="3006"/>
      <c r="C55" s="3007"/>
      <c r="K55" s="3008"/>
      <c r="L55" s="3002"/>
      <c r="P55" s="2481"/>
      <c r="Q55" s="1812"/>
      <c r="R55" s="1812"/>
      <c r="S55" s="1812"/>
      <c r="T55" s="1812"/>
      <c r="U55" s="1812"/>
      <c r="V55" s="1812"/>
      <c r="W55" s="1812"/>
      <c r="X55" s="1812"/>
      <c r="Y55" s="1812"/>
      <c r="Z55" s="1812"/>
      <c r="AA55" s="1812"/>
      <c r="AB55" s="1812"/>
      <c r="AC55" s="1812"/>
    </row>
    <row r="56" spans="1:29">
      <c r="B56" s="3006"/>
      <c r="C56" s="3007"/>
      <c r="P56" s="2480"/>
      <c r="Q56" s="1791"/>
      <c r="R56" s="1791"/>
      <c r="S56" s="1791"/>
      <c r="T56" s="1791"/>
      <c r="U56" s="1791"/>
      <c r="V56" s="1791"/>
      <c r="W56" s="1791"/>
      <c r="X56" s="1791"/>
      <c r="Y56" s="1791"/>
      <c r="Z56" s="1791"/>
      <c r="AA56" s="1791"/>
      <c r="AB56" s="1791"/>
      <c r="AC56" s="1791"/>
    </row>
    <row r="57" spans="1:29" ht="21.75" thickBot="1">
      <c r="A57" s="1817" t="s">
        <v>2373</v>
      </c>
      <c r="B57" s="1792"/>
      <c r="C57" s="1818"/>
      <c r="D57" s="1818"/>
      <c r="E57" s="1818"/>
      <c r="F57" s="1818"/>
      <c r="G57" s="1818"/>
      <c r="H57" s="1818"/>
      <c r="I57" s="1818"/>
      <c r="J57" s="1818"/>
      <c r="K57" s="1819"/>
      <c r="L57" s="2045"/>
      <c r="M57" s="2043"/>
      <c r="N57" s="3004"/>
      <c r="O57" s="3004"/>
      <c r="P57" s="2482"/>
      <c r="Q57" s="2483"/>
      <c r="R57" s="1791"/>
      <c r="S57" s="1791"/>
      <c r="T57" s="1791"/>
      <c r="U57" s="1791"/>
      <c r="V57" s="1791"/>
      <c r="W57" s="1791"/>
      <c r="X57" s="1791"/>
      <c r="Y57" s="1791"/>
      <c r="Z57" s="1791"/>
      <c r="AA57" s="1791"/>
      <c r="AB57" s="1791"/>
      <c r="AC57" s="1791"/>
    </row>
    <row r="58" spans="1:29" s="1828" customFormat="1" ht="15">
      <c r="A58" s="1823" t="s">
        <v>2255</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2293</v>
      </c>
      <c r="B60" s="1836"/>
      <c r="C60" s="1837"/>
      <c r="D60" s="1838"/>
      <c r="E60" s="1838"/>
      <c r="F60" s="1838"/>
      <c r="G60" s="1838"/>
      <c r="H60" s="1838"/>
      <c r="I60" s="1838"/>
      <c r="J60" s="1838"/>
      <c r="K60" s="1838"/>
      <c r="L60" s="1838"/>
      <c r="M60" s="1839"/>
      <c r="N60" s="1838"/>
      <c r="O60" s="1839"/>
      <c r="P60" s="1834"/>
      <c r="Q60" s="1822"/>
    </row>
    <row r="61" spans="1:29" s="1685" customFormat="1" ht="15">
      <c r="A61" s="1840" t="s">
        <v>2257</v>
      </c>
      <c r="B61" s="1830"/>
      <c r="C61" s="1841" t="s">
        <v>2258</v>
      </c>
      <c r="D61" s="409"/>
      <c r="E61" s="409"/>
      <c r="F61" s="409"/>
      <c r="G61" s="409"/>
      <c r="H61" s="409"/>
      <c r="I61" s="409"/>
      <c r="J61" s="409"/>
      <c r="K61" s="409"/>
      <c r="L61" s="409"/>
      <c r="M61" s="1842"/>
      <c r="N61" s="3013"/>
      <c r="O61" s="3013"/>
      <c r="P61" s="1844"/>
      <c r="Q61" s="1822"/>
    </row>
    <row r="62" spans="1:29" s="1685" customFormat="1" ht="15.75" thickBot="1">
      <c r="A62" s="1840"/>
      <c r="B62" s="1830"/>
      <c r="C62" s="1845">
        <v>100</v>
      </c>
      <c r="D62" s="1832"/>
      <c r="E62" s="1832"/>
      <c r="F62" s="1832"/>
      <c r="G62" s="1832"/>
      <c r="H62" s="1832"/>
      <c r="I62" s="1832"/>
      <c r="J62" s="1832"/>
      <c r="K62" s="1832"/>
      <c r="L62" s="1832"/>
      <c r="M62" s="1846"/>
      <c r="N62" s="3013"/>
      <c r="O62" s="3013"/>
      <c r="P62" s="1834"/>
      <c r="Q62" s="1822"/>
    </row>
    <row r="63" spans="1:29">
      <c r="A63" s="1847" t="s">
        <v>2296</v>
      </c>
      <c r="B63" s="1848" t="s">
        <v>2261</v>
      </c>
      <c r="C63" s="1849">
        <f>C9</f>
        <v>0</v>
      </c>
      <c r="D63" s="1850"/>
      <c r="E63" s="1850"/>
      <c r="F63" s="1850"/>
      <c r="G63" s="1850"/>
      <c r="H63" s="1850"/>
      <c r="I63" s="1850"/>
      <c r="J63" s="1850"/>
      <c r="K63" s="417"/>
      <c r="L63" s="417"/>
      <c r="M63" s="1851"/>
      <c r="N63" s="3014"/>
      <c r="O63" s="3014"/>
      <c r="P63" s="1853"/>
      <c r="Q63" s="1822"/>
    </row>
    <row r="64" spans="1:29" ht="15.75" thickBot="1">
      <c r="A64" s="1854"/>
      <c r="B64" s="1855"/>
      <c r="C64" s="1856">
        <v>100</v>
      </c>
      <c r="D64" s="1856"/>
      <c r="E64" s="1856"/>
      <c r="F64" s="1856"/>
      <c r="G64" s="1856"/>
      <c r="H64" s="1856"/>
      <c r="I64" s="1856"/>
      <c r="J64" s="1856"/>
      <c r="K64" s="1856"/>
      <c r="L64" s="1856"/>
      <c r="M64" s="1857"/>
      <c r="N64" s="3015"/>
      <c r="O64" s="3015"/>
      <c r="P64" s="1853"/>
      <c r="Q64" s="1822"/>
    </row>
    <row r="65" spans="1:17" ht="27.75" thickTop="1">
      <c r="A65" s="1854"/>
      <c r="B65" s="1859" t="s">
        <v>2264</v>
      </c>
      <c r="C65" s="1860" t="s">
        <v>2297</v>
      </c>
      <c r="D65" s="1860" t="s">
        <v>2298</v>
      </c>
      <c r="E65" s="1860" t="s">
        <v>2299</v>
      </c>
      <c r="F65" s="1860" t="s">
        <v>2300</v>
      </c>
      <c r="G65" s="1860" t="s">
        <v>2301</v>
      </c>
      <c r="H65" s="1860" t="s">
        <v>2302</v>
      </c>
      <c r="I65" s="1860" t="s">
        <v>2303</v>
      </c>
      <c r="J65" s="1860"/>
      <c r="K65" s="428"/>
      <c r="L65" s="428"/>
      <c r="M65" s="1861"/>
      <c r="N65" s="3014"/>
      <c r="O65" s="3014"/>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5"/>
      <c r="O66" s="3015"/>
      <c r="P66" s="1853"/>
      <c r="Q66" s="1822"/>
    </row>
    <row r="67" spans="1:17" ht="15.75" thickTop="1">
      <c r="A67" s="1854"/>
      <c r="B67" s="1865" t="s">
        <v>2265</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5"/>
      <c r="O67" s="3015"/>
      <c r="P67" s="1853"/>
      <c r="Q67" s="1822"/>
    </row>
    <row r="68" spans="1:17" ht="15">
      <c r="A68" s="1854"/>
      <c r="B68" s="1867"/>
      <c r="C68" s="1868"/>
      <c r="D68" s="1868"/>
      <c r="E68" s="1868"/>
      <c r="F68" s="1868"/>
      <c r="G68" s="1868"/>
      <c r="H68" s="1868"/>
      <c r="I68" s="1868"/>
      <c r="J68" s="1868"/>
      <c r="K68" s="438"/>
      <c r="L68" s="438"/>
      <c r="M68" s="1869"/>
      <c r="N68" s="3014"/>
      <c r="O68" s="3014"/>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5"/>
      <c r="O69" s="3015"/>
      <c r="P69" s="1853"/>
      <c r="Q69" s="1822"/>
    </row>
    <row r="70" spans="1:17" s="1772" customFormat="1" ht="15.75" thickTop="1">
      <c r="A70" s="1870"/>
      <c r="B70" s="1859">
        <f>B12</f>
        <v>111</v>
      </c>
      <c r="C70" s="468"/>
      <c r="D70" s="468"/>
      <c r="E70" s="468"/>
      <c r="F70" s="468"/>
      <c r="G70" s="468"/>
      <c r="H70" s="443"/>
      <c r="I70" s="443"/>
      <c r="J70" s="443"/>
      <c r="K70" s="443"/>
      <c r="L70" s="443"/>
      <c r="M70" s="1871"/>
      <c r="N70" s="3016"/>
      <c r="O70" s="3016"/>
      <c r="P70" s="1873"/>
      <c r="Q70" s="1874"/>
    </row>
    <row r="71" spans="1:17" s="1772" customFormat="1" ht="15.75" thickBot="1">
      <c r="A71" s="1870"/>
      <c r="B71" s="1862"/>
      <c r="C71" s="1875"/>
      <c r="D71" s="1856"/>
      <c r="E71" s="1856"/>
      <c r="F71" s="1856"/>
      <c r="G71" s="1856"/>
      <c r="H71" s="1856"/>
      <c r="I71" s="1856"/>
      <c r="J71" s="1856"/>
      <c r="K71" s="1856"/>
      <c r="L71" s="1856"/>
      <c r="M71" s="1857"/>
      <c r="N71" s="3015"/>
      <c r="O71" s="3015"/>
      <c r="P71" s="1873"/>
      <c r="Q71" s="1874"/>
    </row>
    <row r="72" spans="1:17" s="1772" customFormat="1" ht="15.75" thickTop="1">
      <c r="A72" s="1870"/>
      <c r="B72" s="1859">
        <f>B13</f>
        <v>111</v>
      </c>
      <c r="C72" s="468"/>
      <c r="D72" s="468"/>
      <c r="E72" s="468"/>
      <c r="F72" s="468"/>
      <c r="G72" s="468"/>
      <c r="H72" s="443"/>
      <c r="I72" s="443"/>
      <c r="J72" s="443"/>
      <c r="K72" s="443"/>
      <c r="L72" s="443"/>
      <c r="M72" s="1871"/>
      <c r="N72" s="3016"/>
      <c r="O72" s="3016"/>
      <c r="P72" s="1876"/>
      <c r="Q72" s="1877"/>
    </row>
    <row r="73" spans="1:17" s="1772" customFormat="1" ht="15.75" thickBot="1">
      <c r="A73" s="1870"/>
      <c r="B73" s="1862"/>
      <c r="C73" s="1875"/>
      <c r="D73" s="1856"/>
      <c r="E73" s="1856"/>
      <c r="F73" s="1856"/>
      <c r="G73" s="1875"/>
      <c r="H73" s="1878"/>
      <c r="I73" s="1878"/>
      <c r="J73" s="1878"/>
      <c r="K73" s="1878"/>
      <c r="L73" s="1878"/>
      <c r="M73" s="1879"/>
      <c r="N73" s="3016"/>
      <c r="O73" s="3016"/>
      <c r="P73" s="1873"/>
      <c r="Q73" s="1874"/>
    </row>
    <row r="74" spans="1:17" s="1772" customFormat="1" ht="15.75" thickTop="1">
      <c r="A74" s="1870"/>
      <c r="B74" s="1865">
        <f>B14</f>
        <v>111</v>
      </c>
      <c r="C74" s="468"/>
      <c r="D74" s="468"/>
      <c r="E74" s="468"/>
      <c r="F74" s="468"/>
      <c r="G74" s="409"/>
      <c r="H74" s="453"/>
      <c r="I74" s="453"/>
      <c r="J74" s="453"/>
      <c r="K74" s="453"/>
      <c r="L74" s="453"/>
      <c r="M74" s="1880"/>
      <c r="N74" s="3016"/>
      <c r="O74" s="3016"/>
      <c r="P74" s="1873"/>
      <c r="Q74" s="1874"/>
    </row>
    <row r="75" spans="1:17" s="1772" customFormat="1" ht="15.75" thickBot="1">
      <c r="A75" s="1881"/>
      <c r="B75" s="1882"/>
      <c r="C75" s="1883"/>
      <c r="D75" s="1883"/>
      <c r="E75" s="1883"/>
      <c r="F75" s="1883"/>
      <c r="G75" s="1883"/>
      <c r="H75" s="1884"/>
      <c r="I75" s="1884"/>
      <c r="J75" s="1884"/>
      <c r="K75" s="1884"/>
      <c r="L75" s="1884"/>
      <c r="M75" s="1885"/>
      <c r="N75" s="3016"/>
      <c r="O75" s="3016"/>
      <c r="P75" s="1873"/>
      <c r="Q75" s="1874"/>
    </row>
    <row r="76" spans="1:17">
      <c r="A76" s="1847" t="s">
        <v>2266</v>
      </c>
      <c r="B76" s="1848" t="s">
        <v>2304</v>
      </c>
      <c r="C76" s="1886" t="s">
        <v>2305</v>
      </c>
      <c r="D76" s="1886" t="s">
        <v>2306</v>
      </c>
      <c r="E76" s="1886" t="s">
        <v>2307</v>
      </c>
      <c r="F76" s="1886" t="s">
        <v>2308</v>
      </c>
      <c r="G76" s="1886" t="s">
        <v>2309</v>
      </c>
      <c r="H76" s="1849"/>
      <c r="I76" s="1849"/>
      <c r="J76" s="1849"/>
      <c r="K76" s="463"/>
      <c r="L76" s="463"/>
      <c r="M76" s="1887"/>
      <c r="N76" s="3014"/>
      <c r="O76" s="3014"/>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5"/>
      <c r="O77" s="3015"/>
      <c r="P77" s="1853"/>
      <c r="Q77" s="1822"/>
    </row>
    <row r="78" spans="1:17" ht="15.75" thickTop="1">
      <c r="A78" s="1854"/>
      <c r="B78" s="1859" t="s">
        <v>2310</v>
      </c>
      <c r="C78" s="579" t="s">
        <v>2305</v>
      </c>
      <c r="D78" s="579" t="s">
        <v>2306</v>
      </c>
      <c r="E78" s="579" t="s">
        <v>2307</v>
      </c>
      <c r="F78" s="579" t="s">
        <v>2308</v>
      </c>
      <c r="G78" s="579" t="s">
        <v>2309</v>
      </c>
      <c r="H78" s="1860"/>
      <c r="I78" s="1860"/>
      <c r="J78" s="1860"/>
      <c r="K78" s="428"/>
      <c r="L78" s="428"/>
      <c r="M78" s="1861"/>
      <c r="N78" s="3014"/>
      <c r="O78" s="3014"/>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5"/>
      <c r="O79" s="3015"/>
      <c r="P79" s="1853"/>
      <c r="Q79" s="1822"/>
    </row>
    <row r="80" spans="1:17" ht="15.75" thickTop="1">
      <c r="A80" s="1854"/>
      <c r="B80" s="1859" t="s">
        <v>2311</v>
      </c>
      <c r="C80" s="579" t="s">
        <v>2305</v>
      </c>
      <c r="D80" s="579" t="s">
        <v>2306</v>
      </c>
      <c r="E80" s="579" t="s">
        <v>2307</v>
      </c>
      <c r="F80" s="579" t="s">
        <v>2308</v>
      </c>
      <c r="G80" s="579" t="s">
        <v>2309</v>
      </c>
      <c r="H80" s="1860"/>
      <c r="I80" s="1860"/>
      <c r="J80" s="1860"/>
      <c r="K80" s="428"/>
      <c r="L80" s="428"/>
      <c r="M80" s="1861"/>
      <c r="N80" s="3014"/>
      <c r="O80" s="3014"/>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5"/>
      <c r="O81" s="3015"/>
      <c r="P81" s="1853"/>
      <c r="Q81" s="1822"/>
    </row>
    <row r="82" spans="1:17" ht="15.75" thickTop="1">
      <c r="A82" s="1854"/>
      <c r="B82" s="1865" t="s">
        <v>2354</v>
      </c>
      <c r="C82" s="1860" t="s">
        <v>2312</v>
      </c>
      <c r="D82" s="1860" t="s">
        <v>2313</v>
      </c>
      <c r="E82" s="1860" t="s">
        <v>2314</v>
      </c>
      <c r="F82" s="1860" t="s">
        <v>2315</v>
      </c>
      <c r="G82" s="1860" t="s">
        <v>2316</v>
      </c>
      <c r="H82" s="1860"/>
      <c r="I82" s="1860"/>
      <c r="J82" s="1860"/>
      <c r="K82" s="1860"/>
      <c r="L82" s="1860"/>
      <c r="M82" s="1888"/>
      <c r="N82" s="3015"/>
      <c r="O82" s="3015"/>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5"/>
      <c r="O83" s="3015"/>
      <c r="P83" s="1853"/>
      <c r="Q83" s="1822"/>
    </row>
    <row r="84" spans="1:17" ht="15.75" thickTop="1">
      <c r="A84" s="1854"/>
      <c r="B84" s="1859" t="s">
        <v>2317</v>
      </c>
      <c r="C84" s="579" t="s">
        <v>2305</v>
      </c>
      <c r="D84" s="579" t="s">
        <v>2306</v>
      </c>
      <c r="E84" s="579" t="s">
        <v>2307</v>
      </c>
      <c r="F84" s="579" t="s">
        <v>2308</v>
      </c>
      <c r="G84" s="579" t="s">
        <v>2309</v>
      </c>
      <c r="H84" s="1860"/>
      <c r="I84" s="1860"/>
      <c r="J84" s="1860"/>
      <c r="K84" s="428"/>
      <c r="L84" s="428"/>
      <c r="M84" s="1861"/>
      <c r="N84" s="3014"/>
      <c r="O84" s="3014"/>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5"/>
      <c r="O85" s="3015"/>
      <c r="P85" s="1853"/>
      <c r="Q85" s="1822"/>
    </row>
    <row r="86" spans="1:17" s="1685" customFormat="1" ht="15.75" thickTop="1">
      <c r="A86" s="1890"/>
      <c r="B86" s="1859" t="s">
        <v>2374</v>
      </c>
      <c r="C86" s="468"/>
      <c r="D86" s="468"/>
      <c r="E86" s="468"/>
      <c r="F86" s="468"/>
      <c r="G86" s="468"/>
      <c r="H86" s="468"/>
      <c r="I86" s="468"/>
      <c r="J86" s="468"/>
      <c r="K86" s="468"/>
      <c r="L86" s="468"/>
      <c r="M86" s="1891"/>
      <c r="N86" s="3013"/>
      <c r="O86" s="3013"/>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5"/>
      <c r="O87" s="3015"/>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3"/>
      <c r="O88" s="3013"/>
      <c r="P88" s="1853"/>
      <c r="Q88" s="1822"/>
    </row>
    <row r="89" spans="1:17" s="1685" customFormat="1" ht="15.75" thickBot="1">
      <c r="A89" s="1890"/>
      <c r="B89" s="1862"/>
      <c r="C89" s="1875"/>
      <c r="D89" s="1856"/>
      <c r="E89" s="1856"/>
      <c r="F89" s="1856"/>
      <c r="G89" s="1856"/>
      <c r="H89" s="1856"/>
      <c r="I89" s="1856"/>
      <c r="J89" s="1856"/>
      <c r="K89" s="1856"/>
      <c r="L89" s="1856"/>
      <c r="M89" s="1856"/>
      <c r="N89" s="3015"/>
      <c r="O89" s="3015"/>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6"/>
      <c r="O90" s="3016"/>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6"/>
      <c r="O91" s="3016"/>
      <c r="P91" s="1873"/>
      <c r="Q91" s="1874"/>
    </row>
    <row r="92" spans="1:17" ht="15.75" thickTop="1">
      <c r="A92" s="1854"/>
      <c r="B92" s="1859" t="str">
        <f>B28</f>
        <v>楼层</v>
      </c>
      <c r="C92" s="468"/>
      <c r="D92" s="468"/>
      <c r="E92" s="468"/>
      <c r="F92" s="468"/>
      <c r="G92" s="468"/>
      <c r="H92" s="468"/>
      <c r="I92" s="468"/>
      <c r="J92" s="468"/>
      <c r="K92" s="468"/>
      <c r="L92" s="468"/>
      <c r="M92" s="1891"/>
      <c r="N92" s="3014"/>
      <c r="O92" s="3014"/>
      <c r="P92" s="1853"/>
      <c r="Q92" s="1822"/>
    </row>
    <row r="93" spans="1:17" ht="15.75" thickBot="1">
      <c r="A93" s="1854"/>
      <c r="B93" s="1862"/>
      <c r="C93" s="1856"/>
      <c r="D93" s="1856"/>
      <c r="E93" s="1856"/>
      <c r="F93" s="1856"/>
      <c r="G93" s="1856"/>
      <c r="H93" s="1856"/>
      <c r="I93" s="1856"/>
      <c r="J93" s="1856"/>
      <c r="K93" s="1856"/>
      <c r="L93" s="1856"/>
      <c r="M93" s="1857"/>
      <c r="N93" s="3015"/>
      <c r="O93" s="3015"/>
      <c r="P93" s="1853"/>
      <c r="Q93" s="1822"/>
    </row>
    <row r="94" spans="1:17" ht="15.75" thickTop="1">
      <c r="A94" s="1854"/>
      <c r="B94" s="1859">
        <f>B29</f>
        <v>111</v>
      </c>
      <c r="C94" s="468"/>
      <c r="D94" s="468"/>
      <c r="E94" s="468"/>
      <c r="F94" s="468"/>
      <c r="G94" s="1578"/>
      <c r="H94" s="1578"/>
      <c r="I94" s="1578"/>
      <c r="J94" s="1578"/>
      <c r="K94" s="473"/>
      <c r="L94" s="473"/>
      <c r="M94" s="1894"/>
      <c r="N94" s="3014"/>
      <c r="O94" s="3014"/>
      <c r="P94" s="1853"/>
      <c r="Q94" s="1822"/>
    </row>
    <row r="95" spans="1:17" ht="15.75" thickBot="1">
      <c r="A95" s="1854"/>
      <c r="B95" s="1862"/>
      <c r="C95" s="1875"/>
      <c r="D95" s="1856"/>
      <c r="E95" s="1856"/>
      <c r="F95" s="1856"/>
      <c r="G95" s="1856"/>
      <c r="H95" s="1856"/>
      <c r="I95" s="1856"/>
      <c r="J95" s="1856"/>
      <c r="K95" s="1856"/>
      <c r="L95" s="1856"/>
      <c r="M95" s="1857"/>
      <c r="N95" s="3015"/>
      <c r="O95" s="3015"/>
      <c r="P95" s="1853"/>
      <c r="Q95" s="1822"/>
    </row>
    <row r="96" spans="1:17" ht="15.75" thickTop="1">
      <c r="A96" s="1854"/>
      <c r="B96" s="1859">
        <f>B30</f>
        <v>111</v>
      </c>
      <c r="C96" s="468"/>
      <c r="D96" s="468"/>
      <c r="E96" s="468"/>
      <c r="F96" s="468"/>
      <c r="G96" s="1578"/>
      <c r="H96" s="1578"/>
      <c r="I96" s="1578"/>
      <c r="J96" s="1578"/>
      <c r="K96" s="473"/>
      <c r="L96" s="473"/>
      <c r="M96" s="1894"/>
      <c r="N96" s="3014"/>
      <c r="O96" s="3014"/>
      <c r="P96" s="1853"/>
      <c r="Q96" s="1822"/>
    </row>
    <row r="97" spans="1:17" ht="15.75" thickBot="1">
      <c r="A97" s="1854"/>
      <c r="B97" s="1862"/>
      <c r="C97" s="1875"/>
      <c r="D97" s="1856"/>
      <c r="E97" s="1856"/>
      <c r="F97" s="1856"/>
      <c r="G97" s="1856"/>
      <c r="H97" s="1856"/>
      <c r="I97" s="1856"/>
      <c r="J97" s="1856"/>
      <c r="K97" s="1856"/>
      <c r="L97" s="1856"/>
      <c r="M97" s="1857"/>
      <c r="N97" s="3015"/>
      <c r="O97" s="3015"/>
      <c r="P97" s="1853"/>
      <c r="Q97" s="1822"/>
    </row>
    <row r="98" spans="1:17" ht="15.75" thickTop="1">
      <c r="A98" s="1854"/>
      <c r="B98" s="1865">
        <f>B31</f>
        <v>111</v>
      </c>
      <c r="C98" s="468"/>
      <c r="D98" s="468"/>
      <c r="E98" s="468"/>
      <c r="F98" s="468"/>
      <c r="G98" s="1895"/>
      <c r="H98" s="1895"/>
      <c r="I98" s="1895"/>
      <c r="J98" s="1895"/>
      <c r="K98" s="477"/>
      <c r="L98" s="477"/>
      <c r="M98" s="1896"/>
      <c r="N98" s="3014"/>
      <c r="O98" s="3014"/>
      <c r="P98" s="1853"/>
      <c r="Q98" s="1822"/>
    </row>
    <row r="99" spans="1:17" ht="15.75" thickBot="1">
      <c r="A99" s="1897"/>
      <c r="B99" s="1882"/>
      <c r="C99" s="1883"/>
      <c r="D99" s="1883"/>
      <c r="E99" s="1883"/>
      <c r="F99" s="1883"/>
      <c r="G99" s="1898"/>
      <c r="H99" s="1898"/>
      <c r="I99" s="1898"/>
      <c r="J99" s="1898"/>
      <c r="K99" s="1898"/>
      <c r="L99" s="1898"/>
      <c r="M99" s="1899"/>
      <c r="N99" s="3015"/>
      <c r="O99" s="3015"/>
      <c r="P99" s="1853"/>
      <c r="Q99" s="1822"/>
    </row>
    <row r="100" spans="1:17">
      <c r="A100" s="1847" t="s">
        <v>2271</v>
      </c>
      <c r="B100" s="1848" t="s">
        <v>2375</v>
      </c>
      <c r="C100" s="1850"/>
      <c r="D100" s="1850"/>
      <c r="E100" s="1850"/>
      <c r="F100" s="1850"/>
      <c r="G100" s="1850"/>
      <c r="H100" s="1850"/>
      <c r="I100" s="1850"/>
      <c r="J100" s="1850"/>
      <c r="K100" s="417"/>
      <c r="L100" s="417"/>
      <c r="M100" s="1851"/>
      <c r="N100" s="3014"/>
      <c r="O100" s="3014"/>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5"/>
      <c r="O101" s="3015"/>
      <c r="P101" s="1853"/>
      <c r="Q101" s="1822"/>
    </row>
    <row r="102" spans="1:17" ht="15.75" thickTop="1">
      <c r="A102" s="1854"/>
      <c r="B102" s="1859" t="s">
        <v>2321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3"/>
      <c r="O102" s="3013"/>
      <c r="P102" s="1853"/>
      <c r="Q102" s="1822"/>
    </row>
    <row r="103" spans="1:17" s="1772" customFormat="1">
      <c r="A103" s="1900"/>
      <c r="B103" s="1901"/>
      <c r="C103" s="1902"/>
      <c r="D103" s="1902"/>
      <c r="E103" s="1902"/>
      <c r="F103" s="1902"/>
      <c r="G103" s="1902"/>
      <c r="H103" s="1902"/>
      <c r="I103" s="1902"/>
      <c r="J103" s="485"/>
      <c r="K103" s="485"/>
      <c r="L103" s="485"/>
      <c r="M103" s="1903"/>
      <c r="N103" s="3016"/>
      <c r="O103" s="3016"/>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5"/>
      <c r="O104" s="3015"/>
      <c r="P104" s="1873"/>
      <c r="Q104" s="1874"/>
    </row>
    <row r="105" spans="1:17" ht="15" thickTop="1">
      <c r="A105" s="1904"/>
      <c r="B105" s="1859" t="s">
        <v>2322</v>
      </c>
      <c r="C105" s="468"/>
      <c r="D105" s="468"/>
      <c r="E105" s="1578"/>
      <c r="F105" s="1578"/>
      <c r="G105" s="1578"/>
      <c r="H105" s="1578"/>
      <c r="I105" s="1578"/>
      <c r="J105" s="1578"/>
      <c r="K105" s="473"/>
      <c r="L105" s="473"/>
      <c r="M105" s="1894"/>
      <c r="N105" s="3014"/>
      <c r="O105" s="3014"/>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5"/>
      <c r="O106" s="3015"/>
      <c r="P106" s="1853"/>
      <c r="Q106" s="1822"/>
    </row>
    <row r="107" spans="1:17" ht="15" thickTop="1">
      <c r="A107" s="1904"/>
      <c r="B107" s="1859" t="s">
        <v>2324</v>
      </c>
      <c r="C107" s="468"/>
      <c r="D107" s="468"/>
      <c r="E107" s="468"/>
      <c r="F107" s="1578"/>
      <c r="G107" s="1578"/>
      <c r="H107" s="1578"/>
      <c r="I107" s="1578"/>
      <c r="J107" s="1578"/>
      <c r="K107" s="473"/>
      <c r="L107" s="473"/>
      <c r="M107" s="1894"/>
      <c r="N107" s="3014"/>
      <c r="O107" s="3014"/>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5"/>
      <c r="O108" s="3015"/>
      <c r="P108" s="1853"/>
      <c r="Q108" s="1822"/>
    </row>
    <row r="109" spans="1:17" ht="15" thickTop="1">
      <c r="A109" s="1904"/>
      <c r="B109" s="1859" t="s">
        <v>2325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4"/>
      <c r="O109" s="3014"/>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4"/>
      <c r="O110" s="3014"/>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5"/>
      <c r="O111" s="3015"/>
      <c r="P111" s="1853"/>
      <c r="Q111" s="1822"/>
    </row>
    <row r="112" spans="1:17" s="1772" customFormat="1" ht="15" thickTop="1">
      <c r="A112" s="1900"/>
      <c r="B112" s="1859" t="s">
        <v>2327</v>
      </c>
      <c r="C112" s="468"/>
      <c r="D112" s="468"/>
      <c r="E112" s="468"/>
      <c r="F112" s="468"/>
      <c r="G112" s="468"/>
      <c r="H112" s="1578"/>
      <c r="I112" s="1578"/>
      <c r="J112" s="1578"/>
      <c r="K112" s="473"/>
      <c r="L112" s="473"/>
      <c r="M112" s="1894"/>
      <c r="N112" s="3016"/>
      <c r="O112" s="3016"/>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6"/>
      <c r="O113" s="3016"/>
      <c r="P113" s="1873"/>
      <c r="Q113" s="1874"/>
    </row>
    <row r="114" spans="1:17" ht="15" thickTop="1">
      <c r="A114" s="1904"/>
      <c r="B114" s="1859" t="s">
        <v>2376</v>
      </c>
      <c r="C114" s="468"/>
      <c r="D114" s="468"/>
      <c r="E114" s="1578"/>
      <c r="F114" s="1578"/>
      <c r="G114" s="1578"/>
      <c r="H114" s="1578"/>
      <c r="I114" s="1578"/>
      <c r="J114" s="1578"/>
      <c r="K114" s="473"/>
      <c r="L114" s="473"/>
      <c r="M114" s="1894"/>
      <c r="N114" s="3014"/>
      <c r="O114" s="3014"/>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5"/>
      <c r="O115" s="3015"/>
      <c r="P115" s="1853"/>
      <c r="Q115" s="1822"/>
    </row>
    <row r="116" spans="1:17" ht="15" thickTop="1">
      <c r="A116" s="1904"/>
      <c r="B116" s="1859" t="s">
        <v>2377</v>
      </c>
      <c r="C116" s="468"/>
      <c r="D116" s="468"/>
      <c r="E116" s="468"/>
      <c r="F116" s="468"/>
      <c r="G116" s="468"/>
      <c r="H116" s="1578"/>
      <c r="I116" s="1578"/>
      <c r="J116" s="1578"/>
      <c r="K116" s="473"/>
      <c r="L116" s="473"/>
      <c r="M116" s="1894"/>
      <c r="N116" s="3014"/>
      <c r="O116" s="3014"/>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5"/>
      <c r="O117" s="3015"/>
      <c r="P117" s="1853"/>
      <c r="Q117" s="1822"/>
    </row>
    <row r="118" spans="1:17" ht="15" thickTop="1">
      <c r="A118" s="1904"/>
      <c r="B118" s="1859" t="s">
        <v>2378</v>
      </c>
      <c r="C118" s="2486"/>
      <c r="D118" s="2486"/>
      <c r="E118" s="2486"/>
      <c r="F118" s="2486"/>
      <c r="G118" s="2486"/>
      <c r="H118" s="443"/>
      <c r="I118" s="443"/>
      <c r="J118" s="443"/>
      <c r="K118" s="443"/>
      <c r="L118" s="443"/>
      <c r="M118" s="1871"/>
      <c r="N118" s="3014"/>
      <c r="O118" s="3014"/>
      <c r="P118" s="1853"/>
      <c r="Q118" s="1822"/>
    </row>
    <row r="119" spans="1:17" ht="15.75" thickBot="1">
      <c r="A119" s="1854"/>
      <c r="B119" s="1862"/>
      <c r="C119" s="1875"/>
      <c r="D119" s="1856"/>
      <c r="E119" s="1856"/>
      <c r="F119" s="1856"/>
      <c r="G119" s="1856"/>
      <c r="H119" s="1856"/>
      <c r="I119" s="1856"/>
      <c r="J119" s="1856"/>
      <c r="K119" s="1856"/>
      <c r="L119" s="1856"/>
      <c r="M119" s="1857"/>
      <c r="N119" s="3015"/>
      <c r="O119" s="3015"/>
      <c r="P119" s="1853"/>
      <c r="Q119" s="1822"/>
    </row>
    <row r="120" spans="1:17" s="1772" customFormat="1" ht="15" thickTop="1">
      <c r="A120" s="1900"/>
      <c r="B120" s="1859" t="s">
        <v>2379</v>
      </c>
      <c r="C120" s="1578"/>
      <c r="D120" s="1578"/>
      <c r="E120" s="1578"/>
      <c r="F120" s="1578"/>
      <c r="G120" s="443"/>
      <c r="H120" s="443"/>
      <c r="I120" s="443"/>
      <c r="J120" s="443"/>
      <c r="K120" s="443"/>
      <c r="L120" s="443"/>
      <c r="M120" s="1871"/>
      <c r="N120" s="3016"/>
      <c r="O120" s="3016"/>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6"/>
      <c r="O121" s="3016"/>
      <c r="P121" s="1873"/>
      <c r="Q121" s="1874"/>
    </row>
    <row r="122" spans="1:17" ht="15" thickTop="1">
      <c r="A122" s="1904"/>
      <c r="B122" s="1859" t="s">
        <v>2329</v>
      </c>
      <c r="C122" s="468"/>
      <c r="D122" s="468"/>
      <c r="E122" s="468"/>
      <c r="F122" s="1578"/>
      <c r="G122" s="1578"/>
      <c r="H122" s="1578"/>
      <c r="I122" s="1578"/>
      <c r="J122" s="1578"/>
      <c r="K122" s="473"/>
      <c r="L122" s="473"/>
      <c r="M122" s="1894"/>
      <c r="N122" s="3014"/>
      <c r="O122" s="3014"/>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5"/>
      <c r="O123" s="3015"/>
      <c r="P123" s="1853"/>
      <c r="Q123" s="1822"/>
    </row>
    <row r="124" spans="1:17" ht="15" thickTop="1">
      <c r="A124" s="1904"/>
      <c r="B124" s="1859" t="s">
        <v>2330</v>
      </c>
      <c r="C124" s="579" t="s">
        <v>2305</v>
      </c>
      <c r="D124" s="579" t="s">
        <v>2306</v>
      </c>
      <c r="E124" s="579" t="s">
        <v>2307</v>
      </c>
      <c r="F124" s="579" t="s">
        <v>2308</v>
      </c>
      <c r="G124" s="579" t="s">
        <v>2309</v>
      </c>
      <c r="H124" s="1860"/>
      <c r="I124" s="1860"/>
      <c r="J124" s="1860"/>
      <c r="K124" s="428"/>
      <c r="L124" s="428"/>
      <c r="M124" s="1861"/>
      <c r="N124" s="3014"/>
      <c r="O124" s="3014"/>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5"/>
      <c r="O125" s="3015"/>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6"/>
      <c r="O126" s="3016"/>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6"/>
      <c r="O127" s="3016"/>
      <c r="P127" s="1873"/>
      <c r="Q127" s="1874"/>
    </row>
    <row r="128" spans="1:17" ht="15" thickTop="1">
      <c r="A128" s="1904"/>
      <c r="B128" s="1859">
        <f>B45</f>
        <v>111</v>
      </c>
      <c r="C128" s="468"/>
      <c r="D128" s="468"/>
      <c r="E128" s="468"/>
      <c r="F128" s="468"/>
      <c r="G128" s="1578"/>
      <c r="H128" s="1578"/>
      <c r="I128" s="1578"/>
      <c r="J128" s="1578"/>
      <c r="K128" s="473"/>
      <c r="L128" s="473"/>
      <c r="M128" s="1894"/>
      <c r="N128" s="3014"/>
      <c r="O128" s="3014"/>
      <c r="P128" s="1853"/>
      <c r="Q128" s="1822"/>
    </row>
    <row r="129" spans="1:17" ht="15.75" thickBot="1">
      <c r="A129" s="1854"/>
      <c r="B129" s="1862"/>
      <c r="C129" s="1875"/>
      <c r="D129" s="1856"/>
      <c r="E129" s="1856"/>
      <c r="F129" s="1856"/>
      <c r="G129" s="1856"/>
      <c r="H129" s="1856"/>
      <c r="I129" s="1856"/>
      <c r="J129" s="1856"/>
      <c r="K129" s="1856"/>
      <c r="L129" s="1856"/>
      <c r="M129" s="1857"/>
      <c r="N129" s="3015"/>
      <c r="O129" s="3015"/>
      <c r="P129" s="1853"/>
      <c r="Q129" s="1822"/>
    </row>
    <row r="130" spans="1:17" ht="15" thickTop="1">
      <c r="A130" s="1904"/>
      <c r="B130" s="1865">
        <f>B46</f>
        <v>111</v>
      </c>
      <c r="C130" s="468"/>
      <c r="D130" s="468"/>
      <c r="E130" s="468"/>
      <c r="F130" s="468"/>
      <c r="G130" s="1895"/>
      <c r="H130" s="1895"/>
      <c r="I130" s="1895"/>
      <c r="J130" s="1895"/>
      <c r="K130" s="409"/>
      <c r="L130" s="409"/>
      <c r="M130" s="1896"/>
      <c r="N130" s="3014"/>
      <c r="O130" s="3014"/>
      <c r="P130" s="1853"/>
      <c r="Q130" s="1822"/>
    </row>
    <row r="131" spans="1:17" ht="15.75" thickBot="1">
      <c r="A131" s="1897"/>
      <c r="B131" s="1882"/>
      <c r="C131" s="1883"/>
      <c r="D131" s="1883"/>
      <c r="E131" s="1883"/>
      <c r="F131" s="1883"/>
      <c r="G131" s="1898"/>
      <c r="H131" s="1898"/>
      <c r="I131" s="1898"/>
      <c r="J131" s="1898"/>
      <c r="K131" s="1898"/>
      <c r="L131" s="1898"/>
      <c r="M131" s="1899"/>
      <c r="N131" s="3015"/>
      <c r="O131" s="3015"/>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8" priority="21" stopIfTrue="1" operator="containsText" text="超过">
      <formula>NOT(ISERROR(SEARCH("超过",F52)))</formula>
    </cfRule>
  </conditionalFormatting>
  <conditionalFormatting sqref="H54">
    <cfRule type="containsText" dxfId="127" priority="19" stopIfTrue="1" operator="containsText" text="超过">
      <formula>NOT(ISERROR(SEARCH("超过",H54)))</formula>
    </cfRule>
  </conditionalFormatting>
  <conditionalFormatting sqref="F54">
    <cfRule type="containsText" dxfId="126" priority="18" stopIfTrue="1" operator="containsText" text="超过">
      <formula>NOT(ISERROR(SEARCH("超过",F54)))</formula>
    </cfRule>
  </conditionalFormatting>
  <conditionalFormatting sqref="F53 H53">
    <cfRule type="containsText" dxfId="125" priority="17" stopIfTrue="1" operator="containsText" text="超过">
      <formula>NOT(ISERROR(SEARCH("超过",F53)))</formula>
    </cfRule>
  </conditionalFormatting>
  <conditionalFormatting sqref="E52">
    <cfRule type="expression" dxfId="124" priority="16" stopIfTrue="1">
      <formula>$F$52="超过30%"</formula>
    </cfRule>
  </conditionalFormatting>
  <conditionalFormatting sqref="E53">
    <cfRule type="expression" dxfId="123" priority="15" stopIfTrue="1">
      <formula>$F$53="超过20%"</formula>
    </cfRule>
  </conditionalFormatting>
  <conditionalFormatting sqref="E54">
    <cfRule type="expression" dxfId="122" priority="14" stopIfTrue="1">
      <formula>$F$54="超过30%"</formula>
    </cfRule>
  </conditionalFormatting>
  <conditionalFormatting sqref="G54">
    <cfRule type="expression" dxfId="121" priority="13" stopIfTrue="1">
      <formula>$H$54="超过30%"</formula>
    </cfRule>
  </conditionalFormatting>
  <conditionalFormatting sqref="G52">
    <cfRule type="expression" dxfId="120" priority="12" stopIfTrue="1">
      <formula>$H$52="超过30%"</formula>
    </cfRule>
  </conditionalFormatting>
  <conditionalFormatting sqref="G53">
    <cfRule type="expression" dxfId="119" priority="11" stopIfTrue="1">
      <formula>$H$53="超过20%"</formula>
    </cfRule>
  </conditionalFormatting>
  <conditionalFormatting sqref="J52">
    <cfRule type="containsText" dxfId="118" priority="10" stopIfTrue="1" operator="containsText" text="超过">
      <formula>NOT(ISERROR(SEARCH("超过",J52)))</formula>
    </cfRule>
  </conditionalFormatting>
  <conditionalFormatting sqref="J54">
    <cfRule type="containsText" dxfId="117" priority="9" stopIfTrue="1" operator="containsText" text="超过">
      <formula>NOT(ISERROR(SEARCH("超过",J54)))</formula>
    </cfRule>
  </conditionalFormatting>
  <conditionalFormatting sqref="J53">
    <cfRule type="containsText" dxfId="116" priority="8" stopIfTrue="1" operator="containsText" text="超过">
      <formula>NOT(ISERROR(SEARCH("超过",J53)))</formula>
    </cfRule>
  </conditionalFormatting>
  <conditionalFormatting sqref="I52">
    <cfRule type="expression" dxfId="115" priority="7" stopIfTrue="1">
      <formula>$J$52="超过30%"</formula>
    </cfRule>
  </conditionalFormatting>
  <conditionalFormatting sqref="I53">
    <cfRule type="expression" dxfId="114" priority="6" stopIfTrue="1">
      <formula>$J$53="超过20%"</formula>
    </cfRule>
  </conditionalFormatting>
  <conditionalFormatting sqref="I54">
    <cfRule type="expression" dxfId="113" priority="5" stopIfTrue="1">
      <formula>$J$54="超过30%"</formula>
    </cfRule>
  </conditionalFormatting>
  <conditionalFormatting sqref="F48">
    <cfRule type="expression" dxfId="112" priority="4">
      <formula>$D$48="简单平均"</formula>
    </cfRule>
  </conditionalFormatting>
  <conditionalFormatting sqref="H48">
    <cfRule type="expression" dxfId="111" priority="3">
      <formula>$D$48="简单平均"</formula>
    </cfRule>
  </conditionalFormatting>
  <conditionalFormatting sqref="J48">
    <cfRule type="expression" dxfId="110" priority="2">
      <formula>$D$48="简单平均"</formula>
    </cfRule>
  </conditionalFormatting>
  <conditionalFormatting sqref="F7:F46 H7:H46 J7:J46">
    <cfRule type="cellIs" dxfId="109"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2238</v>
      </c>
      <c r="B1" s="1226" t="s">
        <v>2397</v>
      </c>
      <c r="C1" s="1218"/>
      <c r="D1" s="1231"/>
      <c r="E1" s="1559"/>
      <c r="F1" s="1232" t="s">
        <v>2240</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1911</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1912</v>
      </c>
      <c r="B3" s="495" t="e">
        <f ca="1">ROUND(IF(D2="——",C43,IF(C2="万元",B2*10000/D3,B2/D3)),0)</f>
        <v>#DIV/0!</v>
      </c>
      <c r="C3" s="293" t="s">
        <v>2241</v>
      </c>
      <c r="D3" s="292">
        <f>IF(C1="仅计算典型户型",'数据-取费表'!E5,'数据-取费表'!B5)</f>
        <v>1642.01</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2242</v>
      </c>
      <c r="B4" s="295"/>
      <c r="C4" s="3515" t="s">
        <v>2243</v>
      </c>
      <c r="D4" s="3516"/>
      <c r="E4" s="3517" t="s">
        <v>2244</v>
      </c>
      <c r="F4" s="3518"/>
      <c r="G4" s="3515" t="s">
        <v>2245</v>
      </c>
      <c r="H4" s="3516"/>
      <c r="I4" s="3515" t="s">
        <v>2246</v>
      </c>
      <c r="J4" s="3516"/>
      <c r="K4" s="496" t="s">
        <v>2247</v>
      </c>
      <c r="L4" s="3023"/>
      <c r="M4" s="3024"/>
      <c r="N4" s="3024"/>
      <c r="O4" s="3024"/>
      <c r="P4" s="3519" t="s">
        <v>2248</v>
      </c>
      <c r="Q4" s="3520"/>
      <c r="R4" s="3502" t="s">
        <v>2244</v>
      </c>
      <c r="S4" s="3503"/>
      <c r="T4" s="3502" t="s">
        <v>2245</v>
      </c>
      <c r="U4" s="3503"/>
      <c r="V4" s="3525" t="s">
        <v>2246</v>
      </c>
      <c r="W4" s="3525"/>
      <c r="X4" s="1335"/>
      <c r="Y4" s="3502" t="s">
        <v>2248</v>
      </c>
      <c r="Z4" s="3503"/>
      <c r="AA4" s="3512" t="s">
        <v>2244</v>
      </c>
      <c r="AB4" s="3513" t="s">
        <v>2245</v>
      </c>
      <c r="AC4" s="3512" t="s">
        <v>2246</v>
      </c>
    </row>
    <row r="5" spans="1:29" ht="15">
      <c r="A5" s="297"/>
      <c r="B5" s="298"/>
      <c r="C5" s="3528" t="s">
        <v>2249</v>
      </c>
      <c r="D5" s="3529"/>
      <c r="E5" s="3526" t="s">
        <v>2250</v>
      </c>
      <c r="F5" s="3527"/>
      <c r="G5" s="3528" t="s">
        <v>2251</v>
      </c>
      <c r="H5" s="3529"/>
      <c r="I5" s="3528" t="s">
        <v>2252</v>
      </c>
      <c r="J5" s="3529"/>
      <c r="K5" s="496"/>
      <c r="L5" s="3023"/>
      <c r="M5" s="3024"/>
      <c r="N5" s="3024"/>
      <c r="O5" s="3024"/>
      <c r="P5" s="3521"/>
      <c r="Q5" s="3522"/>
      <c r="R5" s="3504"/>
      <c r="S5" s="3505"/>
      <c r="T5" s="3504"/>
      <c r="U5" s="3505"/>
      <c r="V5" s="3525"/>
      <c r="W5" s="3525"/>
      <c r="X5" s="1335"/>
      <c r="Y5" s="3504"/>
      <c r="Z5" s="3505"/>
      <c r="AA5" s="3513"/>
      <c r="AB5" s="3513"/>
      <c r="AC5" s="3513"/>
    </row>
    <row r="6" spans="1:29" ht="15.75" thickBot="1">
      <c r="A6" s="299"/>
      <c r="B6" s="300"/>
      <c r="C6" s="3530" t="s">
        <v>2253</v>
      </c>
      <c r="D6" s="3531"/>
      <c r="E6" s="3532" t="s">
        <v>2253</v>
      </c>
      <c r="F6" s="3533"/>
      <c r="G6" s="3530" t="s">
        <v>2253</v>
      </c>
      <c r="H6" s="3531"/>
      <c r="I6" s="3530" t="s">
        <v>2253</v>
      </c>
      <c r="J6" s="3531"/>
      <c r="K6" s="496" t="s">
        <v>2254</v>
      </c>
      <c r="L6" s="3023"/>
      <c r="M6" s="3024"/>
      <c r="N6" s="3024"/>
      <c r="O6" s="3024"/>
      <c r="P6" s="3523"/>
      <c r="Q6" s="3524"/>
      <c r="R6" s="3504"/>
      <c r="S6" s="3505"/>
      <c r="T6" s="3506"/>
      <c r="U6" s="3507"/>
      <c r="V6" s="3525"/>
      <c r="W6" s="3525"/>
      <c r="X6" s="1335"/>
      <c r="Y6" s="3506"/>
      <c r="Z6" s="3507"/>
      <c r="AA6" s="3514"/>
      <c r="AB6" s="3514"/>
      <c r="AC6" s="3514"/>
    </row>
    <row r="7" spans="1:29" s="25" customFormat="1" ht="15.75" thickBot="1">
      <c r="A7" s="301" t="s">
        <v>2255</v>
      </c>
      <c r="B7" s="302"/>
      <c r="C7" s="303">
        <f>'数据-取费表'!B2</f>
        <v>44547</v>
      </c>
      <c r="D7" s="304">
        <v>100</v>
      </c>
      <c r="E7" s="305"/>
      <c r="F7" s="306">
        <f>SUMIF(52:52,YEAR(E7)&amp;"-"&amp;MONTH(E7),53:53)</f>
        <v>0</v>
      </c>
      <c r="G7" s="305"/>
      <c r="H7" s="304">
        <f>SUMIF(52:52,YEAR(G7)&amp;"-"&amp;MONTH(G7),53:53)</f>
        <v>0</v>
      </c>
      <c r="I7" s="305"/>
      <c r="J7" s="304">
        <f>SUMIF(52:52,YEAR(I7)&amp;"-"&amp;MONTH(I7),53:53)</f>
        <v>0</v>
      </c>
      <c r="K7" s="497"/>
      <c r="L7" s="3025"/>
      <c r="M7" s="3026"/>
      <c r="N7" s="3026"/>
      <c r="O7" s="3026"/>
      <c r="P7" s="3500" t="s">
        <v>2256</v>
      </c>
      <c r="Q7" s="3508"/>
      <c r="R7" s="627" t="s">
        <v>25</v>
      </c>
      <c r="S7" s="628">
        <f t="shared" ref="S7:S15" si="0">F7</f>
        <v>0</v>
      </c>
      <c r="T7" s="627" t="s">
        <v>25</v>
      </c>
      <c r="U7" s="628">
        <f t="shared" ref="U7:U15" si="1">H7</f>
        <v>0</v>
      </c>
      <c r="V7" s="627" t="s">
        <v>25</v>
      </c>
      <c r="W7" s="628">
        <f t="shared" ref="W7:W15" si="2">J7</f>
        <v>0</v>
      </c>
      <c r="X7" s="629"/>
      <c r="Y7" s="3500" t="s">
        <v>2256</v>
      </c>
      <c r="Z7" s="3501"/>
      <c r="AA7" s="630" t="e">
        <f>D7/F7</f>
        <v>#DIV/0!</v>
      </c>
      <c r="AB7" s="630" t="e">
        <f>D7/H7</f>
        <v>#DIV/0!</v>
      </c>
      <c r="AC7" s="630" t="e">
        <f>D7/J7</f>
        <v>#DIV/0!</v>
      </c>
    </row>
    <row r="8" spans="1:29" s="25" customFormat="1" ht="15.75" thickBot="1">
      <c r="A8" s="301" t="s">
        <v>2257</v>
      </c>
      <c r="B8" s="302"/>
      <c r="C8" s="307" t="s">
        <v>2879</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500" t="s">
        <v>2259</v>
      </c>
      <c r="Q8" s="3501"/>
      <c r="R8" s="627" t="s">
        <v>25</v>
      </c>
      <c r="S8" s="628">
        <f t="shared" si="0"/>
        <v>0</v>
      </c>
      <c r="T8" s="627" t="s">
        <v>25</v>
      </c>
      <c r="U8" s="628">
        <f t="shared" si="1"/>
        <v>0</v>
      </c>
      <c r="V8" s="627" t="s">
        <v>25</v>
      </c>
      <c r="W8" s="628">
        <f t="shared" si="2"/>
        <v>0</v>
      </c>
      <c r="X8" s="629"/>
      <c r="Y8" s="3500" t="s">
        <v>2259</v>
      </c>
      <c r="Z8" s="3501"/>
      <c r="AA8" s="630" t="e">
        <f t="shared" ref="AA8:AA40" si="3">D8/F8</f>
        <v>#DIV/0!</v>
      </c>
      <c r="AB8" s="630" t="e">
        <f t="shared" ref="AB8:AB40" si="4">D8/H8</f>
        <v>#DIV/0!</v>
      </c>
      <c r="AC8" s="630" t="e">
        <f t="shared" ref="AC8:AC40" si="5">D8/J8</f>
        <v>#DIV/0!</v>
      </c>
    </row>
    <row r="9" spans="1:29" s="25" customFormat="1">
      <c r="A9" s="308" t="s">
        <v>2260</v>
      </c>
      <c r="B9" s="24" t="s">
        <v>2261</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492" t="s">
        <v>2262</v>
      </c>
      <c r="Q9" s="1327" t="str">
        <f t="shared" ref="Q9:Q15" si="6">B9</f>
        <v>用途</v>
      </c>
      <c r="R9" s="627" t="s">
        <v>25</v>
      </c>
      <c r="S9" s="628">
        <f t="shared" si="0"/>
        <v>100</v>
      </c>
      <c r="T9" s="627" t="s">
        <v>25</v>
      </c>
      <c r="U9" s="628">
        <f t="shared" si="1"/>
        <v>100</v>
      </c>
      <c r="V9" s="627" t="s">
        <v>25</v>
      </c>
      <c r="W9" s="628">
        <f t="shared" si="2"/>
        <v>100</v>
      </c>
      <c r="X9" s="629"/>
      <c r="Y9" s="3511" t="s">
        <v>2263</v>
      </c>
      <c r="Z9" s="19" t="str">
        <f t="shared" ref="Z9:Z15" si="7">Q9</f>
        <v>用途</v>
      </c>
      <c r="AA9" s="630">
        <f t="shared" si="3"/>
        <v>1</v>
      </c>
      <c r="AB9" s="630">
        <f t="shared" si="4"/>
        <v>1</v>
      </c>
      <c r="AC9" s="630">
        <f t="shared" si="5"/>
        <v>1</v>
      </c>
    </row>
    <row r="10" spans="1:29" s="317" customFormat="1" ht="27">
      <c r="A10" s="312"/>
      <c r="B10" s="313" t="s">
        <v>2264</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492"/>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313" t="s">
        <v>2265</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492"/>
      <c r="Q11" s="1327"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3"/>
      <c r="M14" s="3024"/>
      <c r="N14" s="3024"/>
      <c r="O14" s="3032"/>
      <c r="P14" s="3492"/>
      <c r="Q14" s="1327">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2266</v>
      </c>
      <c r="B15" s="22" t="s">
        <v>2398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09" t="s">
        <v>2267</v>
      </c>
      <c r="Q15" s="1334" t="str">
        <f t="shared" si="6"/>
        <v>产业集聚程度</v>
      </c>
      <c r="R15" s="631" t="s">
        <v>25</v>
      </c>
      <c r="S15" s="632">
        <f t="shared" si="0"/>
        <v>100</v>
      </c>
      <c r="T15" s="631" t="s">
        <v>25</v>
      </c>
      <c r="U15" s="632">
        <f t="shared" si="1"/>
        <v>100</v>
      </c>
      <c r="V15" s="631" t="s">
        <v>25</v>
      </c>
      <c r="W15" s="632">
        <f t="shared" si="2"/>
        <v>100</v>
      </c>
      <c r="X15" s="1335"/>
      <c r="Y15" s="3509" t="s">
        <v>2267</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10"/>
      <c r="Q16" s="1334"/>
      <c r="R16" s="631"/>
      <c r="S16" s="632"/>
      <c r="T16" s="631"/>
      <c r="U16" s="632"/>
      <c r="V16" s="631"/>
      <c r="W16" s="632"/>
      <c r="X16" s="1335"/>
      <c r="Y16" s="3510"/>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10"/>
      <c r="Q17" s="1334" t="str">
        <f>B17</f>
        <v>交通便捷度</v>
      </c>
      <c r="R17" s="631" t="s">
        <v>25</v>
      </c>
      <c r="S17" s="632">
        <f>F17</f>
        <v>100</v>
      </c>
      <c r="T17" s="631" t="s">
        <v>25</v>
      </c>
      <c r="U17" s="632">
        <f>H17</f>
        <v>100</v>
      </c>
      <c r="V17" s="631" t="s">
        <v>25</v>
      </c>
      <c r="W17" s="632">
        <f>J17</f>
        <v>100</v>
      </c>
      <c r="X17" s="1335"/>
      <c r="Y17" s="3510"/>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3"/>
      <c r="M18" s="3024"/>
      <c r="N18" s="3024"/>
      <c r="O18" s="3032"/>
      <c r="P18" s="3510"/>
      <c r="Q18" s="1334"/>
      <c r="R18" s="631"/>
      <c r="S18" s="632"/>
      <c r="T18" s="631"/>
      <c r="U18" s="632"/>
      <c r="V18" s="631"/>
      <c r="W18" s="632"/>
      <c r="X18" s="1335"/>
      <c r="Y18" s="3510"/>
      <c r="Z18" s="1336"/>
      <c r="AA18" s="1337">
        <v>1</v>
      </c>
      <c r="AB18" s="1337">
        <v>1</v>
      </c>
      <c r="AC18" s="1337">
        <v>1</v>
      </c>
    </row>
    <row r="19" spans="1:29" ht="42.75">
      <c r="A19" s="318"/>
      <c r="B19" s="513" t="s">
        <v>2382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10"/>
      <c r="Q19" s="1334" t="str">
        <f>B19</f>
        <v>公共配套设施</v>
      </c>
      <c r="R19" s="631" t="s">
        <v>25</v>
      </c>
      <c r="S19" s="632">
        <f>F19</f>
        <v>100</v>
      </c>
      <c r="T19" s="631" t="s">
        <v>25</v>
      </c>
      <c r="U19" s="632">
        <f>H19</f>
        <v>100</v>
      </c>
      <c r="V19" s="631" t="s">
        <v>25</v>
      </c>
      <c r="W19" s="632">
        <f>J19</f>
        <v>100</v>
      </c>
      <c r="X19" s="1335"/>
      <c r="Y19" s="3510"/>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3"/>
      <c r="M20" s="3024"/>
      <c r="N20" s="3024"/>
      <c r="O20" s="3032"/>
      <c r="P20" s="3510"/>
      <c r="Q20" s="1334"/>
      <c r="R20" s="631"/>
      <c r="S20" s="632"/>
      <c r="T20" s="631"/>
      <c r="U20" s="632"/>
      <c r="V20" s="631"/>
      <c r="W20" s="632"/>
      <c r="X20" s="1335"/>
      <c r="Y20" s="3510"/>
      <c r="Z20" s="1336"/>
      <c r="AA20" s="1337">
        <v>1</v>
      </c>
      <c r="AB20" s="1337">
        <v>1</v>
      </c>
      <c r="AC20" s="1337">
        <v>1</v>
      </c>
    </row>
    <row r="21" spans="1:29" ht="28.5">
      <c r="A21" s="318"/>
      <c r="B21" s="515" t="s">
        <v>2383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10"/>
      <c r="Q21" s="1334" t="str">
        <f>B21</f>
        <v>基础设施水平</v>
      </c>
      <c r="R21" s="631" t="s">
        <v>25</v>
      </c>
      <c r="S21" s="632">
        <f>F21</f>
        <v>100</v>
      </c>
      <c r="T21" s="631" t="s">
        <v>25</v>
      </c>
      <c r="U21" s="632">
        <f>H21</f>
        <v>100</v>
      </c>
      <c r="V21" s="631" t="s">
        <v>25</v>
      </c>
      <c r="W21" s="632">
        <f>J21</f>
        <v>100</v>
      </c>
      <c r="X21" s="1335"/>
      <c r="Y21" s="3510"/>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3"/>
      <c r="M22" s="3024"/>
      <c r="N22" s="3024"/>
      <c r="O22" s="3032"/>
      <c r="P22" s="3510"/>
      <c r="Q22" s="1334"/>
      <c r="R22" s="631"/>
      <c r="S22" s="632"/>
      <c r="T22" s="631"/>
      <c r="U22" s="632"/>
      <c r="V22" s="631"/>
      <c r="W22" s="632"/>
      <c r="X22" s="1335"/>
      <c r="Y22" s="3510"/>
      <c r="Z22" s="1336"/>
      <c r="AA22" s="1337">
        <v>1</v>
      </c>
      <c r="AB22" s="1337">
        <v>1</v>
      </c>
      <c r="AC22" s="1337">
        <v>1</v>
      </c>
    </row>
    <row r="23" spans="1:29" ht="71.25">
      <c r="A23" s="318"/>
      <c r="B23" s="340" t="s">
        <v>2384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10"/>
      <c r="Q23" s="1334" t="str">
        <f>B23</f>
        <v>环境质量</v>
      </c>
      <c r="R23" s="631" t="s">
        <v>25</v>
      </c>
      <c r="S23" s="632">
        <f>F23</f>
        <v>100</v>
      </c>
      <c r="T23" s="631" t="s">
        <v>25</v>
      </c>
      <c r="U23" s="632">
        <f>H23</f>
        <v>100</v>
      </c>
      <c r="V23" s="631" t="s">
        <v>25</v>
      </c>
      <c r="W23" s="632">
        <f>J23</f>
        <v>100</v>
      </c>
      <c r="X23" s="1335"/>
      <c r="Y23" s="3510"/>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3"/>
      <c r="M24" s="3024"/>
      <c r="N24" s="3024"/>
      <c r="O24" s="3032"/>
      <c r="P24" s="3510"/>
      <c r="Q24" s="1334"/>
      <c r="R24" s="631"/>
      <c r="S24" s="632"/>
      <c r="T24" s="631"/>
      <c r="U24" s="632"/>
      <c r="V24" s="631"/>
      <c r="W24" s="632"/>
      <c r="X24" s="1335"/>
      <c r="Y24" s="3510"/>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10"/>
      <c r="Q25" s="1334">
        <f>B25</f>
        <v>111</v>
      </c>
      <c r="R25" s="631" t="s">
        <v>25</v>
      </c>
      <c r="S25" s="632">
        <f>F25</f>
        <v>100</v>
      </c>
      <c r="T25" s="631" t="s">
        <v>25</v>
      </c>
      <c r="U25" s="632">
        <f>H25</f>
        <v>100</v>
      </c>
      <c r="V25" s="631" t="s">
        <v>25</v>
      </c>
      <c r="W25" s="632">
        <f>J25</f>
        <v>100</v>
      </c>
      <c r="X25" s="1335"/>
      <c r="Y25" s="3510"/>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10"/>
      <c r="Q26" s="1334">
        <f t="shared" ref="Q26:Q40" si="11">B26</f>
        <v>111</v>
      </c>
      <c r="R26" s="631" t="s">
        <v>25</v>
      </c>
      <c r="S26" s="632">
        <f>F26</f>
        <v>100</v>
      </c>
      <c r="T26" s="631" t="s">
        <v>25</v>
      </c>
      <c r="U26" s="632">
        <f>H26</f>
        <v>100</v>
      </c>
      <c r="V26" s="631" t="s">
        <v>25</v>
      </c>
      <c r="W26" s="632">
        <f>J26</f>
        <v>100</v>
      </c>
      <c r="X26" s="1335"/>
      <c r="Y26" s="3510"/>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10"/>
      <c r="Q27" s="1327">
        <f t="shared" si="11"/>
        <v>111</v>
      </c>
      <c r="R27" s="627" t="s">
        <v>25</v>
      </c>
      <c r="S27" s="628">
        <f>F27</f>
        <v>100</v>
      </c>
      <c r="T27" s="627" t="s">
        <v>25</v>
      </c>
      <c r="U27" s="628">
        <f>H27</f>
        <v>100</v>
      </c>
      <c r="V27" s="627" t="s">
        <v>25</v>
      </c>
      <c r="W27" s="628">
        <f>J27</f>
        <v>100</v>
      </c>
      <c r="X27" s="629"/>
      <c r="Y27" s="3510"/>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10"/>
      <c r="Q28" s="1334">
        <f t="shared" si="11"/>
        <v>111</v>
      </c>
      <c r="R28" s="631" t="s">
        <v>25</v>
      </c>
      <c r="S28" s="632">
        <f t="shared" ref="S28:S40" si="12">F28</f>
        <v>100</v>
      </c>
      <c r="T28" s="631" t="s">
        <v>25</v>
      </c>
      <c r="U28" s="632">
        <f t="shared" ref="U28:U40" si="13">H28</f>
        <v>100</v>
      </c>
      <c r="V28" s="631" t="s">
        <v>25</v>
      </c>
      <c r="W28" s="632">
        <f t="shared" ref="W28:W40" si="14">J28</f>
        <v>100</v>
      </c>
      <c r="X28" s="1335"/>
      <c r="Y28" s="3510"/>
      <c r="Z28" s="1336">
        <f t="shared" ref="Z28:Z40" si="15">Q28</f>
        <v>111</v>
      </c>
      <c r="AA28" s="1337">
        <f t="shared" si="3"/>
        <v>1</v>
      </c>
      <c r="AB28" s="1337">
        <f t="shared" si="4"/>
        <v>1</v>
      </c>
      <c r="AC28" s="1337">
        <f t="shared" si="5"/>
        <v>1</v>
      </c>
    </row>
    <row r="29" spans="1:29" ht="28.5">
      <c r="A29" s="354" t="s">
        <v>2271</v>
      </c>
      <c r="B29" s="24" t="s">
        <v>2387</v>
      </c>
      <c r="C29" s="1577"/>
      <c r="D29" s="355">
        <v>100</v>
      </c>
      <c r="E29" s="1577"/>
      <c r="F29" s="351">
        <f>SUMIF(88:88,E29,89:89)-SUMIF(88:88,C29,89:89)+100</f>
        <v>100</v>
      </c>
      <c r="G29" s="1577"/>
      <c r="H29" s="325">
        <f>SUMIF(88:88,G29,89:89)-SUMIF(88:88,C29,89:89)+100</f>
        <v>100</v>
      </c>
      <c r="I29" s="1577"/>
      <c r="J29" s="355">
        <f>SUMIF(88:88,I29,89:89)-SUMIF(88:88,C29,89:89)+100</f>
        <v>100</v>
      </c>
      <c r="K29" s="498"/>
      <c r="L29" s="3033"/>
      <c r="M29" s="3024"/>
      <c r="N29" s="3024"/>
      <c r="O29" s="3032"/>
      <c r="P29" s="3497" t="s">
        <v>2273</v>
      </c>
      <c r="Q29" s="1334" t="str">
        <f t="shared" si="11"/>
        <v>建筑类型</v>
      </c>
      <c r="R29" s="631" t="s">
        <v>25</v>
      </c>
      <c r="S29" s="632">
        <f t="shared" si="12"/>
        <v>100</v>
      </c>
      <c r="T29" s="631" t="s">
        <v>25</v>
      </c>
      <c r="U29" s="632">
        <f t="shared" si="13"/>
        <v>100</v>
      </c>
      <c r="V29" s="631" t="s">
        <v>25</v>
      </c>
      <c r="W29" s="632">
        <f t="shared" si="14"/>
        <v>100</v>
      </c>
      <c r="X29" s="1335"/>
      <c r="Y29" s="3498" t="s">
        <v>2273</v>
      </c>
      <c r="Z29" s="1336" t="str">
        <f t="shared" si="15"/>
        <v>建筑类型</v>
      </c>
      <c r="AA29" s="1337">
        <f t="shared" si="3"/>
        <v>1</v>
      </c>
      <c r="AB29" s="1337">
        <f t="shared" si="4"/>
        <v>1</v>
      </c>
      <c r="AC29" s="1337">
        <f t="shared" si="5"/>
        <v>1</v>
      </c>
    </row>
    <row r="30" spans="1:29" s="359" customFormat="1" ht="15">
      <c r="A30" s="356"/>
      <c r="B30" s="313" t="s">
        <v>2274</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498"/>
      <c r="Q30" s="633" t="str">
        <f t="shared" si="11"/>
        <v>项目建筑规模</v>
      </c>
      <c r="R30" s="634" t="s">
        <v>25</v>
      </c>
      <c r="S30" s="635" t="e">
        <f t="shared" si="12"/>
        <v>#N/A</v>
      </c>
      <c r="T30" s="634" t="s">
        <v>25</v>
      </c>
      <c r="U30" s="635" t="e">
        <f t="shared" si="13"/>
        <v>#N/A</v>
      </c>
      <c r="V30" s="634" t="s">
        <v>25</v>
      </c>
      <c r="W30" s="635" t="e">
        <f t="shared" si="14"/>
        <v>#N/A</v>
      </c>
      <c r="X30" s="636"/>
      <c r="Y30" s="3498"/>
      <c r="Z30" s="637" t="str">
        <f t="shared" si="15"/>
        <v>项目建筑规模</v>
      </c>
      <c r="AA30" s="1337" t="e">
        <f t="shared" si="3"/>
        <v>#N/A</v>
      </c>
      <c r="AB30" s="1337" t="e">
        <f t="shared" si="4"/>
        <v>#N/A</v>
      </c>
      <c r="AC30" s="1337" t="e">
        <f t="shared" si="5"/>
        <v>#N/A</v>
      </c>
    </row>
    <row r="31" spans="1:29" ht="15">
      <c r="A31" s="360"/>
      <c r="B31" s="313" t="s">
        <v>2275</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498"/>
      <c r="Q31" s="1334" t="str">
        <f t="shared" si="11"/>
        <v>建筑结构</v>
      </c>
      <c r="R31" s="631" t="s">
        <v>25</v>
      </c>
      <c r="S31" s="632">
        <f t="shared" si="12"/>
        <v>100</v>
      </c>
      <c r="T31" s="631" t="s">
        <v>25</v>
      </c>
      <c r="U31" s="632">
        <f t="shared" si="13"/>
        <v>100</v>
      </c>
      <c r="V31" s="631" t="s">
        <v>25</v>
      </c>
      <c r="W31" s="632">
        <f t="shared" si="14"/>
        <v>100</v>
      </c>
      <c r="X31" s="1335"/>
      <c r="Y31" s="3498"/>
      <c r="Z31" s="1336" t="str">
        <f t="shared" si="15"/>
        <v>建筑结构</v>
      </c>
      <c r="AA31" s="1337">
        <f t="shared" si="3"/>
        <v>1</v>
      </c>
      <c r="AB31" s="1337">
        <f t="shared" si="4"/>
        <v>1</v>
      </c>
      <c r="AC31" s="1337">
        <f t="shared" si="5"/>
        <v>1</v>
      </c>
    </row>
    <row r="32" spans="1:29" ht="15">
      <c r="A32" s="360"/>
      <c r="B32" s="313" t="s">
        <v>2360</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498"/>
      <c r="Q32" s="1334" t="str">
        <f t="shared" si="11"/>
        <v>公共部分装修</v>
      </c>
      <c r="R32" s="631" t="s">
        <v>25</v>
      </c>
      <c r="S32" s="632">
        <f t="shared" si="12"/>
        <v>100</v>
      </c>
      <c r="T32" s="631" t="s">
        <v>25</v>
      </c>
      <c r="U32" s="632">
        <f t="shared" si="13"/>
        <v>100</v>
      </c>
      <c r="V32" s="631" t="s">
        <v>25</v>
      </c>
      <c r="W32" s="632">
        <f t="shared" si="14"/>
        <v>100</v>
      </c>
      <c r="X32" s="1335"/>
      <c r="Y32" s="3498"/>
      <c r="Z32" s="1336" t="str">
        <f t="shared" si="15"/>
        <v>公共部分装修</v>
      </c>
      <c r="AA32" s="1337">
        <f t="shared" si="3"/>
        <v>1</v>
      </c>
      <c r="AB32" s="1337">
        <f t="shared" si="4"/>
        <v>1</v>
      </c>
      <c r="AC32" s="1337">
        <f t="shared" si="5"/>
        <v>1</v>
      </c>
    </row>
    <row r="33" spans="1:29" ht="15">
      <c r="A33" s="360"/>
      <c r="B33" s="313" t="s">
        <v>2361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498"/>
      <c r="Q33" s="1334" t="str">
        <f t="shared" si="11"/>
        <v>成新度</v>
      </c>
      <c r="R33" s="631" t="s">
        <v>25</v>
      </c>
      <c r="S33" s="632" t="e">
        <f t="shared" si="12"/>
        <v>#N/A</v>
      </c>
      <c r="T33" s="631" t="s">
        <v>25</v>
      </c>
      <c r="U33" s="632" t="e">
        <f t="shared" si="13"/>
        <v>#N/A</v>
      </c>
      <c r="V33" s="631" t="s">
        <v>25</v>
      </c>
      <c r="W33" s="632" t="e">
        <f t="shared" si="14"/>
        <v>#N/A</v>
      </c>
      <c r="X33" s="1335"/>
      <c r="Y33" s="3498"/>
      <c r="Z33" s="1336" t="str">
        <f t="shared" si="15"/>
        <v>成新度</v>
      </c>
      <c r="AA33" s="1337" t="e">
        <f t="shared" si="3"/>
        <v>#N/A</v>
      </c>
      <c r="AB33" s="1337" t="e">
        <f t="shared" si="4"/>
        <v>#N/A</v>
      </c>
      <c r="AC33" s="1337" t="e">
        <f t="shared" si="5"/>
        <v>#N/A</v>
      </c>
    </row>
    <row r="34" spans="1:29" s="25" customFormat="1" ht="15">
      <c r="A34" s="361"/>
      <c r="B34" s="313" t="s">
        <v>2389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498"/>
      <c r="Q34" s="1327" t="str">
        <f t="shared" si="11"/>
        <v>物业管理</v>
      </c>
      <c r="R34" s="627" t="s">
        <v>25</v>
      </c>
      <c r="S34" s="628">
        <f t="shared" si="12"/>
        <v>100</v>
      </c>
      <c r="T34" s="627" t="s">
        <v>25</v>
      </c>
      <c r="U34" s="628">
        <f t="shared" si="13"/>
        <v>100</v>
      </c>
      <c r="V34" s="627" t="s">
        <v>25</v>
      </c>
      <c r="W34" s="628">
        <f t="shared" si="14"/>
        <v>100</v>
      </c>
      <c r="X34" s="629"/>
      <c r="Y34" s="3498"/>
      <c r="Z34" s="19" t="str">
        <f t="shared" si="15"/>
        <v>物业管理</v>
      </c>
      <c r="AA34" s="630">
        <f t="shared" si="3"/>
        <v>1</v>
      </c>
      <c r="AB34" s="630">
        <f t="shared" si="4"/>
        <v>1</v>
      </c>
      <c r="AC34" s="630">
        <f t="shared" si="5"/>
        <v>1</v>
      </c>
    </row>
    <row r="35" spans="1:29" ht="15">
      <c r="A35" s="360"/>
      <c r="B35" s="313" t="s">
        <v>2362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498" t="s">
        <v>2273</v>
      </c>
      <c r="Q35" s="1334" t="str">
        <f t="shared" si="11"/>
        <v>市政基础设施</v>
      </c>
      <c r="R35" s="631" t="s">
        <v>25</v>
      </c>
      <c r="S35" s="632">
        <f t="shared" si="12"/>
        <v>100</v>
      </c>
      <c r="T35" s="631" t="s">
        <v>25</v>
      </c>
      <c r="U35" s="632">
        <f t="shared" si="13"/>
        <v>100</v>
      </c>
      <c r="V35" s="631" t="s">
        <v>25</v>
      </c>
      <c r="W35" s="632">
        <f t="shared" si="14"/>
        <v>100</v>
      </c>
      <c r="X35" s="1335"/>
      <c r="Y35" s="3498" t="s">
        <v>2273</v>
      </c>
      <c r="Z35" s="1336" t="str">
        <f t="shared" si="15"/>
        <v>市政基础设施</v>
      </c>
      <c r="AA35" s="1337">
        <f t="shared" si="3"/>
        <v>1</v>
      </c>
      <c r="AB35" s="1337">
        <f t="shared" si="4"/>
        <v>1</v>
      </c>
      <c r="AC35" s="1337">
        <f t="shared" si="5"/>
        <v>1</v>
      </c>
    </row>
    <row r="36" spans="1:29" ht="15">
      <c r="A36" s="360"/>
      <c r="B36" s="313" t="s">
        <v>2367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498"/>
      <c r="Q36" s="1334" t="str">
        <f t="shared" si="11"/>
        <v>内部装修</v>
      </c>
      <c r="R36" s="631" t="s">
        <v>25</v>
      </c>
      <c r="S36" s="632">
        <f t="shared" si="12"/>
        <v>100</v>
      </c>
      <c r="T36" s="631" t="s">
        <v>25</v>
      </c>
      <c r="U36" s="632">
        <f t="shared" si="13"/>
        <v>100</v>
      </c>
      <c r="V36" s="631" t="s">
        <v>25</v>
      </c>
      <c r="W36" s="632">
        <f t="shared" si="14"/>
        <v>100</v>
      </c>
      <c r="X36" s="1335"/>
      <c r="Y36" s="3498"/>
      <c r="Z36" s="1336" t="str">
        <f t="shared" si="15"/>
        <v>内部装修</v>
      </c>
      <c r="AA36" s="1337">
        <f t="shared" si="3"/>
        <v>1</v>
      </c>
      <c r="AB36" s="1337">
        <f t="shared" si="4"/>
        <v>1</v>
      </c>
      <c r="AC36" s="1337">
        <f t="shared" si="5"/>
        <v>1</v>
      </c>
    </row>
    <row r="37" spans="1:29" ht="15">
      <c r="A37" s="360"/>
      <c r="B37" s="313" t="s">
        <v>2399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498"/>
      <c r="Q37" s="1334" t="str">
        <f t="shared" si="11"/>
        <v>内部装修状况</v>
      </c>
      <c r="R37" s="631" t="s">
        <v>25</v>
      </c>
      <c r="S37" s="632">
        <f t="shared" si="12"/>
        <v>100</v>
      </c>
      <c r="T37" s="631" t="s">
        <v>25</v>
      </c>
      <c r="U37" s="632">
        <f t="shared" si="13"/>
        <v>100</v>
      </c>
      <c r="V37" s="631" t="s">
        <v>25</v>
      </c>
      <c r="W37" s="632">
        <f t="shared" si="14"/>
        <v>100</v>
      </c>
      <c r="X37" s="1335"/>
      <c r="Y37" s="349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498"/>
      <c r="Q38" s="633">
        <f t="shared" si="11"/>
        <v>111</v>
      </c>
      <c r="R38" s="634" t="s">
        <v>25</v>
      </c>
      <c r="S38" s="635">
        <f t="shared" si="12"/>
        <v>100</v>
      </c>
      <c r="T38" s="634" t="s">
        <v>25</v>
      </c>
      <c r="U38" s="635">
        <f t="shared" si="13"/>
        <v>100</v>
      </c>
      <c r="V38" s="634" t="s">
        <v>25</v>
      </c>
      <c r="W38" s="635">
        <f t="shared" si="14"/>
        <v>100</v>
      </c>
      <c r="X38" s="636"/>
      <c r="Y38" s="349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498"/>
      <c r="Q39" s="1334">
        <f t="shared" si="11"/>
        <v>111</v>
      </c>
      <c r="R39" s="631" t="s">
        <v>25</v>
      </c>
      <c r="S39" s="632">
        <f t="shared" si="12"/>
        <v>100</v>
      </c>
      <c r="T39" s="631" t="s">
        <v>25</v>
      </c>
      <c r="U39" s="632">
        <f t="shared" si="13"/>
        <v>100</v>
      </c>
      <c r="V39" s="631" t="s">
        <v>25</v>
      </c>
      <c r="W39" s="632">
        <f t="shared" si="14"/>
        <v>100</v>
      </c>
      <c r="X39" s="1335"/>
      <c r="Y39" s="349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499"/>
      <c r="Q40" s="1334">
        <f t="shared" si="11"/>
        <v>111</v>
      </c>
      <c r="R40" s="631" t="s">
        <v>25</v>
      </c>
      <c r="S40" s="632">
        <f t="shared" si="12"/>
        <v>100</v>
      </c>
      <c r="T40" s="631" t="s">
        <v>25</v>
      </c>
      <c r="U40" s="632">
        <f t="shared" si="13"/>
        <v>100</v>
      </c>
      <c r="V40" s="631" t="s">
        <v>25</v>
      </c>
      <c r="W40" s="632">
        <f t="shared" si="14"/>
        <v>100</v>
      </c>
      <c r="X40" s="1335"/>
      <c r="Y40" s="3499"/>
      <c r="Z40" s="1336">
        <f t="shared" si="15"/>
        <v>111</v>
      </c>
      <c r="AA40" s="1337">
        <f t="shared" si="3"/>
        <v>1</v>
      </c>
      <c r="AB40" s="1337">
        <f t="shared" si="4"/>
        <v>1</v>
      </c>
      <c r="AC40" s="1337">
        <f t="shared" si="5"/>
        <v>1</v>
      </c>
    </row>
    <row r="41" spans="1:29" ht="15">
      <c r="A41" s="367" t="s">
        <v>2285</v>
      </c>
      <c r="B41" s="368"/>
      <c r="C41" s="1153" t="s">
        <v>1</v>
      </c>
      <c r="D41" s="1154"/>
      <c r="E41" s="1155"/>
      <c r="F41" s="1156"/>
      <c r="G41" s="1157"/>
      <c r="H41" s="1158"/>
      <c r="I41" s="1155"/>
      <c r="J41" s="1158"/>
      <c r="K41" s="640"/>
      <c r="L41" s="3035"/>
      <c r="N41" s="3024"/>
      <c r="P41" s="3492" t="str">
        <f>A41</f>
        <v>成交单价（元/平方米）</v>
      </c>
      <c r="Q41" s="3492"/>
      <c r="R41" s="3493">
        <f>E41</f>
        <v>0</v>
      </c>
      <c r="S41" s="3493"/>
      <c r="T41" s="3493">
        <f>G41</f>
        <v>0</v>
      </c>
      <c r="U41" s="3493"/>
      <c r="V41" s="3493">
        <f>I41</f>
        <v>0</v>
      </c>
      <c r="W41" s="3493"/>
      <c r="X41" s="618"/>
      <c r="Y41" s="638"/>
      <c r="Z41" s="618"/>
      <c r="AA41" s="618"/>
      <c r="AB41" s="618"/>
      <c r="AC41" s="618"/>
    </row>
    <row r="42" spans="1:29" ht="15.75" thickBot="1">
      <c r="A42" s="374" t="s">
        <v>2368</v>
      </c>
      <c r="B42" s="375"/>
      <c r="C42" s="1159" t="e">
        <f>R43</f>
        <v>#DIV/0!</v>
      </c>
      <c r="D42" s="1797" t="s">
        <v>2740</v>
      </c>
      <c r="E42" s="1160" t="e">
        <f>R42</f>
        <v>#DIV/0!</v>
      </c>
      <c r="F42" s="1799"/>
      <c r="G42" s="1159" t="e">
        <f>T42</f>
        <v>#DIV/0!</v>
      </c>
      <c r="H42" s="1799"/>
      <c r="I42" s="1160" t="e">
        <f>V42</f>
        <v>#DIV/0!</v>
      </c>
      <c r="J42" s="1799"/>
      <c r="K42" s="2511">
        <f>F42+H42+J42</f>
        <v>0</v>
      </c>
      <c r="L42" s="3035"/>
      <c r="N42" s="3024"/>
      <c r="P42" s="3492" t="str">
        <f>A42</f>
        <v>比较价值（元/平方米）</v>
      </c>
      <c r="Q42" s="3492"/>
      <c r="R42" s="3493" t="e">
        <f>IF(E1="售价",ROUND(PRODUCT(R41,AA7:AA40),0),ROUND(PRODUCT(R41,AA7:AA40),1))</f>
        <v>#DIV/0!</v>
      </c>
      <c r="S42" s="3493"/>
      <c r="T42" s="3493" t="e">
        <f>IF(E1="售价",ROUND(PRODUCT(T41,AB7:AB40),0),ROUND(PRODUCT(T41,AB7:AB40),1))</f>
        <v>#DIV/0!</v>
      </c>
      <c r="U42" s="3493"/>
      <c r="V42" s="3493" t="e">
        <f>IF(E1="售价",ROUND(PRODUCT(V41,AC7:AC40),0),ROUND(PRODUCT(V41,AC7:AC40),1))</f>
        <v>#DIV/0!</v>
      </c>
      <c r="W42" s="3493"/>
      <c r="X42" s="618"/>
      <c r="Y42" s="618"/>
      <c r="Z42" s="618"/>
      <c r="AA42" s="618"/>
      <c r="AB42" s="618"/>
      <c r="AC42" s="618"/>
    </row>
    <row r="43" spans="1:29" ht="15.75" thickBot="1">
      <c r="A43" s="378" t="s">
        <v>2391</v>
      </c>
      <c r="B43" s="379"/>
      <c r="C43" s="1161" t="e">
        <f>R43</f>
        <v>#DIV/0!</v>
      </c>
      <c r="D43" s="1161"/>
      <c r="E43" s="1161"/>
      <c r="F43" s="1161"/>
      <c r="G43" s="1161"/>
      <c r="H43" s="1161"/>
      <c r="I43" s="1161"/>
      <c r="J43" s="1161"/>
      <c r="K43" s="641"/>
      <c r="L43" s="3035"/>
      <c r="P43" s="3494" t="str">
        <f>A43</f>
        <v>估价对象XX用房的比较价值（楼面单价，元/平方米）</v>
      </c>
      <c r="Q43" s="3495"/>
      <c r="R43" s="3496" t="e">
        <f>IF(E1="售价",ROUND(IF(D42="简单平均",AVERAGE(R42:V42),R42*F42+T42*H42+V42*J42),0),ROUND(IF(D42="简单平均",AVERAGE(R42:V42),R42*F42+T42*H42+V42*J42),1))</f>
        <v>#DIV/0!</v>
      </c>
      <c r="S43" s="3496"/>
      <c r="T43" s="3496"/>
      <c r="U43" s="3496"/>
      <c r="V43" s="3496"/>
      <c r="W43" s="3496"/>
      <c r="X43" s="618"/>
      <c r="Y43" s="618"/>
      <c r="Z43" s="618"/>
      <c r="AA43" s="618"/>
      <c r="AB43" s="618"/>
      <c r="AC43" s="618"/>
    </row>
    <row r="44" spans="1:29">
      <c r="G44" s="3038"/>
    </row>
    <row r="46" spans="1:29" ht="13.5" customHeight="1">
      <c r="C46" s="383" t="s">
        <v>2370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2373</v>
      </c>
      <c r="B51" s="618"/>
      <c r="C51" s="621"/>
      <c r="D51" s="621"/>
      <c r="E51" s="621"/>
      <c r="F51" s="622"/>
      <c r="G51" s="622"/>
      <c r="H51" s="621"/>
      <c r="I51" s="621"/>
      <c r="J51" s="621"/>
      <c r="K51" s="623"/>
      <c r="L51" s="624"/>
      <c r="M51" s="621"/>
      <c r="N51" s="3041"/>
      <c r="O51" s="3041"/>
      <c r="P51" s="389"/>
      <c r="Q51" s="390"/>
    </row>
    <row r="52" spans="1:17" s="394" customFormat="1" ht="15">
      <c r="A52" s="391" t="s">
        <v>2255</v>
      </c>
      <c r="B52" s="392"/>
      <c r="C52" s="1187" t="str">
        <f>YEAR(C7)&amp;"-"&amp;MONTH(C7)</f>
        <v>2021-12</v>
      </c>
      <c r="D52" s="1188">
        <f>EDATE(C52,-1)</f>
        <v>44501</v>
      </c>
      <c r="E52" s="1189">
        <f t="shared" ref="E52:O52" si="16">EDATE(D52,-1)</f>
        <v>44470</v>
      </c>
      <c r="F52" s="1189">
        <f t="shared" si="16"/>
        <v>44440</v>
      </c>
      <c r="G52" s="1189">
        <f t="shared" si="16"/>
        <v>44409</v>
      </c>
      <c r="H52" s="1189">
        <f t="shared" si="16"/>
        <v>44378</v>
      </c>
      <c r="I52" s="1189">
        <f t="shared" si="16"/>
        <v>44348</v>
      </c>
      <c r="J52" s="1189">
        <f t="shared" si="16"/>
        <v>44317</v>
      </c>
      <c r="K52" s="1189">
        <f t="shared" si="16"/>
        <v>44287</v>
      </c>
      <c r="L52" s="1189">
        <f t="shared" si="16"/>
        <v>44256</v>
      </c>
      <c r="M52" s="1189">
        <f t="shared" si="16"/>
        <v>44228</v>
      </c>
      <c r="N52" s="1189">
        <f t="shared" si="16"/>
        <v>44197</v>
      </c>
      <c r="O52" s="1189">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2293</v>
      </c>
      <c r="B54" s="401"/>
      <c r="C54" s="402"/>
      <c r="D54" s="403"/>
      <c r="E54" s="403"/>
      <c r="F54" s="403"/>
      <c r="G54" s="403"/>
      <c r="H54" s="403"/>
      <c r="I54" s="403"/>
      <c r="J54" s="403"/>
      <c r="K54" s="403"/>
      <c r="L54" s="403"/>
      <c r="M54" s="404"/>
      <c r="N54" s="403"/>
      <c r="O54" s="405"/>
      <c r="P54" s="390"/>
      <c r="Q54" s="390"/>
    </row>
    <row r="55" spans="1:17" s="25" customFormat="1" ht="15">
      <c r="A55" s="406" t="s">
        <v>2257</v>
      </c>
      <c r="B55" s="396"/>
      <c r="C55" s="407" t="s">
        <v>2258</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2296</v>
      </c>
      <c r="B57" s="413" t="s">
        <v>2261</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2264</v>
      </c>
      <c r="C59" s="426" t="s">
        <v>2297</v>
      </c>
      <c r="D59" s="426" t="s">
        <v>2298</v>
      </c>
      <c r="E59" s="426" t="s">
        <v>2299</v>
      </c>
      <c r="F59" s="426" t="s">
        <v>2300</v>
      </c>
      <c r="G59" s="426" t="s">
        <v>2301</v>
      </c>
      <c r="H59" s="426" t="s">
        <v>2302</v>
      </c>
      <c r="I59" s="426" t="s">
        <v>2303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2265</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2266</v>
      </c>
      <c r="B70" s="413" t="s">
        <v>2400</v>
      </c>
      <c r="C70" s="461" t="s">
        <v>2305</v>
      </c>
      <c r="D70" s="461" t="s">
        <v>2306</v>
      </c>
      <c r="E70" s="461" t="s">
        <v>2307</v>
      </c>
      <c r="F70" s="461" t="s">
        <v>2308</v>
      </c>
      <c r="G70" s="461" t="s">
        <v>2309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2310</v>
      </c>
      <c r="C72" s="466" t="s">
        <v>2305</v>
      </c>
      <c r="D72" s="466" t="s">
        <v>2306</v>
      </c>
      <c r="E72" s="466" t="s">
        <v>2307</v>
      </c>
      <c r="F72" s="466" t="s">
        <v>2308</v>
      </c>
      <c r="G72" s="466" t="s">
        <v>2309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2311</v>
      </c>
      <c r="C74" s="466" t="s">
        <v>2305</v>
      </c>
      <c r="D74" s="466" t="s">
        <v>2306</v>
      </c>
      <c r="E74" s="466" t="s">
        <v>2307</v>
      </c>
      <c r="F74" s="466" t="s">
        <v>2308</v>
      </c>
      <c r="G74" s="466" t="s">
        <v>2309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2383</v>
      </c>
      <c r="C76" s="426" t="s">
        <v>2312</v>
      </c>
      <c r="D76" s="426" t="s">
        <v>2313</v>
      </c>
      <c r="E76" s="426" t="s">
        <v>2314</v>
      </c>
      <c r="F76" s="426" t="s">
        <v>2315</v>
      </c>
      <c r="G76" s="426" t="s">
        <v>2316</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2393</v>
      </c>
      <c r="C78" s="466" t="s">
        <v>2305</v>
      </c>
      <c r="D78" s="466" t="s">
        <v>2306</v>
      </c>
      <c r="E78" s="466" t="s">
        <v>2307</v>
      </c>
      <c r="F78" s="466" t="s">
        <v>2308</v>
      </c>
      <c r="G78" s="466" t="s">
        <v>2309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2271</v>
      </c>
      <c r="B88" s="413" t="s">
        <v>2320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2329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2401</v>
      </c>
      <c r="C106" s="466" t="s">
        <v>2305</v>
      </c>
      <c r="D106" s="466" t="s">
        <v>2306</v>
      </c>
      <c r="E106" s="466" t="s">
        <v>2307</v>
      </c>
      <c r="F106" s="466" t="s">
        <v>2308</v>
      </c>
      <c r="G106" s="466" t="s">
        <v>2309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8" priority="20" stopIfTrue="1" operator="containsText" text="超过">
      <formula>NOT(ISERROR(SEARCH("超过",F46)))</formula>
    </cfRule>
  </conditionalFormatting>
  <conditionalFormatting sqref="H48">
    <cfRule type="containsText" dxfId="107" priority="19" stopIfTrue="1" operator="containsText" text="超过">
      <formula>NOT(ISERROR(SEARCH("超过",H48)))</formula>
    </cfRule>
  </conditionalFormatting>
  <conditionalFormatting sqref="F48">
    <cfRule type="containsText" dxfId="106" priority="18" stopIfTrue="1" operator="containsText" text="超过">
      <formula>NOT(ISERROR(SEARCH("超过",F48)))</formula>
    </cfRule>
  </conditionalFormatting>
  <conditionalFormatting sqref="F47 H47">
    <cfRule type="containsText" dxfId="105" priority="17" stopIfTrue="1" operator="containsText" text="超过">
      <formula>NOT(ISERROR(SEARCH("超过",F47)))</formula>
    </cfRule>
  </conditionalFormatting>
  <conditionalFormatting sqref="E46">
    <cfRule type="expression" dxfId="104" priority="16" stopIfTrue="1">
      <formula>$F$46="超过30%"</formula>
    </cfRule>
  </conditionalFormatting>
  <conditionalFormatting sqref="E47">
    <cfRule type="expression" dxfId="103" priority="15" stopIfTrue="1">
      <formula>$F$47="超过20%"</formula>
    </cfRule>
  </conditionalFormatting>
  <conditionalFormatting sqref="E48">
    <cfRule type="expression" dxfId="102" priority="14" stopIfTrue="1">
      <formula>$F$48="超过30%"</formula>
    </cfRule>
  </conditionalFormatting>
  <conditionalFormatting sqref="G48">
    <cfRule type="expression" dxfId="101" priority="13" stopIfTrue="1">
      <formula>$H$48="超过30%"</formula>
    </cfRule>
  </conditionalFormatting>
  <conditionalFormatting sqref="G46">
    <cfRule type="expression" dxfId="100" priority="12" stopIfTrue="1">
      <formula>$H$46="超过30%"</formula>
    </cfRule>
  </conditionalFormatting>
  <conditionalFormatting sqref="G47">
    <cfRule type="expression" dxfId="99" priority="11" stopIfTrue="1">
      <formula>$H$47="超过20%"</formula>
    </cfRule>
  </conditionalFormatting>
  <conditionalFormatting sqref="J46">
    <cfRule type="containsText" dxfId="98" priority="10" stopIfTrue="1" operator="containsText" text="超过">
      <formula>NOT(ISERROR(SEARCH("超过",J46)))</formula>
    </cfRule>
  </conditionalFormatting>
  <conditionalFormatting sqref="J48">
    <cfRule type="containsText" dxfId="97" priority="9" stopIfTrue="1" operator="containsText" text="超过">
      <formula>NOT(ISERROR(SEARCH("超过",J48)))</formula>
    </cfRule>
  </conditionalFormatting>
  <conditionalFormatting sqref="J47">
    <cfRule type="containsText" dxfId="96" priority="8" stopIfTrue="1" operator="containsText" text="超过">
      <formula>NOT(ISERROR(SEARCH("超过",J47)))</formula>
    </cfRule>
  </conditionalFormatting>
  <conditionalFormatting sqref="I46">
    <cfRule type="expression" dxfId="95" priority="7" stopIfTrue="1">
      <formula>$J$46="超过30%"</formula>
    </cfRule>
  </conditionalFormatting>
  <conditionalFormatting sqref="I47">
    <cfRule type="expression" dxfId="94" priority="6" stopIfTrue="1">
      <formula>$J$47="超过20%"</formula>
    </cfRule>
  </conditionalFormatting>
  <conditionalFormatting sqref="I48">
    <cfRule type="expression" dxfId="93" priority="5" stopIfTrue="1">
      <formula>$J$48="超过30%"</formula>
    </cfRule>
  </conditionalFormatting>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F7:F40 H7:H40 J7:J40">
    <cfRule type="cellIs" dxfId="8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2402</v>
      </c>
      <c r="B1" s="1582"/>
      <c r="C1" s="1221"/>
      <c r="D1" s="1222"/>
      <c r="E1" s="1559"/>
      <c r="F1" s="1223" t="s">
        <v>2240</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1911</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1912</v>
      </c>
      <c r="B3" s="495" t="e">
        <f>IF(AND(D2="——",B37="元/平方米"),C39,ROUND(F3*C39/D3,0))</f>
        <v>#DIV/0!</v>
      </c>
      <c r="C3" s="293" t="s">
        <v>2241</v>
      </c>
      <c r="D3" s="292">
        <f>IF(C1="仅计算典型户型",'数据-取费表'!E5,'数据-取费表'!B5)</f>
        <v>1642.01</v>
      </c>
      <c r="E3" s="839" t="s">
        <v>2403</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2242</v>
      </c>
      <c r="B4" s="295"/>
      <c r="C4" s="3515" t="s">
        <v>2243</v>
      </c>
      <c r="D4" s="3516"/>
      <c r="E4" s="3517" t="s">
        <v>2244</v>
      </c>
      <c r="F4" s="3518"/>
      <c r="G4" s="3515" t="s">
        <v>2245</v>
      </c>
      <c r="H4" s="3516"/>
      <c r="I4" s="3515" t="s">
        <v>2246</v>
      </c>
      <c r="J4" s="3516"/>
      <c r="K4" s="496" t="s">
        <v>2247</v>
      </c>
      <c r="L4" s="3023"/>
      <c r="M4" s="3024"/>
      <c r="N4" s="3024"/>
      <c r="O4" s="3024"/>
      <c r="P4" s="3519" t="s">
        <v>2248</v>
      </c>
      <c r="Q4" s="3520"/>
      <c r="R4" s="3502" t="s">
        <v>2244</v>
      </c>
      <c r="S4" s="3503"/>
      <c r="T4" s="3502" t="s">
        <v>2245</v>
      </c>
      <c r="U4" s="3503"/>
      <c r="V4" s="3525" t="s">
        <v>2246</v>
      </c>
      <c r="W4" s="3525"/>
      <c r="X4" s="1335"/>
      <c r="Y4" s="3502" t="s">
        <v>2248</v>
      </c>
      <c r="Z4" s="3503"/>
      <c r="AA4" s="3512" t="s">
        <v>2244</v>
      </c>
      <c r="AB4" s="3513" t="s">
        <v>2245</v>
      </c>
      <c r="AC4" s="3512" t="s">
        <v>2246</v>
      </c>
    </row>
    <row r="5" spans="1:29" ht="15">
      <c r="A5" s="297"/>
      <c r="B5" s="298"/>
      <c r="C5" s="3528" t="s">
        <v>2249</v>
      </c>
      <c r="D5" s="3529"/>
      <c r="E5" s="3526" t="s">
        <v>2250</v>
      </c>
      <c r="F5" s="3527"/>
      <c r="G5" s="3528" t="s">
        <v>2251</v>
      </c>
      <c r="H5" s="3529"/>
      <c r="I5" s="3528" t="s">
        <v>2252</v>
      </c>
      <c r="J5" s="3529"/>
      <c r="K5" s="496"/>
      <c r="L5" s="3023"/>
      <c r="M5" s="3024"/>
      <c r="N5" s="3024"/>
      <c r="O5" s="3024"/>
      <c r="P5" s="3521"/>
      <c r="Q5" s="3522"/>
      <c r="R5" s="3504"/>
      <c r="S5" s="3505"/>
      <c r="T5" s="3504"/>
      <c r="U5" s="3505"/>
      <c r="V5" s="3525"/>
      <c r="W5" s="3525"/>
      <c r="X5" s="1335"/>
      <c r="Y5" s="3504"/>
      <c r="Z5" s="3505"/>
      <c r="AA5" s="3513"/>
      <c r="AB5" s="3513"/>
      <c r="AC5" s="3513"/>
    </row>
    <row r="6" spans="1:29" ht="15.75" thickBot="1">
      <c r="A6" s="299"/>
      <c r="B6" s="300"/>
      <c r="C6" s="3530" t="s">
        <v>2253</v>
      </c>
      <c r="D6" s="3531"/>
      <c r="E6" s="3532" t="s">
        <v>2253</v>
      </c>
      <c r="F6" s="3533"/>
      <c r="G6" s="3530" t="s">
        <v>2253</v>
      </c>
      <c r="H6" s="3531"/>
      <c r="I6" s="3530" t="s">
        <v>2253</v>
      </c>
      <c r="J6" s="3531"/>
      <c r="K6" s="496" t="s">
        <v>2254</v>
      </c>
      <c r="L6" s="3023"/>
      <c r="M6" s="3024"/>
      <c r="N6" s="3024"/>
      <c r="O6" s="3024"/>
      <c r="P6" s="3523"/>
      <c r="Q6" s="3524"/>
      <c r="R6" s="3504"/>
      <c r="S6" s="3505"/>
      <c r="T6" s="3506"/>
      <c r="U6" s="3507"/>
      <c r="V6" s="3525"/>
      <c r="W6" s="3525"/>
      <c r="X6" s="1335"/>
      <c r="Y6" s="3506"/>
      <c r="Z6" s="3507"/>
      <c r="AA6" s="3514"/>
      <c r="AB6" s="3514"/>
      <c r="AC6" s="3514"/>
    </row>
    <row r="7" spans="1:29" s="25" customFormat="1" ht="15.75" thickBot="1">
      <c r="A7" s="301" t="s">
        <v>2255</v>
      </c>
      <c r="B7" s="302"/>
      <c r="C7" s="303">
        <f>'数据-取费表'!B2</f>
        <v>44547</v>
      </c>
      <c r="D7" s="304">
        <v>100</v>
      </c>
      <c r="E7" s="305"/>
      <c r="F7" s="306">
        <f>SUMIF(48:48,YEAR(E7)&amp;"-"&amp;MONTH(E7),49:49)</f>
        <v>0</v>
      </c>
      <c r="G7" s="305"/>
      <c r="H7" s="304">
        <f>SUMIF(48:48,YEAR(G7)&amp;"-"&amp;MONTH(G7),49:49)</f>
        <v>0</v>
      </c>
      <c r="I7" s="305"/>
      <c r="J7" s="304">
        <f>SUMIF(48:48,YEAR(I7)&amp;"-"&amp;MONTH(I7),49:49)</f>
        <v>0</v>
      </c>
      <c r="K7" s="497"/>
      <c r="L7" s="3025"/>
      <c r="M7" s="3026"/>
      <c r="N7" s="3026"/>
      <c r="O7" s="3026"/>
      <c r="P7" s="3500" t="s">
        <v>2256</v>
      </c>
      <c r="Q7" s="3508"/>
      <c r="R7" s="627" t="s">
        <v>25</v>
      </c>
      <c r="S7" s="628">
        <f t="shared" ref="S7:S14" si="0">F7</f>
        <v>0</v>
      </c>
      <c r="T7" s="627" t="s">
        <v>25</v>
      </c>
      <c r="U7" s="628">
        <f t="shared" ref="U7:U14" si="1">H7</f>
        <v>0</v>
      </c>
      <c r="V7" s="627" t="s">
        <v>25</v>
      </c>
      <c r="W7" s="628">
        <f t="shared" ref="W7:W14" si="2">J7</f>
        <v>0</v>
      </c>
      <c r="X7" s="629"/>
      <c r="Y7" s="3500" t="s">
        <v>2256</v>
      </c>
      <c r="Z7" s="3501"/>
      <c r="AA7" s="630" t="e">
        <f>D7/F7</f>
        <v>#DIV/0!</v>
      </c>
      <c r="AB7" s="630" t="e">
        <f>D7/H7</f>
        <v>#DIV/0!</v>
      </c>
      <c r="AC7" s="630" t="e">
        <f>D7/J7</f>
        <v>#DIV/0!</v>
      </c>
    </row>
    <row r="8" spans="1:29" s="25" customFormat="1" ht="15.75" thickBot="1">
      <c r="A8" s="301" t="s">
        <v>2257</v>
      </c>
      <c r="B8" s="302"/>
      <c r="C8" s="307" t="s">
        <v>2258</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500" t="s">
        <v>2259</v>
      </c>
      <c r="Q8" s="3501"/>
      <c r="R8" s="627" t="s">
        <v>25</v>
      </c>
      <c r="S8" s="628">
        <f t="shared" si="0"/>
        <v>0</v>
      </c>
      <c r="T8" s="627" t="s">
        <v>25</v>
      </c>
      <c r="U8" s="628">
        <f t="shared" si="1"/>
        <v>0</v>
      </c>
      <c r="V8" s="627" t="s">
        <v>25</v>
      </c>
      <c r="W8" s="628">
        <f t="shared" si="2"/>
        <v>0</v>
      </c>
      <c r="X8" s="629"/>
      <c r="Y8" s="3500" t="s">
        <v>2259</v>
      </c>
      <c r="Z8" s="3501"/>
      <c r="AA8" s="630" t="e">
        <f t="shared" ref="AA8:AA36" si="3">D8/F8</f>
        <v>#DIV/0!</v>
      </c>
      <c r="AB8" s="630" t="e">
        <f t="shared" ref="AB8:AB36" si="4">D8/H8</f>
        <v>#DIV/0!</v>
      </c>
      <c r="AC8" s="630" t="e">
        <f t="shared" ref="AC8:AC36" si="5">D8/J8</f>
        <v>#DIV/0!</v>
      </c>
    </row>
    <row r="9" spans="1:29" s="25" customFormat="1">
      <c r="A9" s="21" t="s">
        <v>2260</v>
      </c>
      <c r="B9" s="522" t="s">
        <v>2261</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492" t="s">
        <v>2262</v>
      </c>
      <c r="Q9" s="1327" t="str">
        <f t="shared" ref="Q9:Q14" si="6">B9</f>
        <v>用途</v>
      </c>
      <c r="R9" s="627" t="s">
        <v>25</v>
      </c>
      <c r="S9" s="628">
        <f t="shared" si="0"/>
        <v>100</v>
      </c>
      <c r="T9" s="627" t="s">
        <v>25</v>
      </c>
      <c r="U9" s="628">
        <f t="shared" si="1"/>
        <v>100</v>
      </c>
      <c r="V9" s="627" t="s">
        <v>25</v>
      </c>
      <c r="W9" s="628">
        <f t="shared" si="2"/>
        <v>100</v>
      </c>
      <c r="X9" s="629"/>
      <c r="Y9" s="3511" t="s">
        <v>2263</v>
      </c>
      <c r="Z9" s="19" t="str">
        <f t="shared" ref="Z9:Z14" si="7">Q9</f>
        <v>用途</v>
      </c>
      <c r="AA9" s="630">
        <f t="shared" si="3"/>
        <v>1</v>
      </c>
      <c r="AB9" s="630">
        <f t="shared" si="4"/>
        <v>1</v>
      </c>
      <c r="AC9" s="630">
        <f t="shared" si="5"/>
        <v>1</v>
      </c>
    </row>
    <row r="10" spans="1:29" s="317" customFormat="1" ht="27">
      <c r="A10" s="523"/>
      <c r="B10" s="524" t="s">
        <v>2264</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492"/>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492"/>
      <c r="Q11" s="1327">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294" t="s">
        <v>2266</v>
      </c>
      <c r="B14" s="511" t="s">
        <v>2404</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09" t="s">
        <v>2267</v>
      </c>
      <c r="Q14" s="1334" t="str">
        <f t="shared" si="6"/>
        <v>交通便捷度</v>
      </c>
      <c r="R14" s="631" t="s">
        <v>25</v>
      </c>
      <c r="S14" s="632">
        <f t="shared" si="0"/>
        <v>100</v>
      </c>
      <c r="T14" s="631" t="s">
        <v>25</v>
      </c>
      <c r="U14" s="632">
        <f t="shared" si="1"/>
        <v>100</v>
      </c>
      <c r="V14" s="631" t="s">
        <v>25</v>
      </c>
      <c r="W14" s="632">
        <f t="shared" si="2"/>
        <v>100</v>
      </c>
      <c r="X14" s="1335"/>
      <c r="Y14" s="3509" t="s">
        <v>2267</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10"/>
      <c r="Q15" s="1334"/>
      <c r="R15" s="631"/>
      <c r="S15" s="632"/>
      <c r="T15" s="631"/>
      <c r="U15" s="632"/>
      <c r="V15" s="631"/>
      <c r="W15" s="632"/>
      <c r="X15" s="1335"/>
      <c r="Y15" s="3510"/>
      <c r="Z15" s="1336"/>
      <c r="AA15" s="1337">
        <v>1</v>
      </c>
      <c r="AB15" s="1337">
        <v>1</v>
      </c>
      <c r="AC15" s="1337">
        <v>1</v>
      </c>
    </row>
    <row r="16" spans="1:29" ht="42.75">
      <c r="A16" s="297"/>
      <c r="B16" s="513" t="s">
        <v>2382</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10"/>
      <c r="Q16" s="1334" t="str">
        <f>B16</f>
        <v>公共配套设施</v>
      </c>
      <c r="R16" s="631" t="s">
        <v>25</v>
      </c>
      <c r="S16" s="632">
        <f>F16</f>
        <v>100</v>
      </c>
      <c r="T16" s="631" t="s">
        <v>25</v>
      </c>
      <c r="U16" s="632">
        <f>H16</f>
        <v>100</v>
      </c>
      <c r="V16" s="631" t="s">
        <v>25</v>
      </c>
      <c r="W16" s="632">
        <f>J16</f>
        <v>100</v>
      </c>
      <c r="X16" s="1335"/>
      <c r="Y16" s="351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10"/>
      <c r="Q17" s="1334"/>
      <c r="R17" s="631"/>
      <c r="S17" s="632"/>
      <c r="T17" s="631"/>
      <c r="U17" s="632"/>
      <c r="V17" s="631"/>
      <c r="W17" s="632"/>
      <c r="X17" s="1335"/>
      <c r="Y17" s="3510"/>
      <c r="Z17" s="1336"/>
      <c r="AA17" s="1337">
        <v>1</v>
      </c>
      <c r="AB17" s="1337">
        <v>1</v>
      </c>
      <c r="AC17" s="1337">
        <v>1</v>
      </c>
    </row>
    <row r="18" spans="1:29" ht="28.5">
      <c r="A18" s="297"/>
      <c r="B18" s="515" t="s">
        <v>2383</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10"/>
      <c r="Q18" s="1334" t="str">
        <f>B18</f>
        <v>基础设施水平</v>
      </c>
      <c r="R18" s="631" t="s">
        <v>25</v>
      </c>
      <c r="S18" s="632">
        <f>F18</f>
        <v>100</v>
      </c>
      <c r="T18" s="631" t="s">
        <v>25</v>
      </c>
      <c r="U18" s="632">
        <f>H18</f>
        <v>100</v>
      </c>
      <c r="V18" s="631" t="s">
        <v>25</v>
      </c>
      <c r="W18" s="632">
        <f>J18</f>
        <v>100</v>
      </c>
      <c r="X18" s="1335"/>
      <c r="Y18" s="351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10"/>
      <c r="Q19" s="1334"/>
      <c r="R19" s="631"/>
      <c r="S19" s="632"/>
      <c r="T19" s="631"/>
      <c r="U19" s="632"/>
      <c r="V19" s="631"/>
      <c r="W19" s="632"/>
      <c r="X19" s="1335"/>
      <c r="Y19" s="3510"/>
      <c r="Z19" s="1336"/>
      <c r="AA19" s="1337">
        <v>1</v>
      </c>
      <c r="AB19" s="1337">
        <v>1</v>
      </c>
      <c r="AC19" s="1337">
        <v>1</v>
      </c>
    </row>
    <row r="20" spans="1:29" ht="57">
      <c r="A20" s="297"/>
      <c r="B20" s="513" t="s">
        <v>2405</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10"/>
      <c r="Q20" s="1334" t="str">
        <f>B20</f>
        <v>自然及人文环境</v>
      </c>
      <c r="R20" s="631" t="s">
        <v>25</v>
      </c>
      <c r="S20" s="632">
        <f>F20</f>
        <v>100</v>
      </c>
      <c r="T20" s="631" t="s">
        <v>25</v>
      </c>
      <c r="U20" s="632">
        <f>H20</f>
        <v>100</v>
      </c>
      <c r="V20" s="631" t="s">
        <v>25</v>
      </c>
      <c r="W20" s="632">
        <f>J20</f>
        <v>100</v>
      </c>
      <c r="X20" s="1335"/>
      <c r="Y20" s="351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10"/>
      <c r="Q21" s="1334"/>
      <c r="R21" s="631"/>
      <c r="S21" s="632"/>
      <c r="T21" s="631"/>
      <c r="U21" s="632"/>
      <c r="V21" s="631"/>
      <c r="W21" s="632"/>
      <c r="X21" s="1335"/>
      <c r="Y21" s="3510"/>
      <c r="Z21" s="1336"/>
      <c r="AA21" s="1337">
        <v>1</v>
      </c>
      <c r="AB21" s="1337">
        <v>1</v>
      </c>
      <c r="AC21" s="1337">
        <v>1</v>
      </c>
    </row>
    <row r="22" spans="1:29" ht="15">
      <c r="A22" s="297"/>
      <c r="B22" s="513" t="s">
        <v>2406</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10"/>
      <c r="Q22" s="1334" t="str">
        <f>B22</f>
        <v>楼层</v>
      </c>
      <c r="R22" s="631" t="s">
        <v>25</v>
      </c>
      <c r="S22" s="632">
        <f>F22</f>
        <v>100</v>
      </c>
      <c r="T22" s="631" t="s">
        <v>25</v>
      </c>
      <c r="U22" s="632">
        <f>H22</f>
        <v>100</v>
      </c>
      <c r="V22" s="631" t="s">
        <v>25</v>
      </c>
      <c r="W22" s="632">
        <f>J22</f>
        <v>100</v>
      </c>
      <c r="X22" s="1335"/>
      <c r="Y22" s="351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10"/>
      <c r="Q23" s="1334">
        <f>B23</f>
        <v>111</v>
      </c>
      <c r="R23" s="631" t="s">
        <v>25</v>
      </c>
      <c r="S23" s="632">
        <f>F23</f>
        <v>100</v>
      </c>
      <c r="T23" s="631" t="s">
        <v>25</v>
      </c>
      <c r="U23" s="632">
        <f>H23</f>
        <v>100</v>
      </c>
      <c r="V23" s="631" t="s">
        <v>25</v>
      </c>
      <c r="W23" s="632">
        <f>J23</f>
        <v>100</v>
      </c>
      <c r="X23" s="1335"/>
      <c r="Y23" s="351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10"/>
      <c r="Q24" s="1334">
        <f t="shared" ref="Q24:Q36" si="11">B24</f>
        <v>111</v>
      </c>
      <c r="R24" s="631" t="s">
        <v>25</v>
      </c>
      <c r="S24" s="632">
        <f>F24</f>
        <v>100</v>
      </c>
      <c r="T24" s="631" t="s">
        <v>25</v>
      </c>
      <c r="U24" s="632">
        <f>H24</f>
        <v>100</v>
      </c>
      <c r="V24" s="631" t="s">
        <v>25</v>
      </c>
      <c r="W24" s="632">
        <f>J24</f>
        <v>100</v>
      </c>
      <c r="X24" s="1335"/>
      <c r="Y24" s="351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10"/>
      <c r="Q25" s="1327">
        <f t="shared" si="11"/>
        <v>111</v>
      </c>
      <c r="R25" s="627" t="s">
        <v>25</v>
      </c>
      <c r="S25" s="628">
        <f>F25</f>
        <v>100</v>
      </c>
      <c r="T25" s="627" t="s">
        <v>25</v>
      </c>
      <c r="U25" s="628">
        <f>H25</f>
        <v>100</v>
      </c>
      <c r="V25" s="627" t="s">
        <v>25</v>
      </c>
      <c r="W25" s="628">
        <f>J25</f>
        <v>100</v>
      </c>
      <c r="X25" s="629"/>
      <c r="Y25" s="3510"/>
      <c r="Z25" s="19">
        <f>Q25</f>
        <v>111</v>
      </c>
      <c r="AA25" s="1337">
        <f>D25/F25</f>
        <v>1</v>
      </c>
      <c r="AB25" s="1337">
        <f>D25/H25</f>
        <v>1</v>
      </c>
      <c r="AC25" s="1337">
        <f>D25/J25</f>
        <v>1</v>
      </c>
    </row>
    <row r="26" spans="1:29" ht="28.5">
      <c r="A26" s="533" t="s">
        <v>2271</v>
      </c>
      <c r="B26" s="23" t="s">
        <v>2407</v>
      </c>
      <c r="C26" s="1583"/>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497" t="s">
        <v>2273</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8" t="s">
        <v>2273</v>
      </c>
      <c r="Z26" s="1336" t="str">
        <f t="shared" ref="Z26:Z36" si="15">Q26</f>
        <v>配套类型</v>
      </c>
      <c r="AA26" s="1337">
        <f t="shared" si="3"/>
        <v>1</v>
      </c>
      <c r="AB26" s="1337">
        <f t="shared" si="4"/>
        <v>1</v>
      </c>
      <c r="AC26" s="1337">
        <f t="shared" si="5"/>
        <v>1</v>
      </c>
    </row>
    <row r="27" spans="1:29" s="359" customFormat="1" ht="15">
      <c r="A27" s="534"/>
      <c r="B27" s="535" t="s">
        <v>2408</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498"/>
      <c r="Q27" s="633" t="str">
        <f t="shared" si="11"/>
        <v>项目停车位配比</v>
      </c>
      <c r="R27" s="634" t="s">
        <v>25</v>
      </c>
      <c r="S27" s="635">
        <f t="shared" si="12"/>
        <v>100</v>
      </c>
      <c r="T27" s="634" t="s">
        <v>25</v>
      </c>
      <c r="U27" s="635">
        <f t="shared" si="13"/>
        <v>100</v>
      </c>
      <c r="V27" s="634" t="s">
        <v>25</v>
      </c>
      <c r="W27" s="635">
        <f t="shared" si="14"/>
        <v>100</v>
      </c>
      <c r="X27" s="636"/>
      <c r="Y27" s="3498"/>
      <c r="Z27" s="637" t="str">
        <f t="shared" si="15"/>
        <v>项目停车位配比</v>
      </c>
      <c r="AA27" s="1337">
        <f t="shared" si="3"/>
        <v>1</v>
      </c>
      <c r="AB27" s="1337">
        <f t="shared" si="4"/>
        <v>1</v>
      </c>
      <c r="AC27" s="1337">
        <f t="shared" si="5"/>
        <v>1</v>
      </c>
    </row>
    <row r="28" spans="1:29" ht="15">
      <c r="A28" s="537"/>
      <c r="B28" s="535" t="s">
        <v>2409</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498"/>
      <c r="Q28" s="1334" t="str">
        <f t="shared" si="11"/>
        <v>公共部分装修</v>
      </c>
      <c r="R28" s="631" t="s">
        <v>25</v>
      </c>
      <c r="S28" s="632">
        <f t="shared" si="12"/>
        <v>100</v>
      </c>
      <c r="T28" s="631" t="s">
        <v>25</v>
      </c>
      <c r="U28" s="632">
        <f t="shared" si="13"/>
        <v>100</v>
      </c>
      <c r="V28" s="631" t="s">
        <v>25</v>
      </c>
      <c r="W28" s="632">
        <f t="shared" si="14"/>
        <v>100</v>
      </c>
      <c r="X28" s="1335"/>
      <c r="Y28" s="3498"/>
      <c r="Z28" s="1336" t="str">
        <f t="shared" si="15"/>
        <v>公共部分装修</v>
      </c>
      <c r="AA28" s="1337">
        <f t="shared" si="3"/>
        <v>1</v>
      </c>
      <c r="AB28" s="1337">
        <f t="shared" si="4"/>
        <v>1</v>
      </c>
      <c r="AC28" s="1337">
        <f t="shared" si="5"/>
        <v>1</v>
      </c>
    </row>
    <row r="29" spans="1:29" ht="15">
      <c r="A29" s="537"/>
      <c r="B29" s="535" t="s">
        <v>2410</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498"/>
      <c r="Q29" s="1334" t="str">
        <f t="shared" si="11"/>
        <v>成新率</v>
      </c>
      <c r="R29" s="631" t="s">
        <v>25</v>
      </c>
      <c r="S29" s="632" t="e">
        <f t="shared" si="12"/>
        <v>#N/A</v>
      </c>
      <c r="T29" s="631" t="s">
        <v>25</v>
      </c>
      <c r="U29" s="632" t="e">
        <f t="shared" si="13"/>
        <v>#N/A</v>
      </c>
      <c r="V29" s="631" t="s">
        <v>25</v>
      </c>
      <c r="W29" s="632" t="e">
        <f t="shared" si="14"/>
        <v>#N/A</v>
      </c>
      <c r="X29" s="1335"/>
      <c r="Y29" s="3498"/>
      <c r="Z29" s="1336" t="str">
        <f t="shared" si="15"/>
        <v>成新率</v>
      </c>
      <c r="AA29" s="1337" t="e">
        <f t="shared" si="3"/>
        <v>#N/A</v>
      </c>
      <c r="AB29" s="1337" t="e">
        <f t="shared" si="4"/>
        <v>#N/A</v>
      </c>
      <c r="AC29" s="1337" t="e">
        <f t="shared" si="5"/>
        <v>#N/A</v>
      </c>
    </row>
    <row r="30" spans="1:29" ht="15">
      <c r="A30" s="537"/>
      <c r="B30" s="535" t="s">
        <v>2411</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498"/>
      <c r="Q30" s="1334" t="str">
        <f t="shared" si="11"/>
        <v>物业等级</v>
      </c>
      <c r="R30" s="631" t="s">
        <v>25</v>
      </c>
      <c r="S30" s="632">
        <f t="shared" si="12"/>
        <v>100</v>
      </c>
      <c r="T30" s="631" t="s">
        <v>25</v>
      </c>
      <c r="U30" s="632">
        <f t="shared" si="13"/>
        <v>100</v>
      </c>
      <c r="V30" s="631" t="s">
        <v>25</v>
      </c>
      <c r="W30" s="632">
        <f t="shared" si="14"/>
        <v>100</v>
      </c>
      <c r="X30" s="1335"/>
      <c r="Y30" s="3498"/>
      <c r="Z30" s="1336" t="str">
        <f t="shared" si="15"/>
        <v>物业等级</v>
      </c>
      <c r="AA30" s="1337">
        <f t="shared" si="3"/>
        <v>1</v>
      </c>
      <c r="AB30" s="1337">
        <f t="shared" si="4"/>
        <v>1</v>
      </c>
      <c r="AC30" s="1337">
        <f t="shared" si="5"/>
        <v>1</v>
      </c>
    </row>
    <row r="31" spans="1:29" s="25" customFormat="1" ht="15">
      <c r="A31" s="539"/>
      <c r="B31" s="535" t="s">
        <v>2412</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498"/>
      <c r="Q31" s="1327" t="str">
        <f t="shared" si="11"/>
        <v>停车位面积</v>
      </c>
      <c r="R31" s="627" t="s">
        <v>25</v>
      </c>
      <c r="S31" s="628" t="e">
        <f t="shared" si="12"/>
        <v>#N/A</v>
      </c>
      <c r="T31" s="627" t="s">
        <v>25</v>
      </c>
      <c r="U31" s="628" t="e">
        <f t="shared" si="13"/>
        <v>#N/A</v>
      </c>
      <c r="V31" s="627" t="s">
        <v>25</v>
      </c>
      <c r="W31" s="628" t="e">
        <f t="shared" si="14"/>
        <v>#N/A</v>
      </c>
      <c r="X31" s="629"/>
      <c r="Y31" s="3498"/>
      <c r="Z31" s="19" t="str">
        <f t="shared" si="15"/>
        <v>停车位面积</v>
      </c>
      <c r="AA31" s="630" t="e">
        <f t="shared" si="3"/>
        <v>#N/A</v>
      </c>
      <c r="AB31" s="630" t="e">
        <f t="shared" si="4"/>
        <v>#N/A</v>
      </c>
      <c r="AC31" s="630" t="e">
        <f t="shared" si="5"/>
        <v>#N/A</v>
      </c>
    </row>
    <row r="32" spans="1:29" ht="15">
      <c r="A32" s="537"/>
      <c r="B32" s="535" t="s">
        <v>2413</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498" t="s">
        <v>2273</v>
      </c>
      <c r="Q32" s="1334" t="str">
        <f t="shared" si="11"/>
        <v>车位类型</v>
      </c>
      <c r="R32" s="631" t="s">
        <v>25</v>
      </c>
      <c r="S32" s="632">
        <f t="shared" si="12"/>
        <v>100</v>
      </c>
      <c r="T32" s="631" t="s">
        <v>25</v>
      </c>
      <c r="U32" s="632">
        <f t="shared" si="13"/>
        <v>100</v>
      </c>
      <c r="V32" s="631" t="s">
        <v>25</v>
      </c>
      <c r="W32" s="632">
        <f t="shared" si="14"/>
        <v>100</v>
      </c>
      <c r="X32" s="1335"/>
      <c r="Y32" s="3498" t="s">
        <v>2273</v>
      </c>
      <c r="Z32" s="1336" t="str">
        <f t="shared" si="15"/>
        <v>车位类型</v>
      </c>
      <c r="AA32" s="1337">
        <f t="shared" si="3"/>
        <v>1</v>
      </c>
      <c r="AB32" s="1337">
        <f t="shared" si="4"/>
        <v>1</v>
      </c>
      <c r="AC32" s="1337">
        <f t="shared" si="5"/>
        <v>1</v>
      </c>
    </row>
    <row r="33" spans="1:29" ht="15">
      <c r="A33" s="537"/>
      <c r="B33" s="535" t="s">
        <v>2414</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498"/>
      <c r="Q33" s="1334" t="str">
        <f t="shared" si="11"/>
        <v>是否直接入户</v>
      </c>
      <c r="R33" s="631" t="s">
        <v>25</v>
      </c>
      <c r="S33" s="632">
        <f t="shared" si="12"/>
        <v>100</v>
      </c>
      <c r="T33" s="631" t="s">
        <v>25</v>
      </c>
      <c r="U33" s="632">
        <f t="shared" si="13"/>
        <v>100</v>
      </c>
      <c r="V33" s="631" t="s">
        <v>25</v>
      </c>
      <c r="W33" s="632">
        <f t="shared" si="14"/>
        <v>100</v>
      </c>
      <c r="X33" s="1335"/>
      <c r="Y33" s="349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498"/>
      <c r="Q34" s="1334">
        <f t="shared" si="11"/>
        <v>111</v>
      </c>
      <c r="R34" s="631" t="s">
        <v>25</v>
      </c>
      <c r="S34" s="632">
        <f t="shared" si="12"/>
        <v>100</v>
      </c>
      <c r="T34" s="631" t="s">
        <v>25</v>
      </c>
      <c r="U34" s="632">
        <f t="shared" si="13"/>
        <v>100</v>
      </c>
      <c r="V34" s="631" t="s">
        <v>25</v>
      </c>
      <c r="W34" s="632">
        <f t="shared" si="14"/>
        <v>100</v>
      </c>
      <c r="X34" s="1335"/>
      <c r="Y34" s="349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498"/>
      <c r="Q35" s="633">
        <f t="shared" si="11"/>
        <v>111</v>
      </c>
      <c r="R35" s="634" t="s">
        <v>25</v>
      </c>
      <c r="S35" s="635">
        <f t="shared" si="12"/>
        <v>100</v>
      </c>
      <c r="T35" s="634" t="s">
        <v>25</v>
      </c>
      <c r="U35" s="635">
        <f t="shared" si="13"/>
        <v>100</v>
      </c>
      <c r="V35" s="634" t="s">
        <v>25</v>
      </c>
      <c r="W35" s="635">
        <f t="shared" si="14"/>
        <v>100</v>
      </c>
      <c r="X35" s="636"/>
      <c r="Y35" s="349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498"/>
      <c r="Q36" s="1334">
        <f t="shared" si="11"/>
        <v>111</v>
      </c>
      <c r="R36" s="631" t="s">
        <v>25</v>
      </c>
      <c r="S36" s="632">
        <f t="shared" si="12"/>
        <v>100</v>
      </c>
      <c r="T36" s="631" t="s">
        <v>25</v>
      </c>
      <c r="U36" s="632">
        <f t="shared" si="13"/>
        <v>100</v>
      </c>
      <c r="V36" s="631" t="s">
        <v>25</v>
      </c>
      <c r="W36" s="632">
        <f t="shared" si="14"/>
        <v>100</v>
      </c>
      <c r="X36" s="1335"/>
      <c r="Y36" s="3498"/>
      <c r="Z36" s="1336">
        <f t="shared" si="15"/>
        <v>111</v>
      </c>
      <c r="AA36" s="1337">
        <f t="shared" si="3"/>
        <v>1</v>
      </c>
      <c r="AB36" s="1337">
        <f t="shared" si="4"/>
        <v>1</v>
      </c>
      <c r="AC36" s="1337">
        <f t="shared" si="5"/>
        <v>1</v>
      </c>
    </row>
    <row r="37" spans="1:29" ht="15">
      <c r="A37" s="367" t="s">
        <v>2415</v>
      </c>
      <c r="B37" s="840" t="s">
        <v>2416</v>
      </c>
      <c r="C37" s="1153" t="s">
        <v>1</v>
      </c>
      <c r="D37" s="1154"/>
      <c r="E37" s="1155"/>
      <c r="F37" s="1156"/>
      <c r="G37" s="1157"/>
      <c r="H37" s="1158"/>
      <c r="I37" s="1155"/>
      <c r="J37" s="1158"/>
      <c r="K37" s="503"/>
      <c r="L37" s="3035"/>
      <c r="N37" s="3024"/>
      <c r="P37" s="3492" t="str">
        <f>A37</f>
        <v>成交单价</v>
      </c>
      <c r="Q37" s="3492"/>
      <c r="R37" s="3493">
        <f>E37</f>
        <v>0</v>
      </c>
      <c r="S37" s="3493"/>
      <c r="T37" s="3493">
        <f>G37</f>
        <v>0</v>
      </c>
      <c r="U37" s="3493"/>
      <c r="V37" s="3493">
        <f>I37</f>
        <v>0</v>
      </c>
      <c r="W37" s="3493"/>
      <c r="X37" s="618"/>
      <c r="Y37" s="638"/>
      <c r="Z37" s="618"/>
      <c r="AA37" s="618"/>
      <c r="AB37" s="618"/>
      <c r="AC37" s="618"/>
    </row>
    <row r="38" spans="1:29" ht="15.75" thickBot="1">
      <c r="A38" s="374" t="s">
        <v>2417</v>
      </c>
      <c r="B38" s="375" t="str">
        <f>B37</f>
        <v>元/平方米</v>
      </c>
      <c r="C38" s="1159" t="e">
        <f>R39</f>
        <v>#DIV/0!</v>
      </c>
      <c r="D38" s="1797" t="s">
        <v>2740</v>
      </c>
      <c r="E38" s="1160" t="e">
        <f>R38</f>
        <v>#DIV/0!</v>
      </c>
      <c r="F38" s="1799"/>
      <c r="G38" s="1159" t="e">
        <f>T38</f>
        <v>#DIV/0!</v>
      </c>
      <c r="H38" s="1799"/>
      <c r="I38" s="1160" t="e">
        <f>V38</f>
        <v>#DIV/0!</v>
      </c>
      <c r="J38" s="1799"/>
      <c r="K38" s="2511">
        <f>F38+H38+J38</f>
        <v>0</v>
      </c>
      <c r="L38" s="3035"/>
      <c r="P38" s="3492" t="str">
        <f>A38</f>
        <v>比较价值</v>
      </c>
      <c r="Q38" s="3492"/>
      <c r="R38" s="3493" t="e">
        <f>IF(E1="售价",ROUND(PRODUCT(R37,AA7:AA36),0),ROUND(PRODUCT(R37,AA7:AA36),1))</f>
        <v>#DIV/0!</v>
      </c>
      <c r="S38" s="3493"/>
      <c r="T38" s="3493" t="e">
        <f>IF(E1="售价",ROUND(PRODUCT(T37,AB7:AB36),0),ROUND(PRODUCT(T37,AB7:AB36),1))</f>
        <v>#DIV/0!</v>
      </c>
      <c r="U38" s="3493"/>
      <c r="V38" s="3493" t="e">
        <f>IF(E1="售价",ROUND(PRODUCT(V37,AC7:AC36),0),ROUND(PRODUCT(V37,AC7:AC36),1))</f>
        <v>#DIV/0!</v>
      </c>
      <c r="W38" s="3493"/>
      <c r="X38" s="618"/>
      <c r="Y38" s="618"/>
      <c r="Z38" s="618"/>
      <c r="AA38" s="618"/>
      <c r="AB38" s="618"/>
      <c r="AC38" s="618"/>
    </row>
    <row r="39" spans="1:29" ht="15.75" thickBot="1">
      <c r="A39" s="378" t="s">
        <v>2418</v>
      </c>
      <c r="B39" s="379"/>
      <c r="C39" s="1161" t="e">
        <f>R39</f>
        <v>#DIV/0!</v>
      </c>
      <c r="D39" s="1161"/>
      <c r="E39" s="1161"/>
      <c r="F39" s="1161"/>
      <c r="G39" s="1161"/>
      <c r="H39" s="1161"/>
      <c r="I39" s="1161"/>
      <c r="J39" s="1161"/>
      <c r="K39" s="504"/>
      <c r="L39" s="3035"/>
      <c r="P39" s="3494" t="str">
        <f>A39</f>
        <v>估价对象XX用房的比较价值（楼面单价，元/平方米）</v>
      </c>
      <c r="Q39" s="3495"/>
      <c r="R39" s="3496" t="e">
        <f>IF(E1="售价",ROUND(IF(D38="简单平均",AVERAGE(R38:W38),R38*F38+T38*H38+V38*J38),0),ROUND(IF(D38="简单平均",AVERAGE(R38:V38),R38*F38+T38*H38+V38*J38),1))</f>
        <v>#DIV/0!</v>
      </c>
      <c r="S39" s="3496"/>
      <c r="T39" s="3496"/>
      <c r="U39" s="3496"/>
      <c r="V39" s="3496"/>
      <c r="W39" s="3496"/>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2419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2423</v>
      </c>
      <c r="B48" s="392"/>
      <c r="C48" s="1187" t="str">
        <f>YEAR(C7)&amp;"-"&amp;MONTH(C7)</f>
        <v>2021-12</v>
      </c>
      <c r="D48" s="1188">
        <f>EDATE(C48,-1)</f>
        <v>44501</v>
      </c>
      <c r="E48" s="1188">
        <f t="shared" ref="E48:O48" si="16">EDATE(D48,-1)</f>
        <v>44470</v>
      </c>
      <c r="F48" s="1188">
        <f t="shared" si="16"/>
        <v>44440</v>
      </c>
      <c r="G48" s="1188">
        <f t="shared" si="16"/>
        <v>44409</v>
      </c>
      <c r="H48" s="1188">
        <f t="shared" si="16"/>
        <v>44378</v>
      </c>
      <c r="I48" s="1188">
        <f t="shared" si="16"/>
        <v>44348</v>
      </c>
      <c r="J48" s="1188">
        <f t="shared" si="16"/>
        <v>44317</v>
      </c>
      <c r="K48" s="1188">
        <f t="shared" si="16"/>
        <v>44287</v>
      </c>
      <c r="L48" s="1188">
        <f t="shared" si="16"/>
        <v>44256</v>
      </c>
      <c r="M48" s="1188">
        <f t="shared" si="16"/>
        <v>44228</v>
      </c>
      <c r="N48" s="1188">
        <f t="shared" si="16"/>
        <v>44197</v>
      </c>
      <c r="O48" s="1188">
        <f t="shared" si="16"/>
        <v>44166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2293</v>
      </c>
      <c r="B50" s="401"/>
      <c r="C50" s="402"/>
      <c r="D50" s="403"/>
      <c r="E50" s="403"/>
      <c r="F50" s="403"/>
      <c r="G50" s="403"/>
      <c r="H50" s="403"/>
      <c r="I50" s="403"/>
      <c r="J50" s="403"/>
      <c r="K50" s="403"/>
      <c r="L50" s="403"/>
      <c r="M50" s="404"/>
      <c r="N50" s="403"/>
      <c r="O50" s="405"/>
      <c r="P50" s="390"/>
      <c r="Q50" s="390"/>
    </row>
    <row r="51" spans="1:17" s="25" customFormat="1" ht="15">
      <c r="A51" s="406" t="s">
        <v>2257</v>
      </c>
      <c r="B51" s="396"/>
      <c r="C51" s="407" t="s">
        <v>2258</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2296</v>
      </c>
      <c r="B53" s="413" t="s">
        <v>2261</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2264</v>
      </c>
      <c r="C55" s="426" t="s">
        <v>2297</v>
      </c>
      <c r="D55" s="426" t="s">
        <v>2298</v>
      </c>
      <c r="E55" s="426" t="s">
        <v>2299</v>
      </c>
      <c r="F55" s="426" t="s">
        <v>2300</v>
      </c>
      <c r="G55" s="426" t="s">
        <v>2301</v>
      </c>
      <c r="H55" s="426" t="s">
        <v>2302</v>
      </c>
      <c r="I55" s="426" t="s">
        <v>2303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2266</v>
      </c>
      <c r="B63" s="413" t="s">
        <v>2310</v>
      </c>
      <c r="C63" s="461" t="s">
        <v>2305</v>
      </c>
      <c r="D63" s="461" t="s">
        <v>2306</v>
      </c>
      <c r="E63" s="461" t="s">
        <v>2307</v>
      </c>
      <c r="F63" s="461" t="s">
        <v>2308</v>
      </c>
      <c r="G63" s="461" t="s">
        <v>2309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2311</v>
      </c>
      <c r="C65" s="466" t="s">
        <v>2305</v>
      </c>
      <c r="D65" s="466" t="s">
        <v>2306</v>
      </c>
      <c r="E65" s="466" t="s">
        <v>2307</v>
      </c>
      <c r="F65" s="466" t="s">
        <v>2308</v>
      </c>
      <c r="G65" s="466" t="s">
        <v>2309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2383</v>
      </c>
      <c r="C67" s="426" t="s">
        <v>2312</v>
      </c>
      <c r="D67" s="426" t="s">
        <v>2313</v>
      </c>
      <c r="E67" s="426" t="s">
        <v>2314</v>
      </c>
      <c r="F67" s="426" t="s">
        <v>2315</v>
      </c>
      <c r="G67" s="426" t="s">
        <v>2316</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2317</v>
      </c>
      <c r="C69" s="466" t="s">
        <v>2305</v>
      </c>
      <c r="D69" s="466" t="s">
        <v>2306</v>
      </c>
      <c r="E69" s="466" t="s">
        <v>2307</v>
      </c>
      <c r="F69" s="466" t="s">
        <v>2308</v>
      </c>
      <c r="G69" s="466" t="s">
        <v>2309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2271</v>
      </c>
      <c r="B79" s="413" t="s">
        <v>2425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2429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8" priority="18" stopIfTrue="1" operator="containsText" text="超过">
      <formula>NOT(ISERROR(SEARCH("超过",F42)))</formula>
    </cfRule>
  </conditionalFormatting>
  <conditionalFormatting sqref="J44">
    <cfRule type="containsText" dxfId="87" priority="17" stopIfTrue="1" operator="containsText" text="超过">
      <formula>NOT(ISERROR(SEARCH("超过",J44)))</formula>
    </cfRule>
  </conditionalFormatting>
  <conditionalFormatting sqref="H44">
    <cfRule type="containsText" dxfId="86" priority="16" stopIfTrue="1" operator="containsText" text="超过">
      <formula>NOT(ISERROR(SEARCH("超过",H44)))</formula>
    </cfRule>
  </conditionalFormatting>
  <conditionalFormatting sqref="F44">
    <cfRule type="containsText" dxfId="85" priority="15" stopIfTrue="1" operator="containsText" text="超过">
      <formula>NOT(ISERROR(SEARCH("超过",F44)))</formula>
    </cfRule>
  </conditionalFormatting>
  <conditionalFormatting sqref="F43 H43 J43">
    <cfRule type="containsText" dxfId="84" priority="14" stopIfTrue="1" operator="containsText" text="超过">
      <formula>NOT(ISERROR(SEARCH("超过",F43)))</formula>
    </cfRule>
  </conditionalFormatting>
  <conditionalFormatting sqref="E42">
    <cfRule type="expression" dxfId="83" priority="13" stopIfTrue="1">
      <formula>$F$42="超过30%"</formula>
    </cfRule>
  </conditionalFormatting>
  <conditionalFormatting sqref="G44">
    <cfRule type="expression" dxfId="82" priority="12" stopIfTrue="1">
      <formula>$H$54+$H$44="超过30%"</formula>
    </cfRule>
  </conditionalFormatting>
  <conditionalFormatting sqref="E43">
    <cfRule type="expression" dxfId="81" priority="11" stopIfTrue="1">
      <formula>$F$43="超过20%"</formula>
    </cfRule>
  </conditionalFormatting>
  <conditionalFormatting sqref="E44">
    <cfRule type="expression" dxfId="80" priority="10" stopIfTrue="1">
      <formula>$F$44="超过30%"</formula>
    </cfRule>
  </conditionalFormatting>
  <conditionalFormatting sqref="G42">
    <cfRule type="expression" dxfId="79" priority="9" stopIfTrue="1">
      <formula>$H$52+$H$42="超过30%"</formula>
    </cfRule>
  </conditionalFormatting>
  <conditionalFormatting sqref="G43">
    <cfRule type="expression" dxfId="78" priority="8" stopIfTrue="1">
      <formula>$H$43="超过20%"</formula>
    </cfRule>
  </conditionalFormatting>
  <conditionalFormatting sqref="I42">
    <cfRule type="expression" dxfId="77" priority="7" stopIfTrue="1">
      <formula>$J$52+$J$42="超过30%"</formula>
    </cfRule>
  </conditionalFormatting>
  <conditionalFormatting sqref="I43">
    <cfRule type="expression" dxfId="76" priority="6" stopIfTrue="1">
      <formula>$J$53+$J$43="超过20%"</formula>
    </cfRule>
  </conditionalFormatting>
  <conditionalFormatting sqref="I44">
    <cfRule type="expression" dxfId="75" priority="5" stopIfTrue="1">
      <formula>$J$44="超过30%"</formula>
    </cfRule>
  </conditionalFormatting>
  <conditionalFormatting sqref="F38">
    <cfRule type="expression" dxfId="74" priority="4">
      <formula>$D$38="简单平均"</formula>
    </cfRule>
  </conditionalFormatting>
  <conditionalFormatting sqref="H38">
    <cfRule type="expression" dxfId="73" priority="3">
      <formula>$D$38="简单平均"</formula>
    </cfRule>
  </conditionalFormatting>
  <conditionalFormatting sqref="J38">
    <cfRule type="expression" dxfId="72" priority="2">
      <formula>$D$38="简单平均"</formula>
    </cfRule>
  </conditionalFormatting>
  <conditionalFormatting sqref="F7:F36 H7:H36 J7:J36">
    <cfRule type="cellIs" dxfId="7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2402</v>
      </c>
      <c r="B1" s="1582"/>
      <c r="C1" s="1221"/>
      <c r="D1" s="1231"/>
      <c r="E1" s="1559" t="s">
        <v>2741</v>
      </c>
      <c r="F1" s="1232" t="s">
        <v>2240</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1911</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1912</v>
      </c>
      <c r="B3" s="495" t="e">
        <f ca="1">ROUND(IF(D2="——",C37,IF(C2="万元",B2*10000/D3,B2/D3)),0)</f>
        <v>#DIV/0!</v>
      </c>
      <c r="C3" s="293" t="s">
        <v>2241</v>
      </c>
      <c r="D3" s="292">
        <f>IF(C1="仅计算典型户型",'数据-取费表'!E5,'数据-取费表'!B5)</f>
        <v>1642.01</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2242</v>
      </c>
      <c r="B4" s="295"/>
      <c r="C4" s="3515" t="s">
        <v>2243</v>
      </c>
      <c r="D4" s="3516"/>
      <c r="E4" s="3517" t="s">
        <v>2244</v>
      </c>
      <c r="F4" s="3518"/>
      <c r="G4" s="3515" t="s">
        <v>2245</v>
      </c>
      <c r="H4" s="3516"/>
      <c r="I4" s="3515" t="s">
        <v>2246</v>
      </c>
      <c r="J4" s="3516"/>
      <c r="K4" s="496" t="s">
        <v>2247</v>
      </c>
      <c r="L4" s="3023"/>
      <c r="M4" s="3024"/>
      <c r="N4" s="3024"/>
      <c r="O4" s="3024"/>
      <c r="P4" s="3519" t="s">
        <v>2248</v>
      </c>
      <c r="Q4" s="3520"/>
      <c r="R4" s="3502" t="s">
        <v>2244</v>
      </c>
      <c r="S4" s="3503"/>
      <c r="T4" s="3502" t="s">
        <v>2245</v>
      </c>
      <c r="U4" s="3503"/>
      <c r="V4" s="3525" t="s">
        <v>2246</v>
      </c>
      <c r="W4" s="3525"/>
      <c r="X4" s="1335"/>
      <c r="Y4" s="3502" t="s">
        <v>2248</v>
      </c>
      <c r="Z4" s="3503"/>
      <c r="AA4" s="3512" t="s">
        <v>2244</v>
      </c>
      <c r="AB4" s="3513" t="s">
        <v>2245</v>
      </c>
      <c r="AC4" s="3512" t="s">
        <v>2246</v>
      </c>
    </row>
    <row r="5" spans="1:29" ht="15">
      <c r="A5" s="297"/>
      <c r="B5" s="298"/>
      <c r="C5" s="3528" t="s">
        <v>2249</v>
      </c>
      <c r="D5" s="3529"/>
      <c r="E5" s="3526" t="s">
        <v>2250</v>
      </c>
      <c r="F5" s="3527"/>
      <c r="G5" s="3528" t="s">
        <v>2251</v>
      </c>
      <c r="H5" s="3529"/>
      <c r="I5" s="3528" t="s">
        <v>2252</v>
      </c>
      <c r="J5" s="3529"/>
      <c r="K5" s="496"/>
      <c r="L5" s="3023"/>
      <c r="M5" s="3024"/>
      <c r="N5" s="3024"/>
      <c r="O5" s="3024"/>
      <c r="P5" s="3521"/>
      <c r="Q5" s="3522"/>
      <c r="R5" s="3504"/>
      <c r="S5" s="3505"/>
      <c r="T5" s="3504"/>
      <c r="U5" s="3505"/>
      <c r="V5" s="3525"/>
      <c r="W5" s="3525"/>
      <c r="X5" s="1335"/>
      <c r="Y5" s="3504"/>
      <c r="Z5" s="3505"/>
      <c r="AA5" s="3513"/>
      <c r="AB5" s="3513"/>
      <c r="AC5" s="3513"/>
    </row>
    <row r="6" spans="1:29" ht="15.75" thickBot="1">
      <c r="A6" s="299"/>
      <c r="B6" s="300"/>
      <c r="C6" s="3530" t="s">
        <v>2253</v>
      </c>
      <c r="D6" s="3531"/>
      <c r="E6" s="3532" t="s">
        <v>2253</v>
      </c>
      <c r="F6" s="3533"/>
      <c r="G6" s="3530" t="s">
        <v>2253</v>
      </c>
      <c r="H6" s="3531"/>
      <c r="I6" s="3530" t="s">
        <v>2253</v>
      </c>
      <c r="J6" s="3531"/>
      <c r="K6" s="496" t="s">
        <v>2254</v>
      </c>
      <c r="L6" s="3023"/>
      <c r="M6" s="3024"/>
      <c r="N6" s="3024"/>
      <c r="O6" s="3024"/>
      <c r="P6" s="3523"/>
      <c r="Q6" s="3524"/>
      <c r="R6" s="3504"/>
      <c r="S6" s="3505"/>
      <c r="T6" s="3506"/>
      <c r="U6" s="3507"/>
      <c r="V6" s="3525"/>
      <c r="W6" s="3525"/>
      <c r="X6" s="1335"/>
      <c r="Y6" s="3506"/>
      <c r="Z6" s="3507"/>
      <c r="AA6" s="3514"/>
      <c r="AB6" s="3514"/>
      <c r="AC6" s="3514"/>
    </row>
    <row r="7" spans="1:29" s="25" customFormat="1" ht="15.75" thickBot="1">
      <c r="A7" s="301" t="s">
        <v>2255</v>
      </c>
      <c r="B7" s="302"/>
      <c r="C7" s="303">
        <f>'数据-取费表'!B2</f>
        <v>44547</v>
      </c>
      <c r="D7" s="304">
        <v>100</v>
      </c>
      <c r="E7" s="1575"/>
      <c r="F7" s="304">
        <f>SUMIF(46:46,YEAR(E7)&amp;"-"&amp;MONTH(E7),47:47)</f>
        <v>0</v>
      </c>
      <c r="G7" s="305"/>
      <c r="H7" s="304">
        <f>SUMIF(46:46,YEAR(G7)&amp;"-"&amp;MONTH(G7),47:47)</f>
        <v>0</v>
      </c>
      <c r="I7" s="305"/>
      <c r="J7" s="304">
        <f>SUMIF(46:46,YEAR(I7)&amp;"-"&amp;MONTH(I7),47:47)</f>
        <v>0</v>
      </c>
      <c r="K7" s="497"/>
      <c r="L7" s="3025"/>
      <c r="M7" s="3026"/>
      <c r="N7" s="3026"/>
      <c r="O7" s="3026"/>
      <c r="P7" s="3500" t="s">
        <v>2256</v>
      </c>
      <c r="Q7" s="3508"/>
      <c r="R7" s="627" t="s">
        <v>25</v>
      </c>
      <c r="S7" s="628">
        <f t="shared" ref="S7:S14" si="0">F7</f>
        <v>0</v>
      </c>
      <c r="T7" s="627" t="s">
        <v>25</v>
      </c>
      <c r="U7" s="628">
        <f t="shared" ref="U7:U14" si="1">H7</f>
        <v>0</v>
      </c>
      <c r="V7" s="627" t="s">
        <v>25</v>
      </c>
      <c r="W7" s="628">
        <f t="shared" ref="W7:W14" si="2">J7</f>
        <v>0</v>
      </c>
      <c r="X7" s="629"/>
      <c r="Y7" s="3500" t="s">
        <v>2256</v>
      </c>
      <c r="Z7" s="3501"/>
      <c r="AA7" s="630" t="e">
        <f>D7/F7</f>
        <v>#DIV/0!</v>
      </c>
      <c r="AB7" s="630" t="e">
        <f>D7/H7</f>
        <v>#DIV/0!</v>
      </c>
      <c r="AC7" s="630" t="e">
        <f>D7/J7</f>
        <v>#DIV/0!</v>
      </c>
    </row>
    <row r="8" spans="1:29" s="25" customFormat="1" ht="15.75" thickBot="1">
      <c r="A8" s="301" t="s">
        <v>2257</v>
      </c>
      <c r="B8" s="302"/>
      <c r="C8" s="307" t="s">
        <v>2258</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500" t="s">
        <v>2259</v>
      </c>
      <c r="Q8" s="3501"/>
      <c r="R8" s="627" t="s">
        <v>25</v>
      </c>
      <c r="S8" s="628">
        <f t="shared" si="0"/>
        <v>0</v>
      </c>
      <c r="T8" s="627" t="s">
        <v>25</v>
      </c>
      <c r="U8" s="628">
        <f t="shared" si="1"/>
        <v>0</v>
      </c>
      <c r="V8" s="627" t="s">
        <v>25</v>
      </c>
      <c r="W8" s="628">
        <f t="shared" si="2"/>
        <v>0</v>
      </c>
      <c r="X8" s="629"/>
      <c r="Y8" s="3500" t="s">
        <v>2259</v>
      </c>
      <c r="Z8" s="3501"/>
      <c r="AA8" s="630" t="e">
        <f t="shared" ref="AA8:AA34" si="3">D8/F8</f>
        <v>#DIV/0!</v>
      </c>
      <c r="AB8" s="630" t="e">
        <f t="shared" ref="AB8:AB34" si="4">D8/H8</f>
        <v>#DIV/0!</v>
      </c>
      <c r="AC8" s="630" t="e">
        <f t="shared" ref="AC8:AC34" si="5">D8/J8</f>
        <v>#DIV/0!</v>
      </c>
    </row>
    <row r="9" spans="1:29" s="25" customFormat="1">
      <c r="A9" s="308" t="s">
        <v>2260</v>
      </c>
      <c r="B9" s="24" t="s">
        <v>2261</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492" t="s">
        <v>2262</v>
      </c>
      <c r="Q9" s="1327" t="str">
        <f t="shared" ref="Q9:Q14" si="6">B9</f>
        <v>用途</v>
      </c>
      <c r="R9" s="627" t="s">
        <v>25</v>
      </c>
      <c r="S9" s="628">
        <f t="shared" si="0"/>
        <v>100</v>
      </c>
      <c r="T9" s="627" t="s">
        <v>25</v>
      </c>
      <c r="U9" s="628">
        <f t="shared" si="1"/>
        <v>100</v>
      </c>
      <c r="V9" s="627" t="s">
        <v>25</v>
      </c>
      <c r="W9" s="628">
        <f t="shared" si="2"/>
        <v>100</v>
      </c>
      <c r="X9" s="629"/>
      <c r="Y9" s="3511" t="s">
        <v>2263</v>
      </c>
      <c r="Z9" s="19" t="str">
        <f t="shared" ref="Z9:Z14" si="7">Q9</f>
        <v>用途</v>
      </c>
      <c r="AA9" s="630">
        <f t="shared" si="3"/>
        <v>1</v>
      </c>
      <c r="AB9" s="630">
        <f t="shared" si="4"/>
        <v>1</v>
      </c>
      <c r="AC9" s="630">
        <f t="shared" si="5"/>
        <v>1</v>
      </c>
    </row>
    <row r="10" spans="1:29" s="317" customFormat="1" ht="27">
      <c r="A10" s="312"/>
      <c r="B10" s="313" t="s">
        <v>2264</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492"/>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492"/>
      <c r="Q11" s="1327">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329" t="s">
        <v>2266</v>
      </c>
      <c r="B14" s="22" t="s">
        <v>2404</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09" t="s">
        <v>2267</v>
      </c>
      <c r="Q14" s="1334" t="str">
        <f t="shared" si="6"/>
        <v>交通便捷度</v>
      </c>
      <c r="R14" s="631" t="s">
        <v>25</v>
      </c>
      <c r="S14" s="632">
        <f t="shared" si="0"/>
        <v>100</v>
      </c>
      <c r="T14" s="631" t="s">
        <v>25</v>
      </c>
      <c r="U14" s="632">
        <f t="shared" si="1"/>
        <v>100</v>
      </c>
      <c r="V14" s="631" t="s">
        <v>25</v>
      </c>
      <c r="W14" s="632">
        <f t="shared" si="2"/>
        <v>100</v>
      </c>
      <c r="X14" s="1335"/>
      <c r="Y14" s="3509" t="s">
        <v>2267</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10"/>
      <c r="Q15" s="1334"/>
      <c r="R15" s="631"/>
      <c r="S15" s="632"/>
      <c r="T15" s="631"/>
      <c r="U15" s="632"/>
      <c r="V15" s="631"/>
      <c r="W15" s="632"/>
      <c r="X15" s="1335"/>
      <c r="Y15" s="3510"/>
      <c r="Z15" s="1336"/>
      <c r="AA15" s="1337">
        <v>1</v>
      </c>
      <c r="AB15" s="1337">
        <v>1</v>
      </c>
      <c r="AC15" s="1337">
        <v>1</v>
      </c>
    </row>
    <row r="16" spans="1:29" ht="42.75">
      <c r="A16" s="318"/>
      <c r="B16" s="513" t="s">
        <v>2382</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10"/>
      <c r="Q16" s="1334" t="str">
        <f>B16</f>
        <v>公共配套设施</v>
      </c>
      <c r="R16" s="631" t="s">
        <v>25</v>
      </c>
      <c r="S16" s="632">
        <f>F16</f>
        <v>100</v>
      </c>
      <c r="T16" s="631" t="s">
        <v>25</v>
      </c>
      <c r="U16" s="632">
        <f>H16</f>
        <v>100</v>
      </c>
      <c r="V16" s="631" t="s">
        <v>25</v>
      </c>
      <c r="W16" s="632">
        <f>J16</f>
        <v>100</v>
      </c>
      <c r="X16" s="1335"/>
      <c r="Y16" s="351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10"/>
      <c r="Q17" s="1334"/>
      <c r="R17" s="631"/>
      <c r="S17" s="632"/>
      <c r="T17" s="631"/>
      <c r="U17" s="632"/>
      <c r="V17" s="631"/>
      <c r="W17" s="632"/>
      <c r="X17" s="1335"/>
      <c r="Y17" s="3510"/>
      <c r="Z17" s="1336"/>
      <c r="AA17" s="1337">
        <v>1</v>
      </c>
      <c r="AB17" s="1337">
        <v>1</v>
      </c>
      <c r="AC17" s="1337">
        <v>1</v>
      </c>
    </row>
    <row r="18" spans="1:29" ht="28.5">
      <c r="A18" s="318"/>
      <c r="B18" s="515" t="s">
        <v>2383</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10"/>
      <c r="Q18" s="1334" t="str">
        <f>B18</f>
        <v>基础设施水平</v>
      </c>
      <c r="R18" s="631" t="s">
        <v>25</v>
      </c>
      <c r="S18" s="632">
        <f>F18</f>
        <v>100</v>
      </c>
      <c r="T18" s="631" t="s">
        <v>25</v>
      </c>
      <c r="U18" s="632">
        <f>H18</f>
        <v>100</v>
      </c>
      <c r="V18" s="631" t="s">
        <v>25</v>
      </c>
      <c r="W18" s="632">
        <f>J18</f>
        <v>100</v>
      </c>
      <c r="X18" s="1335"/>
      <c r="Y18" s="351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10"/>
      <c r="Q19" s="1334"/>
      <c r="R19" s="631"/>
      <c r="S19" s="632"/>
      <c r="T19" s="631"/>
      <c r="U19" s="632"/>
      <c r="V19" s="631"/>
      <c r="W19" s="632"/>
      <c r="X19" s="1335"/>
      <c r="Y19" s="3510"/>
      <c r="Z19" s="1336"/>
      <c r="AA19" s="1337">
        <v>1</v>
      </c>
      <c r="AB19" s="1337">
        <v>1</v>
      </c>
      <c r="AC19" s="1337">
        <v>1</v>
      </c>
    </row>
    <row r="20" spans="1:29" ht="57">
      <c r="A20" s="318"/>
      <c r="B20" s="340" t="s">
        <v>2405</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10"/>
      <c r="Q20" s="1334" t="str">
        <f>B20</f>
        <v>自然及人文环境</v>
      </c>
      <c r="R20" s="631" t="s">
        <v>25</v>
      </c>
      <c r="S20" s="632">
        <f>F20</f>
        <v>100</v>
      </c>
      <c r="T20" s="631" t="s">
        <v>25</v>
      </c>
      <c r="U20" s="632">
        <f>H20</f>
        <v>100</v>
      </c>
      <c r="V20" s="631" t="s">
        <v>25</v>
      </c>
      <c r="W20" s="632">
        <f>J20</f>
        <v>100</v>
      </c>
      <c r="X20" s="1335"/>
      <c r="Y20" s="351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10"/>
      <c r="Q21" s="1334"/>
      <c r="R21" s="631"/>
      <c r="S21" s="632"/>
      <c r="T21" s="631"/>
      <c r="U21" s="632"/>
      <c r="V21" s="631"/>
      <c r="W21" s="632"/>
      <c r="X21" s="1335"/>
      <c r="Y21" s="3510"/>
      <c r="Z21" s="1336"/>
      <c r="AA21" s="1337">
        <v>1</v>
      </c>
      <c r="AB21" s="1337">
        <v>1</v>
      </c>
      <c r="AC21" s="1337">
        <v>1</v>
      </c>
    </row>
    <row r="22" spans="1:29" ht="15">
      <c r="A22" s="318"/>
      <c r="B22" s="340" t="s">
        <v>2406</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10"/>
      <c r="Q22" s="1334" t="str">
        <f>B22</f>
        <v>楼层</v>
      </c>
      <c r="R22" s="631" t="s">
        <v>25</v>
      </c>
      <c r="S22" s="632">
        <f>F22</f>
        <v>100</v>
      </c>
      <c r="T22" s="631" t="s">
        <v>25</v>
      </c>
      <c r="U22" s="632">
        <f>H22</f>
        <v>100</v>
      </c>
      <c r="V22" s="631" t="s">
        <v>25</v>
      </c>
      <c r="W22" s="632">
        <f>J22</f>
        <v>100</v>
      </c>
      <c r="X22" s="1335"/>
      <c r="Y22" s="3510"/>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10"/>
      <c r="Q23" s="1334">
        <f>B23</f>
        <v>111</v>
      </c>
      <c r="R23" s="631" t="s">
        <v>25</v>
      </c>
      <c r="S23" s="632">
        <f>F23</f>
        <v>100</v>
      </c>
      <c r="T23" s="631" t="s">
        <v>25</v>
      </c>
      <c r="U23" s="632">
        <f>H23</f>
        <v>100</v>
      </c>
      <c r="V23" s="631" t="s">
        <v>25</v>
      </c>
      <c r="W23" s="632">
        <f>J23</f>
        <v>100</v>
      </c>
      <c r="X23" s="1335"/>
      <c r="Y23" s="3510"/>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10"/>
      <c r="Q24" s="1334">
        <f t="shared" ref="Q24:Q34" si="11">B24</f>
        <v>111</v>
      </c>
      <c r="R24" s="631" t="s">
        <v>25</v>
      </c>
      <c r="S24" s="632">
        <f>F24</f>
        <v>100</v>
      </c>
      <c r="T24" s="631" t="s">
        <v>25</v>
      </c>
      <c r="U24" s="632">
        <f>H24</f>
        <v>100</v>
      </c>
      <c r="V24" s="631" t="s">
        <v>25</v>
      </c>
      <c r="W24" s="632">
        <f>J24</f>
        <v>100</v>
      </c>
      <c r="X24" s="1335"/>
      <c r="Y24" s="3510"/>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5"/>
      <c r="M25" s="3026"/>
      <c r="N25" s="3026"/>
      <c r="O25" s="3027"/>
      <c r="P25" s="3510"/>
      <c r="Q25" s="1327">
        <f t="shared" si="11"/>
        <v>111</v>
      </c>
      <c r="R25" s="627" t="s">
        <v>25</v>
      </c>
      <c r="S25" s="628">
        <f>F25</f>
        <v>100</v>
      </c>
      <c r="T25" s="627" t="s">
        <v>25</v>
      </c>
      <c r="U25" s="628">
        <f>H25</f>
        <v>100</v>
      </c>
      <c r="V25" s="627" t="s">
        <v>25</v>
      </c>
      <c r="W25" s="628">
        <f>J25</f>
        <v>100</v>
      </c>
      <c r="X25" s="629"/>
      <c r="Y25" s="3510"/>
      <c r="Z25" s="19">
        <f>Q25</f>
        <v>111</v>
      </c>
      <c r="AA25" s="1337">
        <f>D25/F25</f>
        <v>1</v>
      </c>
      <c r="AB25" s="1337">
        <f>D25/H25</f>
        <v>1</v>
      </c>
      <c r="AC25" s="1337">
        <f>D25/J25</f>
        <v>1</v>
      </c>
    </row>
    <row r="26" spans="1:29" ht="28.5">
      <c r="A26" s="354" t="s">
        <v>2271</v>
      </c>
      <c r="B26" s="24" t="s">
        <v>2409</v>
      </c>
      <c r="C26" s="1577"/>
      <c r="D26" s="355">
        <v>100</v>
      </c>
      <c r="E26" s="1577"/>
      <c r="F26" s="548">
        <f>SUMIF(77:77,E26,78:78)-SUMIF(77:77,C26,78:78)+100</f>
        <v>100</v>
      </c>
      <c r="G26" s="1577"/>
      <c r="H26" s="355">
        <f>SUMIF(77:77,G26,78:78)-SUMIF(77:77,C26,78:78)+100</f>
        <v>100</v>
      </c>
      <c r="I26" s="1577"/>
      <c r="J26" s="355">
        <f>SUMIF(77:77,I26,78:78)-SUMIF(77:77,C26,78:78)+100</f>
        <v>100</v>
      </c>
      <c r="K26" s="498"/>
      <c r="L26" s="3033"/>
      <c r="M26" s="3024"/>
      <c r="N26" s="3024"/>
      <c r="O26" s="3032"/>
      <c r="P26" s="3497" t="s">
        <v>2273</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8" t="s">
        <v>2273</v>
      </c>
      <c r="Z26" s="1336" t="str">
        <f t="shared" ref="Z26:Z34" si="15">Q26</f>
        <v>公共部分装修</v>
      </c>
      <c r="AA26" s="1337">
        <f t="shared" si="3"/>
        <v>1</v>
      </c>
      <c r="AB26" s="1337">
        <f t="shared" si="4"/>
        <v>1</v>
      </c>
      <c r="AC26" s="1337">
        <f t="shared" si="5"/>
        <v>1</v>
      </c>
    </row>
    <row r="27" spans="1:29" s="359" customFormat="1" ht="15">
      <c r="A27" s="356"/>
      <c r="B27" s="313" t="s">
        <v>2410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498"/>
      <c r="Q27" s="633" t="str">
        <f t="shared" si="11"/>
        <v>成新率</v>
      </c>
      <c r="R27" s="634" t="s">
        <v>25</v>
      </c>
      <c r="S27" s="635" t="e">
        <f t="shared" si="12"/>
        <v>#N/A</v>
      </c>
      <c r="T27" s="634" t="s">
        <v>25</v>
      </c>
      <c r="U27" s="635" t="e">
        <f t="shared" si="13"/>
        <v>#N/A</v>
      </c>
      <c r="V27" s="634" t="s">
        <v>25</v>
      </c>
      <c r="W27" s="635" t="e">
        <f t="shared" si="14"/>
        <v>#N/A</v>
      </c>
      <c r="X27" s="636"/>
      <c r="Y27" s="3498"/>
      <c r="Z27" s="637" t="str">
        <f t="shared" si="15"/>
        <v>成新率</v>
      </c>
      <c r="AA27" s="1337" t="e">
        <f t="shared" si="3"/>
        <v>#N/A</v>
      </c>
      <c r="AB27" s="1337" t="e">
        <f t="shared" si="4"/>
        <v>#N/A</v>
      </c>
      <c r="AC27" s="1337" t="e">
        <f t="shared" si="5"/>
        <v>#N/A</v>
      </c>
    </row>
    <row r="28" spans="1:29" ht="15">
      <c r="A28" s="360"/>
      <c r="B28" s="313" t="s">
        <v>2411</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498"/>
      <c r="Q28" s="1334" t="str">
        <f t="shared" si="11"/>
        <v>物业等级</v>
      </c>
      <c r="R28" s="631" t="s">
        <v>25</v>
      </c>
      <c r="S28" s="632">
        <f t="shared" si="12"/>
        <v>100</v>
      </c>
      <c r="T28" s="631" t="s">
        <v>25</v>
      </c>
      <c r="U28" s="632">
        <f t="shared" si="13"/>
        <v>100</v>
      </c>
      <c r="V28" s="631" t="s">
        <v>25</v>
      </c>
      <c r="W28" s="632">
        <f t="shared" si="14"/>
        <v>100</v>
      </c>
      <c r="X28" s="1335"/>
      <c r="Y28" s="3498"/>
      <c r="Z28" s="1336" t="str">
        <f t="shared" si="15"/>
        <v>物业等级</v>
      </c>
      <c r="AA28" s="1337">
        <f t="shared" si="3"/>
        <v>1</v>
      </c>
      <c r="AB28" s="1337">
        <f t="shared" si="4"/>
        <v>1</v>
      </c>
      <c r="AC28" s="1337">
        <f t="shared" si="5"/>
        <v>1</v>
      </c>
    </row>
    <row r="29" spans="1:29" ht="15">
      <c r="A29" s="360"/>
      <c r="B29" s="313" t="s">
        <v>2432</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498"/>
      <c r="Q29" s="1334" t="str">
        <f t="shared" si="11"/>
        <v>有无电梯</v>
      </c>
      <c r="R29" s="631" t="s">
        <v>25</v>
      </c>
      <c r="S29" s="632">
        <f t="shared" si="12"/>
        <v>100</v>
      </c>
      <c r="T29" s="631" t="s">
        <v>25</v>
      </c>
      <c r="U29" s="632">
        <f t="shared" si="13"/>
        <v>100</v>
      </c>
      <c r="V29" s="631" t="s">
        <v>25</v>
      </c>
      <c r="W29" s="632">
        <f t="shared" si="14"/>
        <v>100</v>
      </c>
      <c r="X29" s="1335"/>
      <c r="Y29" s="3498"/>
      <c r="Z29" s="1336" t="str">
        <f t="shared" si="15"/>
        <v>有无电梯</v>
      </c>
      <c r="AA29" s="1337">
        <f t="shared" si="3"/>
        <v>1</v>
      </c>
      <c r="AB29" s="1337">
        <f t="shared" si="4"/>
        <v>1</v>
      </c>
      <c r="AC29" s="1337">
        <f t="shared" si="5"/>
        <v>1</v>
      </c>
    </row>
    <row r="30" spans="1:29" ht="15">
      <c r="A30" s="360"/>
      <c r="B30" s="313" t="s">
        <v>2433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498"/>
      <c r="Q30" s="1334" t="str">
        <f t="shared" si="11"/>
        <v>建筑面积</v>
      </c>
      <c r="R30" s="631" t="s">
        <v>25</v>
      </c>
      <c r="S30" s="632" t="e">
        <f t="shared" si="12"/>
        <v>#N/A</v>
      </c>
      <c r="T30" s="631" t="s">
        <v>25</v>
      </c>
      <c r="U30" s="632" t="e">
        <f t="shared" si="13"/>
        <v>#N/A</v>
      </c>
      <c r="V30" s="631" t="s">
        <v>25</v>
      </c>
      <c r="W30" s="632" t="e">
        <f t="shared" si="14"/>
        <v>#N/A</v>
      </c>
      <c r="X30" s="1335"/>
      <c r="Y30" s="3498"/>
      <c r="Z30" s="1336" t="str">
        <f t="shared" si="15"/>
        <v>建筑面积</v>
      </c>
      <c r="AA30" s="1337" t="e">
        <f t="shared" si="3"/>
        <v>#N/A</v>
      </c>
      <c r="AB30" s="1337" t="e">
        <f t="shared" si="4"/>
        <v>#N/A</v>
      </c>
      <c r="AC30" s="1337" t="e">
        <f t="shared" si="5"/>
        <v>#N/A</v>
      </c>
    </row>
    <row r="31" spans="1:29" s="25" customFormat="1" ht="15">
      <c r="A31" s="361"/>
      <c r="B31" s="313" t="s">
        <v>2434</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498"/>
      <c r="Q31" s="1327" t="str">
        <f t="shared" si="11"/>
        <v>是否封闭</v>
      </c>
      <c r="R31" s="627" t="s">
        <v>25</v>
      </c>
      <c r="S31" s="628">
        <f t="shared" si="12"/>
        <v>100</v>
      </c>
      <c r="T31" s="627" t="s">
        <v>25</v>
      </c>
      <c r="U31" s="628">
        <f t="shared" si="13"/>
        <v>100</v>
      </c>
      <c r="V31" s="627" t="s">
        <v>25</v>
      </c>
      <c r="W31" s="628">
        <f t="shared" si="14"/>
        <v>100</v>
      </c>
      <c r="X31" s="629"/>
      <c r="Y31" s="349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498" t="s">
        <v>2273</v>
      </c>
      <c r="Q32" s="1334">
        <f t="shared" si="11"/>
        <v>111</v>
      </c>
      <c r="R32" s="631" t="s">
        <v>25</v>
      </c>
      <c r="S32" s="632">
        <f t="shared" si="12"/>
        <v>100</v>
      </c>
      <c r="T32" s="631" t="s">
        <v>25</v>
      </c>
      <c r="U32" s="632">
        <f t="shared" si="13"/>
        <v>100</v>
      </c>
      <c r="V32" s="631" t="s">
        <v>25</v>
      </c>
      <c r="W32" s="632">
        <f t="shared" si="14"/>
        <v>100</v>
      </c>
      <c r="X32" s="1335"/>
      <c r="Y32" s="3498" t="s">
        <v>2273</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498"/>
      <c r="Q33" s="1334">
        <f t="shared" si="11"/>
        <v>111</v>
      </c>
      <c r="R33" s="631" t="s">
        <v>25</v>
      </c>
      <c r="S33" s="632">
        <f t="shared" si="12"/>
        <v>100</v>
      </c>
      <c r="T33" s="631" t="s">
        <v>25</v>
      </c>
      <c r="U33" s="632">
        <f t="shared" si="13"/>
        <v>100</v>
      </c>
      <c r="V33" s="631" t="s">
        <v>25</v>
      </c>
      <c r="W33" s="632">
        <f t="shared" si="14"/>
        <v>100</v>
      </c>
      <c r="X33" s="1335"/>
      <c r="Y33" s="349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3"/>
      <c r="M34" s="3024"/>
      <c r="N34" s="3024"/>
      <c r="O34" s="3032"/>
      <c r="P34" s="3498"/>
      <c r="Q34" s="1334">
        <f t="shared" si="11"/>
        <v>111</v>
      </c>
      <c r="R34" s="631" t="s">
        <v>25</v>
      </c>
      <c r="S34" s="632">
        <f t="shared" si="12"/>
        <v>100</v>
      </c>
      <c r="T34" s="631" t="s">
        <v>25</v>
      </c>
      <c r="U34" s="632">
        <f t="shared" si="13"/>
        <v>100</v>
      </c>
      <c r="V34" s="631" t="s">
        <v>25</v>
      </c>
      <c r="W34" s="632">
        <f t="shared" si="14"/>
        <v>100</v>
      </c>
      <c r="X34" s="1335"/>
      <c r="Y34" s="3498"/>
      <c r="Z34" s="1336">
        <f t="shared" si="15"/>
        <v>111</v>
      </c>
      <c r="AA34" s="1337">
        <f t="shared" si="3"/>
        <v>1</v>
      </c>
      <c r="AB34" s="1337">
        <f t="shared" si="4"/>
        <v>1</v>
      </c>
      <c r="AC34" s="1337">
        <f t="shared" si="5"/>
        <v>1</v>
      </c>
    </row>
    <row r="35" spans="1:29" ht="15">
      <c r="A35" s="367" t="s">
        <v>2285</v>
      </c>
      <c r="B35" s="368"/>
      <c r="C35" s="1153" t="s">
        <v>1</v>
      </c>
      <c r="D35" s="1154"/>
      <c r="E35" s="1155"/>
      <c r="F35" s="1156"/>
      <c r="G35" s="1157"/>
      <c r="H35" s="1158"/>
      <c r="I35" s="1155"/>
      <c r="J35" s="1158"/>
      <c r="K35" s="640"/>
      <c r="L35" s="3035"/>
      <c r="N35" s="3024"/>
      <c r="P35" s="3492" t="str">
        <f>A35</f>
        <v>成交单价（元/平方米）</v>
      </c>
      <c r="Q35" s="3492"/>
      <c r="R35" s="3493">
        <f>E35</f>
        <v>0</v>
      </c>
      <c r="S35" s="3493"/>
      <c r="T35" s="3493">
        <f>G35</f>
        <v>0</v>
      </c>
      <c r="U35" s="3493"/>
      <c r="V35" s="3493">
        <f>I35</f>
        <v>0</v>
      </c>
      <c r="W35" s="3493"/>
      <c r="X35" s="618"/>
      <c r="Y35" s="638"/>
      <c r="Z35" s="618"/>
      <c r="AA35" s="618"/>
      <c r="AB35" s="618"/>
      <c r="AC35" s="618"/>
    </row>
    <row r="36" spans="1:29" ht="15.75" thickBot="1">
      <c r="A36" s="374" t="s">
        <v>2368</v>
      </c>
      <c r="B36" s="375"/>
      <c r="C36" s="1159" t="e">
        <f>R37</f>
        <v>#DIV/0!</v>
      </c>
      <c r="D36" s="1797" t="s">
        <v>2740</v>
      </c>
      <c r="E36" s="1160" t="e">
        <f>R36</f>
        <v>#DIV/0!</v>
      </c>
      <c r="F36" s="1799"/>
      <c r="G36" s="1159" t="e">
        <f>T36</f>
        <v>#DIV/0!</v>
      </c>
      <c r="H36" s="1799"/>
      <c r="I36" s="1160" t="e">
        <f>V36</f>
        <v>#DIV/0!</v>
      </c>
      <c r="J36" s="1799"/>
      <c r="K36" s="2511">
        <f>F36+H36+J36</f>
        <v>0</v>
      </c>
      <c r="L36" s="3035"/>
      <c r="N36" s="3024"/>
      <c r="P36" s="3492" t="str">
        <f>A36</f>
        <v>比较价值（元/平方米）</v>
      </c>
      <c r="Q36" s="3492"/>
      <c r="R36" s="3493" t="e">
        <f>IF(E1="售价",ROUND(PRODUCT(R35,AA7:AA34),0),ROUND(PRODUCT(R35,AA7:AA34),1))</f>
        <v>#DIV/0!</v>
      </c>
      <c r="S36" s="3493"/>
      <c r="T36" s="3493" t="e">
        <f>IF(E1="售价",ROUND(PRODUCT(T35,AB7:AB34),0),ROUND(PRODUCT(T35,AB7:AB34),1))</f>
        <v>#DIV/0!</v>
      </c>
      <c r="U36" s="3493"/>
      <c r="V36" s="3493" t="e">
        <f>IF(E1="售价",ROUND(PRODUCT(V35,AC7:AC34),0),ROUND(PRODUCT(V35,AC7:AC34),1))</f>
        <v>#DIV/0!</v>
      </c>
      <c r="W36" s="3493"/>
      <c r="X36" s="618"/>
      <c r="Y36" s="618"/>
      <c r="Z36" s="618"/>
      <c r="AA36" s="618"/>
      <c r="AB36" s="618"/>
      <c r="AC36" s="618"/>
    </row>
    <row r="37" spans="1:29" ht="15.75" thickBot="1">
      <c r="A37" s="378" t="s">
        <v>2391</v>
      </c>
      <c r="B37" s="379"/>
      <c r="C37" s="1161" t="e">
        <f>R37</f>
        <v>#DIV/0!</v>
      </c>
      <c r="D37" s="1161"/>
      <c r="E37" s="1161"/>
      <c r="F37" s="1161"/>
      <c r="G37" s="1161"/>
      <c r="H37" s="1161"/>
      <c r="I37" s="1161"/>
      <c r="J37" s="1161"/>
      <c r="K37" s="641"/>
      <c r="L37" s="3035"/>
      <c r="P37" s="3494" t="str">
        <f>A37</f>
        <v>估价对象XX用房的比较价值（楼面单价，元/平方米）</v>
      </c>
      <c r="Q37" s="3495"/>
      <c r="R37" s="3496" t="e">
        <f>IF(E1="售价",ROUND(IF(D36="简单平均",AVERAGE(R36:W36),R36*F36+T36*H36+V36*J36),0),ROUND(IF(D36="简单平均",AVERAGE(R36:V36),R36*F36+T36*H36+V36*J36),1))</f>
        <v>#DIV/0!</v>
      </c>
      <c r="S37" s="3496"/>
      <c r="T37" s="3496"/>
      <c r="U37" s="3496"/>
      <c r="V37" s="3496"/>
      <c r="W37" s="3496"/>
      <c r="X37" s="618"/>
      <c r="Y37" s="618"/>
      <c r="Z37" s="618"/>
      <c r="AA37" s="618"/>
      <c r="AB37" s="618"/>
      <c r="AC37" s="618"/>
    </row>
    <row r="38" spans="1:29">
      <c r="G38" s="3038"/>
    </row>
    <row r="40" spans="1:29" ht="13.5" customHeight="1">
      <c r="C40" s="383" t="s">
        <v>2370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2373</v>
      </c>
      <c r="B45" s="618"/>
      <c r="C45" s="621"/>
      <c r="D45" s="621"/>
      <c r="E45" s="621"/>
      <c r="F45" s="622"/>
      <c r="G45" s="622"/>
      <c r="H45" s="621"/>
      <c r="I45" s="621"/>
      <c r="J45" s="621"/>
      <c r="K45" s="623"/>
      <c r="L45" s="624"/>
      <c r="M45" s="621"/>
      <c r="N45" s="3041"/>
      <c r="O45" s="3041"/>
      <c r="P45" s="389"/>
      <c r="Q45" s="390"/>
    </row>
    <row r="46" spans="1:29" s="394" customFormat="1" ht="15">
      <c r="A46" s="391" t="s">
        <v>2255</v>
      </c>
      <c r="B46" s="392"/>
      <c r="C46" s="1187" t="str">
        <f>YEAR(C7)&amp;"-"&amp;MONTH(C7)</f>
        <v>2021-12</v>
      </c>
      <c r="D46" s="1188">
        <f>EDATE(C46,-1)</f>
        <v>44501</v>
      </c>
      <c r="E46" s="1188">
        <f t="shared" ref="E46:O46" si="16">EDATE(D46,-1)</f>
        <v>44470</v>
      </c>
      <c r="F46" s="1188">
        <f t="shared" si="16"/>
        <v>44440</v>
      </c>
      <c r="G46" s="1188">
        <f t="shared" si="16"/>
        <v>44409</v>
      </c>
      <c r="H46" s="1188">
        <f t="shared" si="16"/>
        <v>44378</v>
      </c>
      <c r="I46" s="1188">
        <f t="shared" si="16"/>
        <v>44348</v>
      </c>
      <c r="J46" s="1188">
        <f t="shared" si="16"/>
        <v>44317</v>
      </c>
      <c r="K46" s="1188">
        <f t="shared" si="16"/>
        <v>44287</v>
      </c>
      <c r="L46" s="1188">
        <f t="shared" si="16"/>
        <v>44256</v>
      </c>
      <c r="M46" s="1188">
        <f t="shared" si="16"/>
        <v>44228</v>
      </c>
      <c r="N46" s="1188">
        <f t="shared" si="16"/>
        <v>44197</v>
      </c>
      <c r="O46" s="1188">
        <f t="shared" si="16"/>
        <v>44166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2293</v>
      </c>
      <c r="B48" s="401"/>
      <c r="C48" s="402"/>
      <c r="D48" s="403"/>
      <c r="E48" s="403"/>
      <c r="F48" s="403"/>
      <c r="G48" s="403"/>
      <c r="H48" s="403"/>
      <c r="I48" s="403"/>
      <c r="J48" s="403"/>
      <c r="K48" s="403"/>
      <c r="L48" s="403"/>
      <c r="M48" s="404"/>
      <c r="N48" s="403"/>
      <c r="O48" s="405"/>
      <c r="P48" s="390"/>
      <c r="Q48" s="390"/>
    </row>
    <row r="49" spans="1:17" s="25" customFormat="1" ht="15">
      <c r="A49" s="406" t="s">
        <v>2257</v>
      </c>
      <c r="B49" s="396"/>
      <c r="C49" s="407" t="s">
        <v>2258</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2296</v>
      </c>
      <c r="B51" s="413" t="s">
        <v>2261</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2264</v>
      </c>
      <c r="C53" s="426" t="s">
        <v>2297</v>
      </c>
      <c r="D53" s="426" t="s">
        <v>2298</v>
      </c>
      <c r="E53" s="426" t="s">
        <v>2299</v>
      </c>
      <c r="F53" s="426" t="s">
        <v>2300</v>
      </c>
      <c r="G53" s="426" t="s">
        <v>2301</v>
      </c>
      <c r="H53" s="426" t="s">
        <v>2302</v>
      </c>
      <c r="I53" s="426" t="s">
        <v>2303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2266</v>
      </c>
      <c r="B61" s="413" t="s">
        <v>2310</v>
      </c>
      <c r="C61" s="461" t="s">
        <v>2305</v>
      </c>
      <c r="D61" s="461" t="s">
        <v>2306</v>
      </c>
      <c r="E61" s="461" t="s">
        <v>2307</v>
      </c>
      <c r="F61" s="461" t="s">
        <v>2308</v>
      </c>
      <c r="G61" s="461" t="s">
        <v>2309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2311</v>
      </c>
      <c r="C63" s="466" t="s">
        <v>2305</v>
      </c>
      <c r="D63" s="466" t="s">
        <v>2306</v>
      </c>
      <c r="E63" s="466" t="s">
        <v>2307</v>
      </c>
      <c r="F63" s="466" t="s">
        <v>2308</v>
      </c>
      <c r="G63" s="466" t="s">
        <v>2309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2383</v>
      </c>
      <c r="C65" s="426" t="s">
        <v>2312</v>
      </c>
      <c r="D65" s="426" t="s">
        <v>2313</v>
      </c>
      <c r="E65" s="426" t="s">
        <v>2314</v>
      </c>
      <c r="F65" s="426" t="s">
        <v>2315</v>
      </c>
      <c r="G65" s="426" t="s">
        <v>2316</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2317</v>
      </c>
      <c r="C67" s="466" t="s">
        <v>2305</v>
      </c>
      <c r="D67" s="466" t="s">
        <v>2306</v>
      </c>
      <c r="E67" s="466" t="s">
        <v>2307</v>
      </c>
      <c r="F67" s="466" t="s">
        <v>2308</v>
      </c>
      <c r="G67" s="466" t="s">
        <v>2309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2271</v>
      </c>
      <c r="B77" s="413" t="s">
        <v>2324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0" priority="18" stopIfTrue="1" operator="containsText" text="超过">
      <formula>NOT(ISERROR(SEARCH("超过",F40)))</formula>
    </cfRule>
  </conditionalFormatting>
  <conditionalFormatting sqref="J42">
    <cfRule type="containsText" dxfId="69" priority="17" stopIfTrue="1" operator="containsText" text="超过">
      <formula>NOT(ISERROR(SEARCH("超过",J42)))</formula>
    </cfRule>
  </conditionalFormatting>
  <conditionalFormatting sqref="H42">
    <cfRule type="containsText" dxfId="68" priority="16" stopIfTrue="1" operator="containsText" text="超过">
      <formula>NOT(ISERROR(SEARCH("超过",H42)))</formula>
    </cfRule>
  </conditionalFormatting>
  <conditionalFormatting sqref="F42">
    <cfRule type="containsText" dxfId="67" priority="15" stopIfTrue="1" operator="containsText" text="超过">
      <formula>NOT(ISERROR(SEARCH("超过",F42)))</formula>
    </cfRule>
  </conditionalFormatting>
  <conditionalFormatting sqref="F41 H41 J41">
    <cfRule type="containsText" dxfId="66" priority="14" stopIfTrue="1" operator="containsText" text="超过">
      <formula>NOT(ISERROR(SEARCH("超过",F41)))</formula>
    </cfRule>
  </conditionalFormatting>
  <conditionalFormatting sqref="E40">
    <cfRule type="expression" dxfId="65" priority="13" stopIfTrue="1">
      <formula>$F$40="超过30%"</formula>
    </cfRule>
  </conditionalFormatting>
  <conditionalFormatting sqref="G42">
    <cfRule type="expression" dxfId="64" priority="12" stopIfTrue="1">
      <formula>$H$54+$H$42="超过30%"</formula>
    </cfRule>
  </conditionalFormatting>
  <conditionalFormatting sqref="E41">
    <cfRule type="expression" dxfId="63" priority="11" stopIfTrue="1">
      <formula>$F$41="超过20%"</formula>
    </cfRule>
  </conditionalFormatting>
  <conditionalFormatting sqref="E42">
    <cfRule type="expression" dxfId="62" priority="10" stopIfTrue="1">
      <formula>$F$42="超过30%"</formula>
    </cfRule>
  </conditionalFormatting>
  <conditionalFormatting sqref="G40">
    <cfRule type="expression" dxfId="61" priority="9" stopIfTrue="1">
      <formula>$H$52+$H$40="超过30%"</formula>
    </cfRule>
  </conditionalFormatting>
  <conditionalFormatting sqref="G41">
    <cfRule type="expression" dxfId="60" priority="8" stopIfTrue="1">
      <formula>$H$53+$H$41="超过20%"</formula>
    </cfRule>
  </conditionalFormatting>
  <conditionalFormatting sqref="I40">
    <cfRule type="expression" dxfId="59" priority="7" stopIfTrue="1">
      <formula>$J$40="超过30%"</formula>
    </cfRule>
  </conditionalFormatting>
  <conditionalFormatting sqref="I41">
    <cfRule type="expression" dxfId="58" priority="6" stopIfTrue="1">
      <formula>$J$41="超过20%"</formula>
    </cfRule>
  </conditionalFormatting>
  <conditionalFormatting sqref="I42">
    <cfRule type="expression" dxfId="57" priority="5" stopIfTrue="1">
      <formula>$J$42="超过30%"</formula>
    </cfRule>
  </conditionalFormatting>
  <conditionalFormatting sqref="F36">
    <cfRule type="expression" dxfId="56" priority="4">
      <formula>$D$36="简单平均"</formula>
    </cfRule>
  </conditionalFormatting>
  <conditionalFormatting sqref="H36">
    <cfRule type="expression" dxfId="55" priority="3">
      <formula>$D$36="简单平均"</formula>
    </cfRule>
  </conditionalFormatting>
  <conditionalFormatting sqref="J36">
    <cfRule type="expression" dxfId="54" priority="2">
      <formula>$D$36="简单平均"</formula>
    </cfRule>
  </conditionalFormatting>
  <conditionalFormatting sqref="F7:F34 H7:H34 J7:J34">
    <cfRule type="cellIs" dxfId="5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2438</v>
      </c>
      <c r="B1" s="1952"/>
      <c r="C1" s="1953" t="s">
        <v>2439</v>
      </c>
      <c r="D1" s="1952"/>
      <c r="E1" s="1952"/>
      <c r="F1" s="1954" t="s">
        <v>2240</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1911</v>
      </c>
      <c r="B2" s="1962" t="e">
        <f>F66</f>
        <v>#DIV/0!</v>
      </c>
      <c r="C2" s="1657" t="s">
        <v>2440</v>
      </c>
      <c r="D2" s="3010"/>
      <c r="E2" s="3010"/>
      <c r="F2" s="3009"/>
      <c r="G2" s="3010"/>
      <c r="H2" s="3010"/>
      <c r="I2" s="3010"/>
      <c r="J2" s="3010"/>
      <c r="K2" s="3011"/>
      <c r="L2" s="3012"/>
      <c r="M2" s="3010"/>
      <c r="N2" s="3010"/>
      <c r="O2" s="3010"/>
      <c r="P2" s="1957"/>
      <c r="Q2" s="1957"/>
      <c r="R2" s="1957"/>
      <c r="S2" s="1957"/>
      <c r="T2" s="1957"/>
      <c r="U2" s="1957"/>
      <c r="V2" s="1957"/>
      <c r="W2" s="1957"/>
      <c r="X2" s="1957"/>
      <c r="Y2" s="1957"/>
      <c r="Z2" s="1957"/>
      <c r="AA2" s="1957"/>
      <c r="AB2" s="1957"/>
      <c r="AC2" s="1958"/>
      <c r="AD2" s="1959"/>
    </row>
    <row r="3" spans="1:30" s="1960" customFormat="1" ht="28.5" customHeight="1" thickBot="1">
      <c r="A3" s="1659" t="s">
        <v>1912</v>
      </c>
      <c r="B3" s="1963" t="e">
        <f>ROUND(B2/'数据-取费表'!B5,0)</f>
        <v>#DIV/0!</v>
      </c>
      <c r="C3" s="1657" t="s">
        <v>2441</v>
      </c>
      <c r="D3" s="3010"/>
      <c r="E3" s="3010"/>
      <c r="F3" s="3009"/>
      <c r="G3" s="3010"/>
      <c r="H3" s="3010"/>
      <c r="I3" s="3010"/>
      <c r="J3" s="3010"/>
      <c r="K3" s="3011"/>
      <c r="L3" s="3012"/>
      <c r="M3" s="3010"/>
      <c r="N3" s="3010"/>
      <c r="O3" s="3010"/>
      <c r="P3" s="1957"/>
      <c r="Q3" s="1957"/>
      <c r="R3" s="1957"/>
      <c r="S3" s="1957"/>
      <c r="T3" s="1957"/>
      <c r="U3" s="1957"/>
      <c r="V3" s="1957"/>
      <c r="W3" s="1957"/>
      <c r="X3" s="1957"/>
      <c r="Y3" s="1957"/>
      <c r="Z3" s="1957"/>
      <c r="AA3" s="1957"/>
      <c r="AB3" s="1964"/>
      <c r="AC3" s="1965"/>
    </row>
    <row r="4" spans="1:30" ht="15">
      <c r="A4" s="1663" t="s">
        <v>2242</v>
      </c>
      <c r="B4" s="1664"/>
      <c r="C4" s="3434" t="s">
        <v>2243</v>
      </c>
      <c r="D4" s="3435"/>
      <c r="E4" s="3436" t="s">
        <v>2244</v>
      </c>
      <c r="F4" s="3437"/>
      <c r="G4" s="3434" t="s">
        <v>2245</v>
      </c>
      <c r="H4" s="3435"/>
      <c r="I4" s="3434" t="s">
        <v>2246</v>
      </c>
      <c r="J4" s="3435"/>
      <c r="K4" s="1966" t="s">
        <v>2247</v>
      </c>
      <c r="L4" s="2995"/>
      <c r="M4" s="2996"/>
      <c r="N4" s="2996"/>
      <c r="O4" s="2996"/>
      <c r="P4" s="3438" t="s">
        <v>2248</v>
      </c>
      <c r="Q4" s="3439"/>
      <c r="R4" s="3422" t="s">
        <v>2244</v>
      </c>
      <c r="S4" s="3423"/>
      <c r="T4" s="3422" t="s">
        <v>2245</v>
      </c>
      <c r="U4" s="3423"/>
      <c r="V4" s="3444" t="s">
        <v>2246</v>
      </c>
      <c r="W4" s="3444"/>
      <c r="X4" s="1666"/>
      <c r="Y4" s="3422" t="s">
        <v>2248</v>
      </c>
      <c r="Z4" s="3423"/>
      <c r="AA4" s="3431" t="s">
        <v>2244</v>
      </c>
      <c r="AB4" s="3432" t="s">
        <v>2245</v>
      </c>
      <c r="AC4" s="3431" t="s">
        <v>2246</v>
      </c>
    </row>
    <row r="5" spans="1:30" ht="15">
      <c r="A5" s="1668"/>
      <c r="B5" s="1669"/>
      <c r="C5" s="3447" t="s">
        <v>2249</v>
      </c>
      <c r="D5" s="3448"/>
      <c r="E5" s="3491" t="s">
        <v>2250</v>
      </c>
      <c r="F5" s="3446"/>
      <c r="G5" s="3447" t="s">
        <v>2251</v>
      </c>
      <c r="H5" s="3448"/>
      <c r="I5" s="3447" t="s">
        <v>2252</v>
      </c>
      <c r="J5" s="3448"/>
      <c r="K5" s="1966"/>
      <c r="L5" s="2995"/>
      <c r="M5" s="2996"/>
      <c r="N5" s="2996"/>
      <c r="O5" s="2996"/>
      <c r="P5" s="3440"/>
      <c r="Q5" s="3441"/>
      <c r="R5" s="3424"/>
      <c r="S5" s="3425"/>
      <c r="T5" s="3424"/>
      <c r="U5" s="3425"/>
      <c r="V5" s="3444"/>
      <c r="W5" s="3444"/>
      <c r="X5" s="1666"/>
      <c r="Y5" s="3424"/>
      <c r="Z5" s="3425"/>
      <c r="AA5" s="3432"/>
      <c r="AB5" s="3432"/>
      <c r="AC5" s="3432"/>
    </row>
    <row r="6" spans="1:30" ht="15.75" thickBot="1">
      <c r="A6" s="1671"/>
      <c r="B6" s="1672"/>
      <c r="C6" s="3449" t="s">
        <v>2253</v>
      </c>
      <c r="D6" s="3450"/>
      <c r="E6" s="3452" t="s">
        <v>2253</v>
      </c>
      <c r="F6" s="3453"/>
      <c r="G6" s="3449" t="s">
        <v>2253</v>
      </c>
      <c r="H6" s="3450"/>
      <c r="I6" s="3449" t="s">
        <v>2253</v>
      </c>
      <c r="J6" s="3450"/>
      <c r="K6" s="1966" t="s">
        <v>2254</v>
      </c>
      <c r="L6" s="2995"/>
      <c r="M6" s="2996"/>
      <c r="N6" s="2996"/>
      <c r="O6" s="2996"/>
      <c r="P6" s="3442"/>
      <c r="Q6" s="3443"/>
      <c r="R6" s="3424"/>
      <c r="S6" s="3425"/>
      <c r="T6" s="3426"/>
      <c r="U6" s="3427"/>
      <c r="V6" s="3444"/>
      <c r="W6" s="3444"/>
      <c r="X6" s="1666"/>
      <c r="Y6" s="3426"/>
      <c r="Z6" s="3427"/>
      <c r="AA6" s="3433"/>
      <c r="AB6" s="3433"/>
      <c r="AC6" s="3433"/>
    </row>
    <row r="7" spans="1:30" s="1685" customFormat="1" ht="15.75" thickBot="1">
      <c r="A7" s="1673" t="s">
        <v>2255</v>
      </c>
      <c r="B7" s="1674"/>
      <c r="C7" s="1675">
        <f>'数据-取费表'!B2</f>
        <v>44547</v>
      </c>
      <c r="D7" s="1676">
        <v>100</v>
      </c>
      <c r="E7" s="1677"/>
      <c r="F7" s="1678">
        <f>SUMIF(70:70,YEAR(E7)&amp;"-"&amp;INT((MONTH(E7)+2)/3),71:71)</f>
        <v>0</v>
      </c>
      <c r="G7" s="1967"/>
      <c r="H7" s="1676">
        <f>SUMIF(70:70,YEAR(G7)&amp;"-"&amp;INT((MONTH(G7)+2)/3),71:71)</f>
        <v>0</v>
      </c>
      <c r="I7" s="1967"/>
      <c r="J7" s="1676">
        <f>SUMIF(70:70,YEAR(I7)&amp;"-"&amp;INT((MONTH(I7)+2)/3),71:71)</f>
        <v>0</v>
      </c>
      <c r="K7" s="1968"/>
      <c r="L7" s="2995"/>
      <c r="M7" s="2968"/>
      <c r="N7" s="2968"/>
      <c r="O7" s="2968"/>
      <c r="P7" s="3420" t="s">
        <v>2256</v>
      </c>
      <c r="Q7" s="3428"/>
      <c r="R7" s="1681" t="s">
        <v>25</v>
      </c>
      <c r="S7" s="1682">
        <f t="shared" ref="S7:S15" si="0">F7</f>
        <v>0</v>
      </c>
      <c r="T7" s="1681" t="s">
        <v>25</v>
      </c>
      <c r="U7" s="1682">
        <f t="shared" ref="U7:U15" si="1">H7</f>
        <v>0</v>
      </c>
      <c r="V7" s="1681" t="s">
        <v>25</v>
      </c>
      <c r="W7" s="1682">
        <f t="shared" ref="W7:W15" si="2">J7</f>
        <v>0</v>
      </c>
      <c r="X7" s="1683"/>
      <c r="Y7" s="3420" t="s">
        <v>2256</v>
      </c>
      <c r="Z7" s="3421"/>
      <c r="AA7" s="1684" t="e">
        <f>D7/F7</f>
        <v>#DIV/0!</v>
      </c>
      <c r="AB7" s="1684" t="e">
        <f>D7/H7</f>
        <v>#DIV/0!</v>
      </c>
      <c r="AC7" s="1684" t="e">
        <f>D7/J7</f>
        <v>#DIV/0!</v>
      </c>
    </row>
    <row r="8" spans="1:30" s="1685" customFormat="1" ht="15.75" thickBot="1">
      <c r="A8" s="1673" t="s">
        <v>2257</v>
      </c>
      <c r="B8" s="1674"/>
      <c r="C8" s="1686" t="s">
        <v>2442</v>
      </c>
      <c r="D8" s="1676">
        <v>100</v>
      </c>
      <c r="E8" s="1686"/>
      <c r="F8" s="1678">
        <f>SUMIF(73:73,E8,74:74)-SUMIF(73:73,C8,74:74)+100</f>
        <v>0</v>
      </c>
      <c r="G8" s="1686"/>
      <c r="H8" s="1676">
        <f>SUMIF(73:73,G8,74:74)-SUMIF(73:73,C8,74:74)+100</f>
        <v>0</v>
      </c>
      <c r="I8" s="1686"/>
      <c r="J8" s="1676">
        <f>SUMIF(73:73,I8,74:74)-SUMIF(73:73,C8,74:74)+100</f>
        <v>0</v>
      </c>
      <c r="K8" s="1968"/>
      <c r="L8" s="2995"/>
      <c r="M8" s="2968"/>
      <c r="N8" s="2968"/>
      <c r="O8" s="2968"/>
      <c r="P8" s="3420" t="s">
        <v>2259</v>
      </c>
      <c r="Q8" s="3421"/>
      <c r="R8" s="1681" t="s">
        <v>25</v>
      </c>
      <c r="S8" s="1682">
        <f t="shared" si="0"/>
        <v>0</v>
      </c>
      <c r="T8" s="1681" t="s">
        <v>25</v>
      </c>
      <c r="U8" s="1682">
        <f t="shared" si="1"/>
        <v>0</v>
      </c>
      <c r="V8" s="1681" t="s">
        <v>25</v>
      </c>
      <c r="W8" s="1682">
        <f t="shared" si="2"/>
        <v>0</v>
      </c>
      <c r="X8" s="1683"/>
      <c r="Y8" s="3420" t="s">
        <v>2259</v>
      </c>
      <c r="Z8" s="3421"/>
      <c r="AA8" s="1684" t="e">
        <f t="shared" ref="AA8:AA45" si="3">D8/F8</f>
        <v>#DIV/0!</v>
      </c>
      <c r="AB8" s="1684" t="e">
        <f t="shared" ref="AB8:AB45" si="4">D8/H8</f>
        <v>#DIV/0!</v>
      </c>
      <c r="AC8" s="1684" t="e">
        <f t="shared" ref="AC8:AC45" si="5">D8/J8</f>
        <v>#DIV/0!</v>
      </c>
    </row>
    <row r="9" spans="1:30" s="1685" customFormat="1">
      <c r="A9" s="1636" t="s">
        <v>2260</v>
      </c>
      <c r="B9" s="1688" t="s">
        <v>2261</v>
      </c>
      <c r="C9" s="1969"/>
      <c r="D9" s="1690">
        <v>100</v>
      </c>
      <c r="E9" s="1969"/>
      <c r="F9" s="1690">
        <f>SUMIF(75:75,E9,76:76)-SUMIF(75:75,C9,76:76)+100</f>
        <v>100</v>
      </c>
      <c r="G9" s="1969"/>
      <c r="H9" s="1690">
        <f>SUMIF(75:75,G9,76:76)-SUMIF(75:75,C9,76:76)+100</f>
        <v>100</v>
      </c>
      <c r="I9" s="1969"/>
      <c r="J9" s="1690">
        <f>SUMIF(75:75,I9,76:76)-SUMIF(75:75,C9,76:76)+100</f>
        <v>100</v>
      </c>
      <c r="K9" s="1968"/>
      <c r="L9" s="2995"/>
      <c r="M9" s="2968"/>
      <c r="N9" s="2968"/>
      <c r="O9" s="3042"/>
      <c r="P9" s="3412" t="s">
        <v>2262</v>
      </c>
      <c r="Q9" s="1635" t="str">
        <f t="shared" ref="Q9:Q15" si="6">B9</f>
        <v>用途</v>
      </c>
      <c r="R9" s="1681" t="s">
        <v>25</v>
      </c>
      <c r="S9" s="1682">
        <f t="shared" si="0"/>
        <v>100</v>
      </c>
      <c r="T9" s="1681" t="s">
        <v>25</v>
      </c>
      <c r="U9" s="1682">
        <f t="shared" si="1"/>
        <v>100</v>
      </c>
      <c r="V9" s="1681" t="s">
        <v>25</v>
      </c>
      <c r="W9" s="1682">
        <f t="shared" si="2"/>
        <v>100</v>
      </c>
      <c r="X9" s="1683"/>
      <c r="Y9" s="3386" t="s">
        <v>2263</v>
      </c>
      <c r="Z9" s="1694" t="str">
        <f t="shared" ref="Z9:Z15" si="7">Q9</f>
        <v>用途</v>
      </c>
      <c r="AA9" s="1684">
        <f t="shared" si="3"/>
        <v>1</v>
      </c>
      <c r="AB9" s="1684">
        <f t="shared" si="4"/>
        <v>1</v>
      </c>
      <c r="AC9" s="1684">
        <f t="shared" si="5"/>
        <v>1</v>
      </c>
    </row>
    <row r="10" spans="1:30" s="1702" customFormat="1" ht="27">
      <c r="A10" s="1695"/>
      <c r="B10" s="1696" t="s">
        <v>2264</v>
      </c>
      <c r="C10" s="1708"/>
      <c r="D10" s="1698">
        <v>100</v>
      </c>
      <c r="E10" s="1760"/>
      <c r="F10" s="1698">
        <f>ROUND(100/'数据-取费表'!B14,0)</f>
        <v>110</v>
      </c>
      <c r="G10" s="1758"/>
      <c r="H10" s="1698">
        <f>ROUND(100/'数据-取费表'!B14,0)</f>
        <v>110</v>
      </c>
      <c r="I10" s="1758"/>
      <c r="J10" s="1698">
        <f>ROUND(100/'数据-取费表'!B14,0)</f>
        <v>110</v>
      </c>
      <c r="K10" s="1970"/>
      <c r="L10" s="2997"/>
      <c r="M10" s="2998"/>
      <c r="N10" s="2998"/>
      <c r="O10" s="3043"/>
      <c r="P10" s="3412"/>
      <c r="Q10" s="1635" t="str">
        <f t="shared" si="6"/>
        <v>土地使用年限（年）</v>
      </c>
      <c r="R10" s="1681" t="s">
        <v>25</v>
      </c>
      <c r="S10" s="1682">
        <f t="shared" si="0"/>
        <v>110</v>
      </c>
      <c r="T10" s="1681" t="s">
        <v>25</v>
      </c>
      <c r="U10" s="1682">
        <f t="shared" si="1"/>
        <v>110</v>
      </c>
      <c r="V10" s="1681" t="s">
        <v>25</v>
      </c>
      <c r="W10" s="1682">
        <f t="shared" si="2"/>
        <v>110</v>
      </c>
      <c r="X10" s="1683"/>
      <c r="Y10" s="3386"/>
      <c r="Z10" s="1694" t="str">
        <f t="shared" si="7"/>
        <v>土地使用年限（年）</v>
      </c>
      <c r="AA10" s="1684">
        <f t="shared" si="3"/>
        <v>0.90909090909090906</v>
      </c>
      <c r="AB10" s="1684">
        <f t="shared" si="4"/>
        <v>0.90909090909090906</v>
      </c>
      <c r="AC10" s="1684">
        <f t="shared" si="5"/>
        <v>0.90909090909090906</v>
      </c>
    </row>
    <row r="11" spans="1:30" ht="15">
      <c r="A11" s="1703"/>
      <c r="B11" s="1696" t="s">
        <v>2265</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2999"/>
      <c r="M11" s="2996"/>
      <c r="N11" s="2996"/>
      <c r="O11" s="3044"/>
      <c r="P11" s="3412"/>
      <c r="Q11" s="1635" t="str">
        <f t="shared" si="6"/>
        <v>容积率</v>
      </c>
      <c r="R11" s="1681" t="s">
        <v>25</v>
      </c>
      <c r="S11" s="1682" t="e">
        <f t="shared" si="0"/>
        <v>#N/A</v>
      </c>
      <c r="T11" s="1681" t="s">
        <v>25</v>
      </c>
      <c r="U11" s="1682" t="e">
        <f t="shared" si="1"/>
        <v>#N/A</v>
      </c>
      <c r="V11" s="1681" t="s">
        <v>25</v>
      </c>
      <c r="W11" s="1682" t="e">
        <f t="shared" si="2"/>
        <v>#N/A</v>
      </c>
      <c r="X11" s="1683"/>
      <c r="Y11" s="3386"/>
      <c r="Z11" s="1694" t="str">
        <f t="shared" si="7"/>
        <v>容积率</v>
      </c>
      <c r="AA11" s="1684" t="e">
        <f t="shared" si="3"/>
        <v>#N/A</v>
      </c>
      <c r="AB11" s="1684" t="e">
        <f t="shared" si="4"/>
        <v>#N/A</v>
      </c>
      <c r="AC11" s="1684" t="e">
        <f t="shared" si="5"/>
        <v>#N/A</v>
      </c>
    </row>
    <row r="12" spans="1:30" s="1685" customFormat="1" ht="15">
      <c r="A12" s="1706"/>
      <c r="B12" s="1707" t="s">
        <v>2443</v>
      </c>
      <c r="C12" s="1708"/>
      <c r="D12" s="1709">
        <v>100</v>
      </c>
      <c r="E12" s="1760"/>
      <c r="F12" s="1698">
        <f>SUMIF(82:82,E12,83:83)-SUMIF(82:82,C12,83:83)+100</f>
        <v>100</v>
      </c>
      <c r="G12" s="1758"/>
      <c r="H12" s="1698">
        <f>SUMIF(82:82,G12,83:83)-SUMIF(82:82,C12,83:83)+100</f>
        <v>100</v>
      </c>
      <c r="I12" s="1760"/>
      <c r="J12" s="1698">
        <f>SUMIF(82:82,I12,83:83)-SUMIF(82:82,C12,83:83)+100</f>
        <v>100</v>
      </c>
      <c r="K12" s="1970"/>
      <c r="L12" s="2995"/>
      <c r="M12" s="2968"/>
      <c r="N12" s="2968"/>
      <c r="O12" s="3042"/>
      <c r="P12" s="3412"/>
      <c r="Q12" s="1635" t="str">
        <f t="shared" si="6"/>
        <v>配建</v>
      </c>
      <c r="R12" s="1681" t="s">
        <v>25</v>
      </c>
      <c r="S12" s="1682">
        <f t="shared" si="0"/>
        <v>100</v>
      </c>
      <c r="T12" s="1681" t="s">
        <v>25</v>
      </c>
      <c r="U12" s="1682">
        <f t="shared" si="1"/>
        <v>100</v>
      </c>
      <c r="V12" s="1681" t="s">
        <v>25</v>
      </c>
      <c r="W12" s="1682">
        <f t="shared" si="2"/>
        <v>100</v>
      </c>
      <c r="X12" s="1683"/>
      <c r="Y12" s="3386"/>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0"/>
      <c r="M13" s="2996"/>
      <c r="N13" s="2996"/>
      <c r="O13" s="3044"/>
      <c r="P13" s="3412"/>
      <c r="Q13" s="1635">
        <f t="shared" si="6"/>
        <v>111</v>
      </c>
      <c r="R13" s="1681" t="s">
        <v>25</v>
      </c>
      <c r="S13" s="1682">
        <f t="shared" si="0"/>
        <v>100</v>
      </c>
      <c r="T13" s="1681" t="s">
        <v>25</v>
      </c>
      <c r="U13" s="1682">
        <f t="shared" si="1"/>
        <v>100</v>
      </c>
      <c r="V13" s="1681" t="s">
        <v>25</v>
      </c>
      <c r="W13" s="1682">
        <f t="shared" si="2"/>
        <v>100</v>
      </c>
      <c r="X13" s="1683"/>
      <c r="Y13" s="3386"/>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0"/>
      <c r="M14" s="2996"/>
      <c r="N14" s="2996"/>
      <c r="O14" s="3044"/>
      <c r="P14" s="3412"/>
      <c r="Q14" s="1635">
        <f t="shared" si="6"/>
        <v>111</v>
      </c>
      <c r="R14" s="1681" t="s">
        <v>25</v>
      </c>
      <c r="S14" s="1682">
        <f t="shared" si="0"/>
        <v>100</v>
      </c>
      <c r="T14" s="1681" t="s">
        <v>25</v>
      </c>
      <c r="U14" s="1682">
        <f t="shared" si="1"/>
        <v>100</v>
      </c>
      <c r="V14" s="1681" t="s">
        <v>25</v>
      </c>
      <c r="W14" s="1682">
        <f t="shared" si="2"/>
        <v>100</v>
      </c>
      <c r="X14" s="1683"/>
      <c r="Y14" s="3386"/>
      <c r="Z14" s="1694">
        <f t="shared" si="7"/>
        <v>111</v>
      </c>
      <c r="AA14" s="1684">
        <f>D14/F14</f>
        <v>1</v>
      </c>
      <c r="AB14" s="1684">
        <f>D14/H14</f>
        <v>1</v>
      </c>
      <c r="AC14" s="1684">
        <f>D14/J14</f>
        <v>1</v>
      </c>
    </row>
    <row r="15" spans="1:30" ht="99.75">
      <c r="A15" s="1663" t="s">
        <v>2266</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0"/>
      <c r="M15" s="2996"/>
      <c r="N15" s="2996"/>
      <c r="O15" s="3044"/>
      <c r="P15" s="3429" t="s">
        <v>2267</v>
      </c>
      <c r="Q15" s="1616" t="str">
        <f t="shared" si="6"/>
        <v>居住社区成熟度</v>
      </c>
      <c r="R15" s="1726" t="s">
        <v>25</v>
      </c>
      <c r="S15" s="1727">
        <f t="shared" si="0"/>
        <v>100</v>
      </c>
      <c r="T15" s="1726" t="s">
        <v>25</v>
      </c>
      <c r="U15" s="1727">
        <f t="shared" si="1"/>
        <v>100</v>
      </c>
      <c r="V15" s="1726" t="s">
        <v>25</v>
      </c>
      <c r="W15" s="1727">
        <f t="shared" si="2"/>
        <v>100</v>
      </c>
      <c r="X15" s="1666"/>
      <c r="Y15" s="3429" t="s">
        <v>2267</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0"/>
      <c r="M16" s="2996"/>
      <c r="N16" s="2996"/>
      <c r="O16" s="3044"/>
      <c r="P16" s="3430"/>
      <c r="Q16" s="1616"/>
      <c r="R16" s="1726"/>
      <c r="S16" s="1727"/>
      <c r="T16" s="1726"/>
      <c r="U16" s="1727"/>
      <c r="V16" s="1726"/>
      <c r="W16" s="1727"/>
      <c r="X16" s="1666"/>
      <c r="Y16" s="3430"/>
      <c r="Z16" s="1728"/>
      <c r="AA16" s="1729">
        <v>1</v>
      </c>
      <c r="AB16" s="1729">
        <v>1</v>
      </c>
      <c r="AC16" s="1729">
        <v>1</v>
      </c>
    </row>
    <row r="17" spans="1:29" ht="71.25">
      <c r="A17" s="1668"/>
      <c r="B17" s="1977" t="s">
        <v>2352</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0"/>
      <c r="M17" s="2996"/>
      <c r="N17" s="2996"/>
      <c r="O17" s="3044"/>
      <c r="P17" s="3430"/>
      <c r="Q17" s="1616" t="str">
        <f>B17</f>
        <v>商业繁华度</v>
      </c>
      <c r="R17" s="1726" t="s">
        <v>25</v>
      </c>
      <c r="S17" s="1727">
        <f>F17</f>
        <v>100</v>
      </c>
      <c r="T17" s="1726" t="s">
        <v>25</v>
      </c>
      <c r="U17" s="1727">
        <f>H17</f>
        <v>100</v>
      </c>
      <c r="V17" s="1726" t="s">
        <v>25</v>
      </c>
      <c r="W17" s="1727">
        <f>J17</f>
        <v>100</v>
      </c>
      <c r="X17" s="1666"/>
      <c r="Y17" s="343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0"/>
      <c r="M18" s="2996"/>
      <c r="N18" s="2996"/>
      <c r="O18" s="3044"/>
      <c r="P18" s="3430"/>
      <c r="Q18" s="1616"/>
      <c r="R18" s="1726"/>
      <c r="S18" s="1727"/>
      <c r="T18" s="1726"/>
      <c r="U18" s="1727"/>
      <c r="V18" s="1726"/>
      <c r="W18" s="1727"/>
      <c r="X18" s="1666"/>
      <c r="Y18" s="3430"/>
      <c r="Z18" s="1728"/>
      <c r="AA18" s="1729">
        <v>1</v>
      </c>
      <c r="AB18" s="1729">
        <v>1</v>
      </c>
      <c r="AC18" s="1729">
        <v>1</v>
      </c>
    </row>
    <row r="19" spans="1:29" ht="71.25">
      <c r="A19" s="1668"/>
      <c r="B19" s="1977" t="s">
        <v>2381</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0"/>
      <c r="M19" s="2996"/>
      <c r="N19" s="2996"/>
      <c r="O19" s="3044"/>
      <c r="P19" s="3430"/>
      <c r="Q19" s="1616" t="str">
        <f>B19</f>
        <v>办公集聚程度</v>
      </c>
      <c r="R19" s="1726" t="s">
        <v>25</v>
      </c>
      <c r="S19" s="1727">
        <f>F19</f>
        <v>100</v>
      </c>
      <c r="T19" s="1726" t="s">
        <v>25</v>
      </c>
      <c r="U19" s="1727">
        <f>H19</f>
        <v>100</v>
      </c>
      <c r="V19" s="1726" t="s">
        <v>25</v>
      </c>
      <c r="W19" s="1727">
        <f>J19</f>
        <v>100</v>
      </c>
      <c r="X19" s="1666"/>
      <c r="Y19" s="343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0"/>
      <c r="M20" s="2996"/>
      <c r="N20" s="2996"/>
      <c r="O20" s="3044"/>
      <c r="P20" s="3430"/>
      <c r="Q20" s="1616"/>
      <c r="R20" s="1726"/>
      <c r="S20" s="1727"/>
      <c r="T20" s="1726"/>
      <c r="U20" s="1727"/>
      <c r="V20" s="1726"/>
      <c r="W20" s="1727"/>
      <c r="X20" s="1666"/>
      <c r="Y20" s="3430"/>
      <c r="Z20" s="1728"/>
      <c r="AA20" s="1729">
        <v>1</v>
      </c>
      <c r="AB20" s="1729">
        <v>1</v>
      </c>
      <c r="AC20" s="1729">
        <v>1</v>
      </c>
    </row>
    <row r="21" spans="1:29" ht="85.5">
      <c r="A21" s="1668"/>
      <c r="B21" s="1977" t="s">
        <v>2404</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0"/>
      <c r="M21" s="2996"/>
      <c r="N21" s="2996"/>
      <c r="O21" s="3044"/>
      <c r="P21" s="3430"/>
      <c r="Q21" s="1616" t="str">
        <f>B21</f>
        <v>交通便捷度</v>
      </c>
      <c r="R21" s="1726" t="s">
        <v>25</v>
      </c>
      <c r="S21" s="1727">
        <f>F21</f>
        <v>100</v>
      </c>
      <c r="T21" s="1726" t="s">
        <v>25</v>
      </c>
      <c r="U21" s="1727">
        <f>H21</f>
        <v>100</v>
      </c>
      <c r="V21" s="1726" t="s">
        <v>25</v>
      </c>
      <c r="W21" s="1727">
        <f>J21</f>
        <v>100</v>
      </c>
      <c r="X21" s="1666"/>
      <c r="Y21" s="343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0"/>
      <c r="M22" s="2996"/>
      <c r="N22" s="2996"/>
      <c r="O22" s="3044"/>
      <c r="P22" s="3430"/>
      <c r="Q22" s="1616"/>
      <c r="R22" s="1726"/>
      <c r="S22" s="1727"/>
      <c r="T22" s="1726"/>
      <c r="U22" s="1727"/>
      <c r="V22" s="1726"/>
      <c r="W22" s="1727"/>
      <c r="X22" s="1666"/>
      <c r="Y22" s="3430"/>
      <c r="Z22" s="1728"/>
      <c r="AA22" s="1729">
        <v>1</v>
      </c>
      <c r="AB22" s="1729">
        <v>1</v>
      </c>
      <c r="AC22" s="1729">
        <v>1</v>
      </c>
    </row>
    <row r="23" spans="1:29" ht="15">
      <c r="A23" s="1668"/>
      <c r="B23" s="1458" t="s">
        <v>2444</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0"/>
      <c r="M23" s="2996"/>
      <c r="N23" s="2996"/>
      <c r="O23" s="3044"/>
      <c r="P23" s="3430"/>
      <c r="Q23" s="1616" t="str">
        <f t="shared" ref="Q23:Q37" si="8">B23</f>
        <v>区域土地利用方向</v>
      </c>
      <c r="R23" s="1726" t="s">
        <v>25</v>
      </c>
      <c r="S23" s="1727">
        <f>F23</f>
        <v>100</v>
      </c>
      <c r="T23" s="1726" t="s">
        <v>25</v>
      </c>
      <c r="U23" s="1727">
        <f>H23</f>
        <v>100</v>
      </c>
      <c r="V23" s="1726" t="s">
        <v>25</v>
      </c>
      <c r="W23" s="1727">
        <f>J23</f>
        <v>100</v>
      </c>
      <c r="X23" s="1666"/>
      <c r="Y23" s="343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0"/>
      <c r="M24" s="2996"/>
      <c r="N24" s="2996"/>
      <c r="O24" s="3044"/>
      <c r="P24" s="3430"/>
      <c r="Q24" s="1616"/>
      <c r="R24" s="1726"/>
      <c r="S24" s="1727"/>
      <c r="T24" s="1726"/>
      <c r="U24" s="1727"/>
      <c r="V24" s="1726"/>
      <c r="W24" s="1727"/>
      <c r="X24" s="1666"/>
      <c r="Y24" s="3430"/>
      <c r="Z24" s="1728"/>
      <c r="AA24" s="1729"/>
      <c r="AB24" s="1729"/>
      <c r="AC24" s="1729"/>
    </row>
    <row r="25" spans="1:29" ht="57">
      <c r="A25" s="1668"/>
      <c r="B25" s="1982" t="s">
        <v>2445</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0"/>
      <c r="M25" s="2996"/>
      <c r="N25" s="2996"/>
      <c r="O25" s="3044"/>
      <c r="P25" s="3430"/>
      <c r="Q25" s="1616" t="str">
        <f t="shared" si="8"/>
        <v>自然及人文环境状况</v>
      </c>
      <c r="R25" s="1726" t="s">
        <v>25</v>
      </c>
      <c r="S25" s="1727">
        <f>F25</f>
        <v>100</v>
      </c>
      <c r="T25" s="1726" t="s">
        <v>25</v>
      </c>
      <c r="U25" s="1727">
        <f>H25</f>
        <v>100</v>
      </c>
      <c r="V25" s="1726" t="s">
        <v>25</v>
      </c>
      <c r="W25" s="1727">
        <f>J25</f>
        <v>100</v>
      </c>
      <c r="X25" s="1666"/>
      <c r="Y25" s="343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0"/>
      <c r="M26" s="2996"/>
      <c r="N26" s="2996"/>
      <c r="O26" s="3044"/>
      <c r="P26" s="3430"/>
      <c r="Q26" s="1616"/>
      <c r="R26" s="1726"/>
      <c r="S26" s="1727"/>
      <c r="T26" s="1726"/>
      <c r="U26" s="1727"/>
      <c r="V26" s="1726"/>
      <c r="W26" s="1727"/>
      <c r="X26" s="1666"/>
      <c r="Y26" s="3430"/>
      <c r="Z26" s="1728"/>
      <c r="AA26" s="1729">
        <v>1</v>
      </c>
      <c r="AB26" s="1729">
        <v>1</v>
      </c>
      <c r="AC26" s="1729">
        <v>1</v>
      </c>
    </row>
    <row r="27" spans="1:29" ht="42.75">
      <c r="A27" s="1668"/>
      <c r="B27" s="1982" t="s">
        <v>2353</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0"/>
      <c r="M27" s="2996"/>
      <c r="N27" s="2996"/>
      <c r="O27" s="3044"/>
      <c r="P27" s="3430"/>
      <c r="Q27" s="1635" t="str">
        <f t="shared" ref="Q27" si="9">B27</f>
        <v>公共配套设施</v>
      </c>
      <c r="R27" s="1681" t="s">
        <v>25</v>
      </c>
      <c r="S27" s="1682">
        <f>F27</f>
        <v>100</v>
      </c>
      <c r="T27" s="1681" t="s">
        <v>25</v>
      </c>
      <c r="U27" s="1682">
        <f>H27</f>
        <v>100</v>
      </c>
      <c r="V27" s="1681" t="s">
        <v>25</v>
      </c>
      <c r="W27" s="1682">
        <f>J27</f>
        <v>100</v>
      </c>
      <c r="X27" s="1666"/>
      <c r="Y27" s="343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0"/>
      <c r="M28" s="2996"/>
      <c r="N28" s="2996"/>
      <c r="O28" s="3044"/>
      <c r="P28" s="3430"/>
      <c r="Q28" s="1616"/>
      <c r="R28" s="1726"/>
      <c r="S28" s="1727"/>
      <c r="T28" s="1726"/>
      <c r="U28" s="1727"/>
      <c r="V28" s="1726"/>
      <c r="W28" s="1727"/>
      <c r="X28" s="1666"/>
      <c r="Y28" s="3430"/>
      <c r="Z28" s="1694"/>
      <c r="AA28" s="1729">
        <v>1</v>
      </c>
      <c r="AB28" s="1729">
        <v>1</v>
      </c>
      <c r="AC28" s="1729">
        <v>1</v>
      </c>
    </row>
    <row r="29" spans="1:29" s="1685" customFormat="1" ht="28.5">
      <c r="A29" s="1988"/>
      <c r="B29" s="1982" t="s">
        <v>2354</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5"/>
      <c r="M29" s="2968"/>
      <c r="N29" s="2968"/>
      <c r="O29" s="3042"/>
      <c r="P29" s="3430"/>
      <c r="Q29" s="1635" t="str">
        <f t="shared" si="8"/>
        <v>基础设施水平</v>
      </c>
      <c r="R29" s="1681" t="s">
        <v>25</v>
      </c>
      <c r="S29" s="1682">
        <f>F29</f>
        <v>100</v>
      </c>
      <c r="T29" s="1681" t="s">
        <v>25</v>
      </c>
      <c r="U29" s="1682">
        <f>H29</f>
        <v>100</v>
      </c>
      <c r="V29" s="1681" t="s">
        <v>25</v>
      </c>
      <c r="W29" s="1682">
        <f>J29</f>
        <v>100</v>
      </c>
      <c r="X29" s="1683"/>
      <c r="Y29" s="343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5"/>
      <c r="M30" s="2968"/>
      <c r="N30" s="2968"/>
      <c r="O30" s="3042"/>
      <c r="P30" s="3430"/>
      <c r="Q30" s="1635"/>
      <c r="R30" s="1681"/>
      <c r="S30" s="1682"/>
      <c r="T30" s="1681"/>
      <c r="U30" s="1682"/>
      <c r="V30" s="1681"/>
      <c r="W30" s="1682"/>
      <c r="X30" s="1683"/>
      <c r="Y30" s="3430"/>
      <c r="Z30" s="1694"/>
      <c r="AA30" s="1729">
        <v>1</v>
      </c>
      <c r="AB30" s="1729">
        <v>1</v>
      </c>
      <c r="AC30" s="1729">
        <v>1</v>
      </c>
    </row>
    <row r="31" spans="1:29" ht="15">
      <c r="A31" s="1668"/>
      <c r="B31" s="1979" t="s">
        <v>2355</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0"/>
      <c r="M31" s="2996"/>
      <c r="N31" s="2996"/>
      <c r="O31" s="3044"/>
      <c r="P31" s="343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0"/>
      <c r="Z31" s="1728" t="str">
        <f t="shared" ref="Z31:Z45" si="13">Q31</f>
        <v>临街状况</v>
      </c>
      <c r="AA31" s="1729">
        <f t="shared" si="3"/>
        <v>1</v>
      </c>
      <c r="AB31" s="1729">
        <f t="shared" si="4"/>
        <v>1</v>
      </c>
      <c r="AC31" s="1729">
        <f t="shared" si="5"/>
        <v>1</v>
      </c>
    </row>
    <row r="32" spans="1:29" ht="27">
      <c r="A32" s="1668"/>
      <c r="B32" s="1982" t="s">
        <v>2385</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0"/>
      <c r="M32" s="2996"/>
      <c r="N32" s="2996"/>
      <c r="O32" s="3044"/>
      <c r="P32" s="3430"/>
      <c r="Q32" s="1616" t="str">
        <f t="shared" si="8"/>
        <v>毗邻道路的类型与等级</v>
      </c>
      <c r="R32" s="1726" t="s">
        <v>25</v>
      </c>
      <c r="S32" s="1727">
        <f t="shared" si="10"/>
        <v>100</v>
      </c>
      <c r="T32" s="1726" t="s">
        <v>25</v>
      </c>
      <c r="U32" s="1727">
        <f t="shared" si="11"/>
        <v>100</v>
      </c>
      <c r="V32" s="1726" t="s">
        <v>25</v>
      </c>
      <c r="W32" s="1727">
        <f t="shared" si="12"/>
        <v>100</v>
      </c>
      <c r="X32" s="1666"/>
      <c r="Y32" s="343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0"/>
      <c r="M33" s="2996"/>
      <c r="N33" s="2996"/>
      <c r="O33" s="3044"/>
      <c r="P33" s="3430"/>
      <c r="Q33" s="1616"/>
      <c r="R33" s="1726"/>
      <c r="S33" s="1727"/>
      <c r="T33" s="1726"/>
      <c r="U33" s="1727"/>
      <c r="V33" s="1726"/>
      <c r="W33" s="1727"/>
      <c r="X33" s="1666"/>
      <c r="Y33" s="3430"/>
      <c r="Z33" s="1728"/>
      <c r="AA33" s="1729">
        <v>1</v>
      </c>
      <c r="AB33" s="1729">
        <v>1</v>
      </c>
      <c r="AC33" s="1729">
        <v>1</v>
      </c>
    </row>
    <row r="34" spans="1:29" ht="15">
      <c r="A34" s="1668"/>
      <c r="B34" s="1991" t="s">
        <v>2446</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0"/>
      <c r="M34" s="2996"/>
      <c r="N34" s="2996"/>
      <c r="O34" s="3044"/>
      <c r="P34" s="3430"/>
      <c r="Q34" s="1616" t="str">
        <f t="shared" si="8"/>
        <v>土地级别</v>
      </c>
      <c r="R34" s="1726" t="s">
        <v>25</v>
      </c>
      <c r="S34" s="1727">
        <f t="shared" si="10"/>
        <v>100</v>
      </c>
      <c r="T34" s="1726" t="s">
        <v>25</v>
      </c>
      <c r="U34" s="1727">
        <f t="shared" si="11"/>
        <v>100</v>
      </c>
      <c r="V34" s="1726" t="s">
        <v>25</v>
      </c>
      <c r="W34" s="1727">
        <f t="shared" si="12"/>
        <v>100</v>
      </c>
      <c r="X34" s="1666"/>
      <c r="Y34" s="343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0"/>
      <c r="M35" s="2996"/>
      <c r="N35" s="2996"/>
      <c r="O35" s="3044"/>
      <c r="P35" s="3430"/>
      <c r="Q35" s="1616">
        <f t="shared" si="8"/>
        <v>111</v>
      </c>
      <c r="R35" s="1726" t="s">
        <v>25</v>
      </c>
      <c r="S35" s="1727">
        <f t="shared" si="10"/>
        <v>100</v>
      </c>
      <c r="T35" s="1726" t="s">
        <v>25</v>
      </c>
      <c r="U35" s="1727">
        <f t="shared" si="11"/>
        <v>100</v>
      </c>
      <c r="V35" s="1726" t="s">
        <v>25</v>
      </c>
      <c r="W35" s="1727">
        <f t="shared" si="12"/>
        <v>100</v>
      </c>
      <c r="X35" s="1666"/>
      <c r="Y35" s="343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0"/>
      <c r="M36" s="2996"/>
      <c r="N36" s="2996"/>
      <c r="O36" s="3044"/>
      <c r="P36" s="3417" t="s">
        <v>2273</v>
      </c>
      <c r="Q36" s="1616">
        <f t="shared" si="8"/>
        <v>111</v>
      </c>
      <c r="R36" s="1726" t="s">
        <v>25</v>
      </c>
      <c r="S36" s="1727">
        <f t="shared" si="10"/>
        <v>100</v>
      </c>
      <c r="T36" s="1726" t="s">
        <v>25</v>
      </c>
      <c r="U36" s="1727">
        <f t="shared" si="11"/>
        <v>100</v>
      </c>
      <c r="V36" s="1726" t="s">
        <v>25</v>
      </c>
      <c r="W36" s="1727">
        <f t="shared" si="12"/>
        <v>100</v>
      </c>
      <c r="X36" s="1666"/>
      <c r="Y36" s="3418" t="s">
        <v>2273</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2999"/>
      <c r="M37" s="2060"/>
      <c r="N37" s="2060"/>
      <c r="O37" s="3045"/>
      <c r="P37" s="3418"/>
      <c r="Q37" s="1616">
        <f t="shared" si="8"/>
        <v>111</v>
      </c>
      <c r="R37" s="1768" t="s">
        <v>25</v>
      </c>
      <c r="S37" s="1769">
        <f t="shared" si="10"/>
        <v>100</v>
      </c>
      <c r="T37" s="1768" t="s">
        <v>25</v>
      </c>
      <c r="U37" s="1769">
        <f t="shared" si="11"/>
        <v>100</v>
      </c>
      <c r="V37" s="1768" t="s">
        <v>25</v>
      </c>
      <c r="W37" s="1769">
        <f t="shared" si="12"/>
        <v>100</v>
      </c>
      <c r="X37" s="1770"/>
      <c r="Y37" s="3418"/>
      <c r="Z37" s="1771">
        <f t="shared" si="13"/>
        <v>111</v>
      </c>
      <c r="AA37" s="1729">
        <f t="shared" si="3"/>
        <v>1</v>
      </c>
      <c r="AB37" s="1729">
        <f t="shared" si="4"/>
        <v>1</v>
      </c>
      <c r="AC37" s="1729">
        <f t="shared" si="5"/>
        <v>1</v>
      </c>
    </row>
    <row r="38" spans="1:29" ht="15">
      <c r="A38" s="1663" t="s">
        <v>2271</v>
      </c>
      <c r="B38" s="1744" t="s">
        <v>2447</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0"/>
      <c r="M38" s="2996"/>
      <c r="N38" s="2996"/>
      <c r="O38" s="3044"/>
      <c r="P38" s="3418"/>
      <c r="Q38" s="1616" t="str">
        <f>B38</f>
        <v>宗地面积</v>
      </c>
      <c r="R38" s="1726" t="s">
        <v>25</v>
      </c>
      <c r="S38" s="1727" t="e">
        <f t="shared" si="10"/>
        <v>#N/A</v>
      </c>
      <c r="T38" s="1726" t="s">
        <v>25</v>
      </c>
      <c r="U38" s="1727" t="e">
        <f t="shared" si="11"/>
        <v>#N/A</v>
      </c>
      <c r="V38" s="1726" t="s">
        <v>25</v>
      </c>
      <c r="W38" s="1727" t="e">
        <f t="shared" si="12"/>
        <v>#N/A</v>
      </c>
      <c r="X38" s="1666"/>
      <c r="Y38" s="3418"/>
      <c r="Z38" s="1728" t="str">
        <f t="shared" si="13"/>
        <v>宗地面积</v>
      </c>
      <c r="AA38" s="1729" t="e">
        <f t="shared" si="3"/>
        <v>#N/A</v>
      </c>
      <c r="AB38" s="1729" t="e">
        <f t="shared" si="4"/>
        <v>#N/A</v>
      </c>
      <c r="AC38" s="1729" t="e">
        <f t="shared" si="5"/>
        <v>#N/A</v>
      </c>
    </row>
    <row r="39" spans="1:29" ht="15">
      <c r="A39" s="1773"/>
      <c r="B39" s="1696" t="s">
        <v>2448</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0"/>
      <c r="M39" s="2996"/>
      <c r="N39" s="2996"/>
      <c r="O39" s="3044"/>
      <c r="P39" s="3418"/>
      <c r="Q39" s="1616" t="str">
        <f t="shared" ref="Q39:Q45" si="14">B39</f>
        <v>宗地形状</v>
      </c>
      <c r="R39" s="1726" t="s">
        <v>25</v>
      </c>
      <c r="S39" s="1727">
        <f t="shared" si="10"/>
        <v>100</v>
      </c>
      <c r="T39" s="1726" t="s">
        <v>25</v>
      </c>
      <c r="U39" s="1727">
        <f t="shared" si="11"/>
        <v>100</v>
      </c>
      <c r="V39" s="1726" t="s">
        <v>25</v>
      </c>
      <c r="W39" s="1727">
        <f t="shared" si="12"/>
        <v>100</v>
      </c>
      <c r="X39" s="1666"/>
      <c r="Y39" s="3418"/>
      <c r="Z39" s="1728" t="str">
        <f t="shared" si="13"/>
        <v>宗地形状</v>
      </c>
      <c r="AA39" s="1729">
        <f t="shared" si="3"/>
        <v>1</v>
      </c>
      <c r="AB39" s="1729">
        <f t="shared" si="4"/>
        <v>1</v>
      </c>
      <c r="AC39" s="1729">
        <f t="shared" si="5"/>
        <v>1</v>
      </c>
    </row>
    <row r="40" spans="1:29" ht="15">
      <c r="A40" s="1773"/>
      <c r="B40" s="1696" t="s">
        <v>2449</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0"/>
      <c r="M40" s="2996"/>
      <c r="N40" s="2996"/>
      <c r="O40" s="3044"/>
      <c r="P40" s="3418"/>
      <c r="Q40" s="1616" t="str">
        <f t="shared" si="14"/>
        <v>临街宽度及深度</v>
      </c>
      <c r="R40" s="1726" t="s">
        <v>25</v>
      </c>
      <c r="S40" s="1727">
        <f t="shared" si="10"/>
        <v>100</v>
      </c>
      <c r="T40" s="1726" t="s">
        <v>25</v>
      </c>
      <c r="U40" s="1727">
        <f t="shared" si="11"/>
        <v>100</v>
      </c>
      <c r="V40" s="1726" t="s">
        <v>25</v>
      </c>
      <c r="W40" s="1727">
        <f t="shared" si="12"/>
        <v>100</v>
      </c>
      <c r="X40" s="1666"/>
      <c r="Y40" s="3418"/>
      <c r="Z40" s="1728" t="str">
        <f t="shared" si="13"/>
        <v>临街宽度及深度</v>
      </c>
      <c r="AA40" s="1729">
        <f t="shared" si="3"/>
        <v>1</v>
      </c>
      <c r="AB40" s="1729">
        <f t="shared" si="4"/>
        <v>1</v>
      </c>
      <c r="AC40" s="1729">
        <f t="shared" si="5"/>
        <v>1</v>
      </c>
    </row>
    <row r="41" spans="1:29" s="1685" customFormat="1" ht="15">
      <c r="A41" s="1776"/>
      <c r="B41" s="1696" t="s">
        <v>2450</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5"/>
      <c r="M41" s="2968"/>
      <c r="N41" s="2968"/>
      <c r="O41" s="3042"/>
      <c r="P41" s="3418"/>
      <c r="Q41" s="1616" t="str">
        <f t="shared" si="14"/>
        <v>宗地开发程度</v>
      </c>
      <c r="R41" s="1681" t="s">
        <v>25</v>
      </c>
      <c r="S41" s="1682">
        <f t="shared" si="10"/>
        <v>100</v>
      </c>
      <c r="T41" s="1681" t="s">
        <v>25</v>
      </c>
      <c r="U41" s="1682">
        <f t="shared" si="11"/>
        <v>100</v>
      </c>
      <c r="V41" s="1681" t="s">
        <v>25</v>
      </c>
      <c r="W41" s="1682">
        <f t="shared" si="12"/>
        <v>100</v>
      </c>
      <c r="X41" s="1683"/>
      <c r="Y41" s="3418"/>
      <c r="Z41" s="1694" t="str">
        <f t="shared" si="13"/>
        <v>宗地开发程度</v>
      </c>
      <c r="AA41" s="1684">
        <f t="shared" si="3"/>
        <v>1</v>
      </c>
      <c r="AB41" s="1684">
        <f t="shared" si="4"/>
        <v>1</v>
      </c>
      <c r="AC41" s="1684">
        <f t="shared" si="5"/>
        <v>1</v>
      </c>
    </row>
    <row r="42" spans="1:29" ht="15">
      <c r="A42" s="1773"/>
      <c r="B42" s="1696" t="s">
        <v>2451</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0"/>
      <c r="M42" s="2996"/>
      <c r="N42" s="2996"/>
      <c r="O42" s="3044"/>
      <c r="P42" s="3418" t="s">
        <v>2273</v>
      </c>
      <c r="Q42" s="1616" t="str">
        <f t="shared" si="14"/>
        <v>工程地质条件</v>
      </c>
      <c r="R42" s="1726" t="s">
        <v>25</v>
      </c>
      <c r="S42" s="1727">
        <f t="shared" si="10"/>
        <v>100</v>
      </c>
      <c r="T42" s="1726" t="s">
        <v>25</v>
      </c>
      <c r="U42" s="1727">
        <f t="shared" si="11"/>
        <v>100</v>
      </c>
      <c r="V42" s="1726" t="s">
        <v>25</v>
      </c>
      <c r="W42" s="1727">
        <f t="shared" si="12"/>
        <v>100</v>
      </c>
      <c r="X42" s="1666"/>
      <c r="Y42" s="3418" t="s">
        <v>2273</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0"/>
      <c r="M43" s="2996"/>
      <c r="N43" s="2996"/>
      <c r="O43" s="3044"/>
      <c r="P43" s="3418"/>
      <c r="Q43" s="1616">
        <f t="shared" si="14"/>
        <v>111</v>
      </c>
      <c r="R43" s="1726" t="s">
        <v>25</v>
      </c>
      <c r="S43" s="1727">
        <f t="shared" si="10"/>
        <v>100</v>
      </c>
      <c r="T43" s="1726" t="s">
        <v>25</v>
      </c>
      <c r="U43" s="1727">
        <f t="shared" si="11"/>
        <v>100</v>
      </c>
      <c r="V43" s="1726" t="s">
        <v>25</v>
      </c>
      <c r="W43" s="1727">
        <f t="shared" si="12"/>
        <v>100</v>
      </c>
      <c r="X43" s="1666"/>
      <c r="Y43" s="3418"/>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0"/>
      <c r="M44" s="2996"/>
      <c r="N44" s="2996"/>
      <c r="O44" s="3044"/>
      <c r="P44" s="3418"/>
      <c r="Q44" s="1616">
        <f t="shared" si="14"/>
        <v>111</v>
      </c>
      <c r="R44" s="1726" t="s">
        <v>25</v>
      </c>
      <c r="S44" s="1727">
        <f t="shared" si="10"/>
        <v>100</v>
      </c>
      <c r="T44" s="1726" t="s">
        <v>25</v>
      </c>
      <c r="U44" s="1727">
        <f t="shared" si="11"/>
        <v>100</v>
      </c>
      <c r="V44" s="1726" t="s">
        <v>25</v>
      </c>
      <c r="W44" s="1727">
        <f t="shared" si="12"/>
        <v>100</v>
      </c>
      <c r="X44" s="1666"/>
      <c r="Y44" s="3418"/>
      <c r="Z44" s="1728">
        <f t="shared" si="13"/>
        <v>111</v>
      </c>
      <c r="AA44" s="1729">
        <f t="shared" si="3"/>
        <v>1</v>
      </c>
      <c r="AB44" s="1729">
        <f t="shared" si="4"/>
        <v>1</v>
      </c>
      <c r="AC44" s="1729">
        <f t="shared" si="5"/>
        <v>1</v>
      </c>
    </row>
    <row r="45" spans="1:29" s="1772" customFormat="1" ht="15.75" thickBot="1">
      <c r="A45" s="1765"/>
      <c r="B45" s="2004">
        <v>111</v>
      </c>
      <c r="C45" s="2005"/>
      <c r="D45" s="3146">
        <v>100</v>
      </c>
      <c r="E45" s="1972"/>
      <c r="F45" s="1716">
        <f>SUMIF(131:131,E45,132:132)-SUMIF(131:131,C45,132:132)+100</f>
        <v>100</v>
      </c>
      <c r="G45" s="1972"/>
      <c r="H45" s="1716">
        <f>SUMIF(131:131,G45,132:132)-SUMIF(131:131,C45,132:132)+100</f>
        <v>100</v>
      </c>
      <c r="I45" s="1972"/>
      <c r="J45" s="1716">
        <f>SUMIF(131:131,I45,132:132)-SUMIF(131:131,C45,132:132)+100</f>
        <v>100</v>
      </c>
      <c r="K45" s="2006"/>
      <c r="L45" s="2999"/>
      <c r="M45" s="2060"/>
      <c r="N45" s="2060"/>
      <c r="O45" s="3045"/>
      <c r="P45" s="3418"/>
      <c r="Q45" s="1616">
        <f t="shared" si="14"/>
        <v>111</v>
      </c>
      <c r="R45" s="1768" t="s">
        <v>25</v>
      </c>
      <c r="S45" s="1769">
        <f t="shared" si="10"/>
        <v>100</v>
      </c>
      <c r="T45" s="1768" t="s">
        <v>25</v>
      </c>
      <c r="U45" s="1769">
        <f t="shared" si="11"/>
        <v>100</v>
      </c>
      <c r="V45" s="1768" t="s">
        <v>25</v>
      </c>
      <c r="W45" s="1769">
        <f t="shared" si="12"/>
        <v>100</v>
      </c>
      <c r="X45" s="1770"/>
      <c r="Y45" s="3418"/>
      <c r="Z45" s="1771">
        <f t="shared" si="13"/>
        <v>111</v>
      </c>
      <c r="AA45" s="1729">
        <f t="shared" si="3"/>
        <v>1</v>
      </c>
      <c r="AB45" s="1729">
        <f t="shared" si="4"/>
        <v>1</v>
      </c>
      <c r="AC45" s="1729">
        <f t="shared" si="5"/>
        <v>1</v>
      </c>
    </row>
    <row r="46" spans="1:29" ht="15">
      <c r="A46" s="1782" t="s">
        <v>2415</v>
      </c>
      <c r="B46" s="2007" t="s">
        <v>2452</v>
      </c>
      <c r="C46" s="2008" t="s">
        <v>1</v>
      </c>
      <c r="D46" s="2009"/>
      <c r="E46" s="2010"/>
      <c r="F46" s="2011"/>
      <c r="G46" s="2012"/>
      <c r="H46" s="2013"/>
      <c r="I46" s="2010"/>
      <c r="J46" s="2013"/>
      <c r="K46" s="2014"/>
      <c r="L46" s="3001"/>
      <c r="N46" s="2996"/>
      <c r="P46" s="3412" t="str">
        <f>A46</f>
        <v>成交单价</v>
      </c>
      <c r="Q46" s="3412"/>
      <c r="R46" s="3444">
        <f>E46</f>
        <v>0</v>
      </c>
      <c r="S46" s="3444"/>
      <c r="T46" s="3444">
        <f>G46</f>
        <v>0</v>
      </c>
      <c r="U46" s="3444"/>
      <c r="V46" s="3444">
        <f>I46</f>
        <v>0</v>
      </c>
      <c r="W46" s="3444"/>
      <c r="X46" s="1792"/>
      <c r="Y46" s="1793"/>
      <c r="Z46" s="1792"/>
      <c r="AA46" s="1792"/>
      <c r="AB46" s="1792"/>
      <c r="AC46" s="1792"/>
    </row>
    <row r="47" spans="1:29" ht="15.75" thickBot="1">
      <c r="A47" s="1794" t="s">
        <v>2368</v>
      </c>
      <c r="B47" s="2015"/>
      <c r="C47" s="2016" t="e">
        <f>R48</f>
        <v>#DIV/0!</v>
      </c>
      <c r="D47" s="1797" t="s">
        <v>2740</v>
      </c>
      <c r="E47" s="2016" t="e">
        <f>R47</f>
        <v>#DIV/0!</v>
      </c>
      <c r="F47" s="1799"/>
      <c r="G47" s="2017" t="e">
        <f>T47</f>
        <v>#DIV/0!</v>
      </c>
      <c r="H47" s="1799"/>
      <c r="I47" s="2016" t="e">
        <f>V47</f>
        <v>#DIV/0!</v>
      </c>
      <c r="J47" s="1799"/>
      <c r="K47" s="2511">
        <f>F47+H47+J47</f>
        <v>0</v>
      </c>
      <c r="L47" s="3001"/>
      <c r="P47" s="3412" t="str">
        <f>A47</f>
        <v>比较价值（元/平方米）</v>
      </c>
      <c r="Q47" s="3412"/>
      <c r="R47" s="3534" t="e">
        <f>ROUND(PRODUCT(R46,AA7:AA45),0)</f>
        <v>#DIV/0!</v>
      </c>
      <c r="S47" s="3534"/>
      <c r="T47" s="3534" t="e">
        <f>ROUND(PRODUCT(T46,AB7:AB45),0)</f>
        <v>#DIV/0!</v>
      </c>
      <c r="U47" s="3534"/>
      <c r="V47" s="3534" t="e">
        <f>ROUND(PRODUCT(V46,AC7:AC45),0)</f>
        <v>#DIV/0!</v>
      </c>
      <c r="W47" s="3534"/>
      <c r="X47" s="1792"/>
      <c r="Y47" s="1792"/>
      <c r="Z47" s="1792"/>
      <c r="AA47" s="1792"/>
      <c r="AB47" s="1792"/>
      <c r="AC47" s="1792"/>
    </row>
    <row r="48" spans="1:29" ht="15.75" thickBot="1">
      <c r="A48" s="1800" t="s">
        <v>2391</v>
      </c>
      <c r="B48" s="1801"/>
      <c r="C48" s="2018" t="e">
        <f>R48</f>
        <v>#DIV/0!</v>
      </c>
      <c r="D48" s="2018"/>
      <c r="E48" s="2018"/>
      <c r="F48" s="2018"/>
      <c r="G48" s="2018"/>
      <c r="H48" s="2018"/>
      <c r="I48" s="2018"/>
      <c r="J48" s="2018"/>
      <c r="K48" s="2019"/>
      <c r="L48" s="3001"/>
      <c r="P48" s="3414" t="str">
        <f>A48</f>
        <v>估价对象XX用房的比较价值（楼面单价，元/平方米）</v>
      </c>
      <c r="Q48" s="3415"/>
      <c r="R48" s="3535" t="e">
        <f>ROUND(IF(D47="简单平均",AVERAGE(R47:W47),R47*F47+T47*H47+V47*J47),0)</f>
        <v>#DIV/0!</v>
      </c>
      <c r="S48" s="3535"/>
      <c r="T48" s="3535"/>
      <c r="U48" s="3535"/>
      <c r="V48" s="3535"/>
      <c r="W48" s="3535"/>
      <c r="X48" s="1792"/>
      <c r="Y48" s="1792"/>
      <c r="Z48" s="1792"/>
      <c r="AA48" s="1792"/>
      <c r="AB48" s="1792"/>
      <c r="AC48" s="1792"/>
    </row>
    <row r="49" spans="1:14">
      <c r="G49" s="3005"/>
    </row>
    <row r="51" spans="1:14" ht="13.5" customHeight="1">
      <c r="C51" s="383" t="s">
        <v>2370</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2371</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2372</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08"/>
      <c r="L53" s="3002"/>
    </row>
    <row r="54" spans="1:14" s="1814" customFormat="1" ht="15" thickBot="1">
      <c r="B54" s="3006"/>
      <c r="C54" s="3007"/>
      <c r="K54" s="3008"/>
      <c r="L54" s="3002"/>
    </row>
    <row r="55" spans="1:14" ht="27">
      <c r="A55" s="564" t="s">
        <v>2453</v>
      </c>
      <c r="B55" s="2020" t="s">
        <v>2454</v>
      </c>
      <c r="C55" s="2021" t="s">
        <v>2455</v>
      </c>
      <c r="D55" s="2022" t="s">
        <v>2456</v>
      </c>
      <c r="E55" s="2023" t="s">
        <v>2457</v>
      </c>
      <c r="F55" s="2024" t="s">
        <v>2458</v>
      </c>
      <c r="G55" s="1919" t="s">
        <v>2459</v>
      </c>
      <c r="H55" s="1919" t="str">
        <f>项目基本情况!G8</f>
        <v>XX</v>
      </c>
      <c r="I55" s="1594" t="s">
        <v>2460</v>
      </c>
      <c r="J55" s="2025"/>
      <c r="K55" s="1806"/>
    </row>
    <row r="56" spans="1:14" s="2032" customFormat="1">
      <c r="A56" s="2026" t="s">
        <v>2461</v>
      </c>
      <c r="B56" s="2027" t="e">
        <f>C48</f>
        <v>#DIV/0!</v>
      </c>
      <c r="C56" s="280">
        <v>1</v>
      </c>
      <c r="D56" s="2028">
        <v>1</v>
      </c>
      <c r="E56" s="2029">
        <v>120</v>
      </c>
      <c r="F56" s="2030" t="e">
        <f t="shared" ref="F56:F65" si="15">ROUND(B56*E56,0)</f>
        <v>#DIV/0!</v>
      </c>
      <c r="G56" s="2031">
        <v>1</v>
      </c>
      <c r="H56" s="2031">
        <v>1</v>
      </c>
      <c r="I56" s="1814"/>
      <c r="J56" s="1814"/>
      <c r="K56" s="3008"/>
      <c r="L56" s="3002"/>
      <c r="M56" s="1814"/>
      <c r="N56" s="1814"/>
    </row>
    <row r="57" spans="1:14" s="2032" customFormat="1">
      <c r="A57" s="2033" t="s">
        <v>2462</v>
      </c>
      <c r="B57" s="2034" t="e">
        <f>ROUND($C$48*C57*D57,0)</f>
        <v>#DIV/0!</v>
      </c>
      <c r="C57" s="50">
        <f>IF($C$55="北京市系数",G57,H57)</f>
        <v>0</v>
      </c>
      <c r="D57" s="2035">
        <v>0.25</v>
      </c>
      <c r="E57" s="2029">
        <v>0</v>
      </c>
      <c r="F57" s="2030" t="e">
        <f t="shared" si="15"/>
        <v>#DIV/0!</v>
      </c>
      <c r="G57" s="2031">
        <f>SUMIF(修正!$A$45:$A$56,项目基本情况!$F$9,修正!B45:B56)</f>
        <v>0</v>
      </c>
      <c r="H57" s="2036"/>
      <c r="I57" s="1667"/>
      <c r="J57" s="1910"/>
      <c r="K57" s="1911"/>
      <c r="L57" s="1911"/>
      <c r="M57" s="1667"/>
      <c r="N57" s="1667"/>
    </row>
    <row r="58" spans="1:14" s="2032" customFormat="1">
      <c r="A58" s="2033" t="s">
        <v>2463</v>
      </c>
      <c r="B58" s="2034" t="e">
        <f t="shared" ref="B58:B65" si="16">ROUND($C$48*C58*D58,0)</f>
        <v>#DIV/0!</v>
      </c>
      <c r="C58" s="50">
        <f t="shared" ref="C58:C65" si="17">IF($C$55="北京市系数",G58,H58)</f>
        <v>0</v>
      </c>
      <c r="D58" s="2035">
        <v>0.25</v>
      </c>
      <c r="E58" s="2029">
        <v>0</v>
      </c>
      <c r="F58" s="2030" t="e">
        <f t="shared" si="15"/>
        <v>#DIV/0!</v>
      </c>
      <c r="G58" s="2031">
        <f>SUMIF(修正!$A$45:$A$56,项目基本情况!$F$9,修正!C45:C56)</f>
        <v>0</v>
      </c>
      <c r="H58" s="2036"/>
      <c r="I58" s="1814"/>
      <c r="J58" s="1814"/>
      <c r="K58" s="3008"/>
      <c r="L58" s="3002"/>
      <c r="M58" s="1814"/>
      <c r="N58" s="1814"/>
    </row>
    <row r="59" spans="1:14" s="2032" customFormat="1">
      <c r="A59" s="2033" t="s">
        <v>2464</v>
      </c>
      <c r="B59" s="2034" t="e">
        <f t="shared" si="16"/>
        <v>#DIV/0!</v>
      </c>
      <c r="C59" s="50">
        <f t="shared" si="17"/>
        <v>0</v>
      </c>
      <c r="D59" s="2035">
        <v>0.25</v>
      </c>
      <c r="E59" s="2029">
        <v>0</v>
      </c>
      <c r="F59" s="2030" t="e">
        <f t="shared" si="15"/>
        <v>#DIV/0!</v>
      </c>
      <c r="G59" s="2031">
        <f>SUMIF(修正!$A$45:$A$56,项目基本情况!$F$9,修正!D45:D56)</f>
        <v>0</v>
      </c>
      <c r="H59" s="2036"/>
      <c r="I59" s="1667"/>
      <c r="J59" s="1910"/>
      <c r="K59" s="1911"/>
      <c r="L59" s="1911"/>
      <c r="M59" s="1667"/>
      <c r="N59" s="1667"/>
    </row>
    <row r="60" spans="1:14" s="2032" customFormat="1">
      <c r="A60" s="2033" t="s">
        <v>2465</v>
      </c>
      <c r="B60" s="2034" t="e">
        <f t="shared" si="16"/>
        <v>#DIV/0!</v>
      </c>
      <c r="C60" s="50">
        <f t="shared" si="17"/>
        <v>0</v>
      </c>
      <c r="D60" s="2035">
        <v>0.25</v>
      </c>
      <c r="E60" s="2029">
        <v>0</v>
      </c>
      <c r="F60" s="2030" t="e">
        <f t="shared" si="15"/>
        <v>#DIV/0!</v>
      </c>
      <c r="G60" s="2031">
        <f>SUMIF(修正!$A$45:$A$56,项目基本情况!$F$9,修正!E45:E56)</f>
        <v>0</v>
      </c>
      <c r="H60" s="2036"/>
      <c r="I60" s="1814"/>
      <c r="J60" s="1814"/>
      <c r="K60" s="3008"/>
      <c r="L60" s="3002"/>
      <c r="M60" s="1814"/>
      <c r="N60" s="1814"/>
    </row>
    <row r="61" spans="1:14" s="2032" customFormat="1">
      <c r="A61" s="2033" t="s">
        <v>2466</v>
      </c>
      <c r="B61" s="2034" t="e">
        <f t="shared" si="16"/>
        <v>#DIV/0!</v>
      </c>
      <c r="C61" s="50">
        <f t="shared" si="17"/>
        <v>0</v>
      </c>
      <c r="D61" s="2035">
        <v>0.25</v>
      </c>
      <c r="E61" s="2029">
        <v>0</v>
      </c>
      <c r="F61" s="2030" t="e">
        <f t="shared" si="15"/>
        <v>#DIV/0!</v>
      </c>
      <c r="G61" s="2031">
        <f>SUMIF(修正!A45:A56,项目基本情况!F9,修正!F45:F56)</f>
        <v>0</v>
      </c>
      <c r="H61" s="2036"/>
      <c r="I61" s="1667"/>
      <c r="J61" s="1910"/>
      <c r="K61" s="1911"/>
      <c r="L61" s="1911"/>
      <c r="M61" s="1667"/>
      <c r="N61" s="1667"/>
    </row>
    <row r="62" spans="1:14" s="2032" customFormat="1">
      <c r="A62" s="2033" t="s">
        <v>2467</v>
      </c>
      <c r="B62" s="2034" t="e">
        <f t="shared" si="16"/>
        <v>#DIV/0!</v>
      </c>
      <c r="C62" s="50">
        <f t="shared" si="17"/>
        <v>0</v>
      </c>
      <c r="D62" s="2035">
        <v>0.25</v>
      </c>
      <c r="E62" s="2029">
        <v>0</v>
      </c>
      <c r="F62" s="2030" t="e">
        <f t="shared" si="15"/>
        <v>#DIV/0!</v>
      </c>
      <c r="G62" s="2031">
        <f>SUMIF(修正!A45:A56,项目基本情况!F9,修正!G45:G56)</f>
        <v>0</v>
      </c>
      <c r="H62" s="2036"/>
      <c r="I62" s="1814"/>
      <c r="J62" s="1814"/>
      <c r="K62" s="3008"/>
      <c r="L62" s="3002"/>
      <c r="M62" s="1814"/>
      <c r="N62" s="1814"/>
    </row>
    <row r="63" spans="1:14" s="2032" customFormat="1">
      <c r="A63" s="2033" t="s">
        <v>2468</v>
      </c>
      <c r="B63" s="2034" t="e">
        <f t="shared" si="16"/>
        <v>#DIV/0!</v>
      </c>
      <c r="C63" s="50">
        <f>IF($C$55="北京市系数",G63,H63)</f>
        <v>0</v>
      </c>
      <c r="D63" s="2035">
        <v>0.25</v>
      </c>
      <c r="E63" s="2029">
        <v>0</v>
      </c>
      <c r="F63" s="2030" t="e">
        <f t="shared" si="15"/>
        <v>#DIV/0!</v>
      </c>
      <c r="G63" s="2031">
        <f>SUMIF(修正!A45:A56,项目基本情况!F9,修正!H45:H56)</f>
        <v>0</v>
      </c>
      <c r="H63" s="2036"/>
      <c r="I63" s="1667"/>
      <c r="J63" s="1910"/>
      <c r="K63" s="1911"/>
      <c r="L63" s="1911"/>
      <c r="M63" s="1667"/>
      <c r="N63" s="1667"/>
    </row>
    <row r="64" spans="1:14" s="2032" customFormat="1">
      <c r="A64" s="2033" t="s">
        <v>2469</v>
      </c>
      <c r="B64" s="2034" t="e">
        <f t="shared" si="16"/>
        <v>#DIV/0!</v>
      </c>
      <c r="C64" s="50">
        <f t="shared" si="17"/>
        <v>0</v>
      </c>
      <c r="D64" s="2035">
        <v>0.25</v>
      </c>
      <c r="E64" s="2029">
        <v>0</v>
      </c>
      <c r="F64" s="2030" t="e">
        <f t="shared" si="15"/>
        <v>#DIV/0!</v>
      </c>
      <c r="G64" s="2031">
        <f>G63</f>
        <v>0</v>
      </c>
      <c r="H64" s="2036"/>
      <c r="I64" s="1814"/>
      <c r="J64" s="1814"/>
      <c r="K64" s="3008"/>
      <c r="L64" s="3002"/>
      <c r="M64" s="1814"/>
      <c r="N64" s="1814"/>
    </row>
    <row r="65" spans="1:17" s="2032" customFormat="1">
      <c r="A65" s="2033" t="s">
        <v>2470</v>
      </c>
      <c r="B65" s="2034" t="e">
        <f t="shared" si="16"/>
        <v>#DIV/0!</v>
      </c>
      <c r="C65" s="50">
        <f t="shared" si="17"/>
        <v>0</v>
      </c>
      <c r="D65" s="2035">
        <v>0.25</v>
      </c>
      <c r="E65" s="2029">
        <v>0</v>
      </c>
      <c r="F65" s="2030" t="e">
        <f t="shared" si="15"/>
        <v>#DIV/0!</v>
      </c>
      <c r="G65" s="2031">
        <f>G63</f>
        <v>0</v>
      </c>
      <c r="H65" s="2036"/>
      <c r="I65" s="1667"/>
      <c r="J65" s="1910"/>
      <c r="K65" s="1911"/>
      <c r="L65" s="1911"/>
      <c r="M65" s="1667"/>
      <c r="N65" s="1667"/>
    </row>
    <row r="66" spans="1:17" s="2032" customFormat="1" ht="13.5" thickBot="1">
      <c r="A66" s="2037" t="s">
        <v>2471</v>
      </c>
      <c r="B66" s="2038" t="s">
        <v>39</v>
      </c>
      <c r="C66" s="2038" t="s">
        <v>40</v>
      </c>
      <c r="D66" s="2038" t="s">
        <v>36</v>
      </c>
      <c r="E66" s="2038">
        <f>SUM(E56:E65)</f>
        <v>120</v>
      </c>
      <c r="F66" s="2039" t="e">
        <f>SUM(F56:F65)</f>
        <v>#DIV/0!</v>
      </c>
      <c r="G66" s="2040"/>
      <c r="H66" s="2040"/>
      <c r="I66" s="3046"/>
      <c r="J66" s="3046"/>
      <c r="K66" s="3046"/>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2021-12-1</v>
      </c>
      <c r="D68" s="2041">
        <f>EDATE(C68,-3)</f>
        <v>44440</v>
      </c>
      <c r="E68" s="2041">
        <f t="shared" ref="E68:O68" si="18">EDATE(D68,-3)</f>
        <v>44348</v>
      </c>
      <c r="F68" s="2041">
        <f t="shared" si="18"/>
        <v>44256</v>
      </c>
      <c r="G68" s="2041">
        <f t="shared" si="18"/>
        <v>44166</v>
      </c>
      <c r="H68" s="2041">
        <f t="shared" si="18"/>
        <v>44075</v>
      </c>
      <c r="I68" s="2041">
        <f t="shared" si="18"/>
        <v>43983</v>
      </c>
      <c r="J68" s="2041">
        <f t="shared" si="18"/>
        <v>43891</v>
      </c>
      <c r="K68" s="2041">
        <f t="shared" si="18"/>
        <v>43800</v>
      </c>
      <c r="L68" s="2041">
        <f t="shared" si="18"/>
        <v>43709</v>
      </c>
      <c r="M68" s="2041">
        <f t="shared" si="18"/>
        <v>43617</v>
      </c>
      <c r="N68" s="2041">
        <f t="shared" si="18"/>
        <v>43525</v>
      </c>
      <c r="O68" s="2041">
        <f t="shared" si="18"/>
        <v>43435</v>
      </c>
    </row>
    <row r="69" spans="1:17" ht="21.75" thickBot="1">
      <c r="A69" s="1817" t="s">
        <v>2373</v>
      </c>
      <c r="B69" s="1792"/>
      <c r="C69" s="1818"/>
      <c r="D69" s="1818"/>
      <c r="E69" s="1818"/>
      <c r="F69" s="1818"/>
      <c r="G69" s="1818"/>
      <c r="H69" s="1818"/>
      <c r="I69" s="2043"/>
      <c r="J69" s="2043"/>
      <c r="K69" s="2044"/>
      <c r="L69" s="2045"/>
      <c r="M69" s="2043"/>
      <c r="N69" s="2043"/>
      <c r="O69" s="2043"/>
      <c r="P69" s="2046"/>
      <c r="Q69" s="1822"/>
    </row>
    <row r="70" spans="1:17" s="2051" customFormat="1" ht="15">
      <c r="A70" s="2047" t="s">
        <v>2472</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2473</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75" thickBot="1">
      <c r="A72" s="1835" t="s">
        <v>2293</v>
      </c>
      <c r="B72" s="1836"/>
      <c r="C72" s="1837"/>
      <c r="D72" s="1838"/>
      <c r="E72" s="1838"/>
      <c r="F72" s="1838"/>
      <c r="G72" s="1838"/>
      <c r="H72" s="1838"/>
      <c r="I72" s="1838"/>
      <c r="J72" s="1838"/>
      <c r="K72" s="1838"/>
      <c r="L72" s="1838"/>
      <c r="M72" s="1839"/>
      <c r="N72" s="1838"/>
      <c r="O72" s="2056"/>
      <c r="P72" s="1822"/>
      <c r="Q72" s="1822"/>
    </row>
    <row r="73" spans="1:17" s="1685" customFormat="1" ht="15">
      <c r="A73" s="1840" t="s">
        <v>2257</v>
      </c>
      <c r="B73" s="1830"/>
      <c r="C73" s="1841" t="s">
        <v>2258</v>
      </c>
      <c r="D73" s="409"/>
      <c r="E73" s="409"/>
      <c r="F73" s="409"/>
      <c r="G73" s="409"/>
      <c r="H73" s="409"/>
      <c r="I73" s="409"/>
      <c r="J73" s="409"/>
      <c r="K73" s="409"/>
      <c r="L73" s="409"/>
      <c r="M73" s="1842"/>
      <c r="N73" s="3013"/>
      <c r="O73" s="3013"/>
      <c r="P73" s="2057"/>
      <c r="Q73" s="1822"/>
    </row>
    <row r="74" spans="1:17" s="1685" customFormat="1" ht="15.75" thickBot="1">
      <c r="A74" s="1840"/>
      <c r="B74" s="1830"/>
      <c r="C74" s="1831">
        <v>100</v>
      </c>
      <c r="D74" s="1832"/>
      <c r="E74" s="1832"/>
      <c r="F74" s="1832"/>
      <c r="G74" s="1832"/>
      <c r="H74" s="1832"/>
      <c r="I74" s="1832"/>
      <c r="J74" s="1832"/>
      <c r="K74" s="1832"/>
      <c r="L74" s="1832"/>
      <c r="M74" s="1846"/>
      <c r="N74" s="3013"/>
      <c r="O74" s="3013"/>
      <c r="P74" s="1822"/>
      <c r="Q74" s="1822"/>
    </row>
    <row r="75" spans="1:17">
      <c r="A75" s="1847" t="s">
        <v>2296</v>
      </c>
      <c r="B75" s="1848" t="s">
        <v>2261</v>
      </c>
      <c r="C75" s="1850"/>
      <c r="D75" s="1850"/>
      <c r="E75" s="1850"/>
      <c r="F75" s="1850"/>
      <c r="G75" s="1850"/>
      <c r="H75" s="1850"/>
      <c r="I75" s="1850"/>
      <c r="J75" s="1850"/>
      <c r="K75" s="417"/>
      <c r="L75" s="417"/>
      <c r="M75" s="1851"/>
      <c r="N75" s="3014"/>
      <c r="O75" s="3014"/>
      <c r="P75" s="2058"/>
      <c r="Q75" s="1822"/>
    </row>
    <row r="76" spans="1:17" ht="15.75" thickBot="1">
      <c r="A76" s="1854"/>
      <c r="B76" s="1855"/>
      <c r="C76" s="1856"/>
      <c r="D76" s="1856"/>
      <c r="E76" s="1856"/>
      <c r="F76" s="1856"/>
      <c r="G76" s="1856"/>
      <c r="H76" s="1856"/>
      <c r="I76" s="1856"/>
      <c r="J76" s="1856"/>
      <c r="K76" s="1856"/>
      <c r="L76" s="1856"/>
      <c r="M76" s="1857"/>
      <c r="N76" s="3015"/>
      <c r="O76" s="3015"/>
      <c r="P76" s="2058"/>
      <c r="Q76" s="1822"/>
    </row>
    <row r="77" spans="1:17" ht="27.75" thickTop="1">
      <c r="A77" s="1854"/>
      <c r="B77" s="1859" t="s">
        <v>2264</v>
      </c>
      <c r="C77" s="1860"/>
      <c r="D77" s="1860"/>
      <c r="E77" s="1860"/>
      <c r="F77" s="1860"/>
      <c r="G77" s="1860"/>
      <c r="H77" s="1860"/>
      <c r="I77" s="1860"/>
      <c r="J77" s="1860"/>
      <c r="K77" s="428"/>
      <c r="L77" s="428"/>
      <c r="M77" s="1861"/>
      <c r="N77" s="3014"/>
      <c r="O77" s="3014"/>
      <c r="P77" s="2058"/>
      <c r="Q77" s="1822"/>
    </row>
    <row r="78" spans="1:17" ht="15.75" thickBot="1">
      <c r="A78" s="1854"/>
      <c r="B78" s="1862"/>
      <c r="C78" s="1863"/>
      <c r="D78" s="1863"/>
      <c r="E78" s="1863"/>
      <c r="F78" s="1863"/>
      <c r="G78" s="1863"/>
      <c r="H78" s="1863"/>
      <c r="I78" s="1863"/>
      <c r="J78" s="1863"/>
      <c r="K78" s="1863"/>
      <c r="L78" s="1863"/>
      <c r="M78" s="1864"/>
      <c r="N78" s="3015"/>
      <c r="O78" s="3015"/>
      <c r="P78" s="2058"/>
      <c r="Q78" s="1822"/>
    </row>
    <row r="79" spans="1:17" ht="15.75" thickTop="1">
      <c r="A79" s="1854"/>
      <c r="B79" s="1865" t="s">
        <v>2265</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5"/>
      <c r="O79" s="3015"/>
      <c r="P79" s="2058"/>
      <c r="Q79" s="1822"/>
    </row>
    <row r="80" spans="1:17" ht="15">
      <c r="A80" s="1854"/>
      <c r="B80" s="1867"/>
      <c r="C80" s="1868"/>
      <c r="D80" s="1868"/>
      <c r="E80" s="1868"/>
      <c r="F80" s="1868"/>
      <c r="G80" s="1868"/>
      <c r="H80" s="1868"/>
      <c r="I80" s="1868"/>
      <c r="J80" s="1868"/>
      <c r="K80" s="438"/>
      <c r="L80" s="438"/>
      <c r="M80" s="1869"/>
      <c r="N80" s="3014"/>
      <c r="O80" s="3014"/>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5"/>
      <c r="O81" s="3015"/>
      <c r="P81" s="2058"/>
      <c r="Q81" s="1822"/>
    </row>
    <row r="82" spans="1:17" s="1772" customFormat="1" ht="15.75" thickTop="1">
      <c r="A82" s="1870"/>
      <c r="B82" s="1859" t="str">
        <f>B12</f>
        <v>配建</v>
      </c>
      <c r="C82" s="468"/>
      <c r="D82" s="468"/>
      <c r="E82" s="468"/>
      <c r="F82" s="468"/>
      <c r="G82" s="468"/>
      <c r="H82" s="443"/>
      <c r="I82" s="443"/>
      <c r="J82" s="443"/>
      <c r="K82" s="443"/>
      <c r="L82" s="443"/>
      <c r="M82" s="1871"/>
      <c r="N82" s="3016"/>
      <c r="O82" s="3016"/>
      <c r="P82" s="2059"/>
      <c r="Q82" s="1874"/>
    </row>
    <row r="83" spans="1:17" s="1772" customFormat="1" ht="15.75" thickBot="1">
      <c r="A83" s="1870"/>
      <c r="B83" s="1862"/>
      <c r="C83" s="1875"/>
      <c r="D83" s="1856"/>
      <c r="E83" s="1856"/>
      <c r="F83" s="1856"/>
      <c r="G83" s="1856"/>
      <c r="H83" s="1856"/>
      <c r="I83" s="1856"/>
      <c r="J83" s="1856"/>
      <c r="K83" s="1856"/>
      <c r="L83" s="1856"/>
      <c r="M83" s="1857"/>
      <c r="N83" s="3015"/>
      <c r="O83" s="3015"/>
      <c r="P83" s="2059"/>
      <c r="Q83" s="1874"/>
    </row>
    <row r="84" spans="1:17" s="1772" customFormat="1" ht="15.75" thickTop="1">
      <c r="A84" s="1870"/>
      <c r="B84" s="1859">
        <f>B13</f>
        <v>111</v>
      </c>
      <c r="C84" s="468"/>
      <c r="D84" s="468"/>
      <c r="E84" s="468"/>
      <c r="F84" s="468"/>
      <c r="G84" s="468"/>
      <c r="H84" s="443"/>
      <c r="I84" s="443"/>
      <c r="J84" s="443"/>
      <c r="K84" s="443"/>
      <c r="L84" s="443"/>
      <c r="M84" s="1871"/>
      <c r="N84" s="3016"/>
      <c r="O84" s="3016"/>
      <c r="P84" s="2060"/>
      <c r="Q84" s="1877"/>
    </row>
    <row r="85" spans="1:17" s="1772" customFormat="1" ht="15.75" thickBot="1">
      <c r="A85" s="1870"/>
      <c r="B85" s="1862"/>
      <c r="C85" s="1875"/>
      <c r="D85" s="1875"/>
      <c r="E85" s="1875"/>
      <c r="F85" s="1875"/>
      <c r="G85" s="1875"/>
      <c r="H85" s="1878"/>
      <c r="I85" s="1878"/>
      <c r="J85" s="1878"/>
      <c r="K85" s="1878"/>
      <c r="L85" s="1878"/>
      <c r="M85" s="1879"/>
      <c r="N85" s="3016"/>
      <c r="O85" s="3016"/>
      <c r="P85" s="2059"/>
      <c r="Q85" s="1874"/>
    </row>
    <row r="86" spans="1:17" s="1772" customFormat="1" ht="15.75" thickTop="1">
      <c r="A86" s="1870"/>
      <c r="B86" s="1865">
        <f>B14</f>
        <v>111</v>
      </c>
      <c r="C86" s="409"/>
      <c r="D86" s="409"/>
      <c r="E86" s="409"/>
      <c r="F86" s="409"/>
      <c r="G86" s="409"/>
      <c r="H86" s="453"/>
      <c r="I86" s="453"/>
      <c r="J86" s="453"/>
      <c r="K86" s="453"/>
      <c r="L86" s="453"/>
      <c r="M86" s="1880"/>
      <c r="N86" s="3016"/>
      <c r="O86" s="3016"/>
      <c r="P86" s="2059"/>
      <c r="Q86" s="1874"/>
    </row>
    <row r="87" spans="1:17" s="1772" customFormat="1" ht="15.75" thickBot="1">
      <c r="A87" s="1881"/>
      <c r="B87" s="1882"/>
      <c r="C87" s="1883"/>
      <c r="D87" s="1883"/>
      <c r="E87" s="1883"/>
      <c r="F87" s="1883"/>
      <c r="G87" s="1883"/>
      <c r="H87" s="1884"/>
      <c r="I87" s="1884"/>
      <c r="J87" s="1884"/>
      <c r="K87" s="1884"/>
      <c r="L87" s="1884"/>
      <c r="M87" s="1885"/>
      <c r="N87" s="3016"/>
      <c r="O87" s="3016"/>
      <c r="P87" s="2059"/>
      <c r="Q87" s="1874"/>
    </row>
    <row r="88" spans="1:17">
      <c r="A88" s="1847" t="s">
        <v>2266</v>
      </c>
      <c r="B88" s="1848" t="s">
        <v>2304</v>
      </c>
      <c r="C88" s="1886" t="s">
        <v>2305</v>
      </c>
      <c r="D88" s="1886" t="s">
        <v>2306</v>
      </c>
      <c r="E88" s="1886" t="s">
        <v>2307</v>
      </c>
      <c r="F88" s="1886" t="s">
        <v>2308</v>
      </c>
      <c r="G88" s="1886" t="s">
        <v>2309</v>
      </c>
      <c r="H88" s="1849"/>
      <c r="I88" s="1849"/>
      <c r="J88" s="1849"/>
      <c r="K88" s="463"/>
      <c r="L88" s="463"/>
      <c r="M88" s="1887"/>
      <c r="N88" s="3014"/>
      <c r="O88" s="3014"/>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5"/>
      <c r="O89" s="3015"/>
      <c r="P89" s="2058"/>
      <c r="Q89" s="1822"/>
    </row>
    <row r="90" spans="1:17" ht="15.75" thickTop="1">
      <c r="A90" s="1854"/>
      <c r="B90" s="1859" t="s">
        <v>2474</v>
      </c>
      <c r="C90" s="579" t="s">
        <v>2305</v>
      </c>
      <c r="D90" s="579" t="s">
        <v>2306</v>
      </c>
      <c r="E90" s="579" t="s">
        <v>2307</v>
      </c>
      <c r="F90" s="579" t="s">
        <v>2308</v>
      </c>
      <c r="G90" s="579" t="s">
        <v>2309</v>
      </c>
      <c r="H90" s="1860"/>
      <c r="I90" s="1860"/>
      <c r="J90" s="1860"/>
      <c r="K90" s="428"/>
      <c r="L90" s="428"/>
      <c r="M90" s="1861"/>
      <c r="N90" s="3014"/>
      <c r="O90" s="3014"/>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5"/>
      <c r="O91" s="3015"/>
      <c r="P91" s="2058"/>
      <c r="Q91" s="1822"/>
    </row>
    <row r="92" spans="1:17" ht="15.75" thickTop="1">
      <c r="A92" s="1854"/>
      <c r="B92" s="1859" t="s">
        <v>2392</v>
      </c>
      <c r="C92" s="579" t="s">
        <v>2305</v>
      </c>
      <c r="D92" s="579" t="s">
        <v>2306</v>
      </c>
      <c r="E92" s="579" t="s">
        <v>2307</v>
      </c>
      <c r="F92" s="579" t="s">
        <v>2308</v>
      </c>
      <c r="G92" s="579" t="s">
        <v>2309</v>
      </c>
      <c r="H92" s="1860"/>
      <c r="I92" s="1860"/>
      <c r="J92" s="1860"/>
      <c r="K92" s="428"/>
      <c r="L92" s="428"/>
      <c r="M92" s="1861"/>
      <c r="N92" s="3014"/>
      <c r="O92" s="3014"/>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5"/>
      <c r="O93" s="3015"/>
      <c r="P93" s="2058"/>
      <c r="Q93" s="1822"/>
    </row>
    <row r="94" spans="1:17" ht="15.75" thickTop="1">
      <c r="A94" s="1854"/>
      <c r="B94" s="1859" t="s">
        <v>2310</v>
      </c>
      <c r="C94" s="579" t="s">
        <v>2305</v>
      </c>
      <c r="D94" s="579" t="s">
        <v>2306</v>
      </c>
      <c r="E94" s="579" t="s">
        <v>2307</v>
      </c>
      <c r="F94" s="579" t="s">
        <v>2308</v>
      </c>
      <c r="G94" s="579" t="s">
        <v>2309</v>
      </c>
      <c r="H94" s="1860"/>
      <c r="I94" s="1860"/>
      <c r="J94" s="1860"/>
      <c r="K94" s="428"/>
      <c r="L94" s="428"/>
      <c r="M94" s="1861"/>
      <c r="N94" s="3014"/>
      <c r="O94" s="3014"/>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5"/>
      <c r="O95" s="3015"/>
      <c r="P95" s="2058"/>
      <c r="Q95" s="1822"/>
    </row>
    <row r="96" spans="1:17" s="1685" customFormat="1" ht="15.75" thickTop="1">
      <c r="A96" s="1890"/>
      <c r="B96" s="1859" t="s">
        <v>2475</v>
      </c>
      <c r="C96" s="579" t="s">
        <v>2305</v>
      </c>
      <c r="D96" s="579" t="s">
        <v>2306</v>
      </c>
      <c r="E96" s="579" t="s">
        <v>2307</v>
      </c>
      <c r="F96" s="579" t="s">
        <v>2308</v>
      </c>
      <c r="G96" s="579" t="s">
        <v>2309</v>
      </c>
      <c r="H96" s="579"/>
      <c r="I96" s="579"/>
      <c r="J96" s="579"/>
      <c r="K96" s="579"/>
      <c r="L96" s="579"/>
      <c r="M96" s="2061"/>
      <c r="N96" s="3013"/>
      <c r="O96" s="3013"/>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5"/>
      <c r="O97" s="3015"/>
      <c r="P97" s="2058"/>
      <c r="Q97" s="1822"/>
    </row>
    <row r="98" spans="1:17" s="1685" customFormat="1" ht="27.75" thickTop="1">
      <c r="A98" s="1890"/>
      <c r="B98" s="1859" t="s">
        <v>2476</v>
      </c>
      <c r="C98" s="1886" t="s">
        <v>2305</v>
      </c>
      <c r="D98" s="1886" t="s">
        <v>2306</v>
      </c>
      <c r="E98" s="1886" t="s">
        <v>2307</v>
      </c>
      <c r="F98" s="1886" t="s">
        <v>2308</v>
      </c>
      <c r="G98" s="1886" t="s">
        <v>2309</v>
      </c>
      <c r="H98" s="579"/>
      <c r="I98" s="579"/>
      <c r="J98" s="579"/>
      <c r="K98" s="579"/>
      <c r="L98" s="579"/>
      <c r="M98" s="2061"/>
      <c r="N98" s="3013"/>
      <c r="O98" s="3013"/>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5"/>
      <c r="O99" s="3015"/>
      <c r="P99" s="2058"/>
      <c r="Q99" s="1822"/>
    </row>
    <row r="100" spans="1:17" s="1685" customFormat="1" ht="15.75" thickTop="1">
      <c r="A100" s="1890"/>
      <c r="B100" s="1865" t="s">
        <v>2353</v>
      </c>
      <c r="C100" s="1886" t="s">
        <v>2305</v>
      </c>
      <c r="D100" s="1886" t="s">
        <v>2306</v>
      </c>
      <c r="E100" s="1886" t="s">
        <v>2307</v>
      </c>
      <c r="F100" s="1886" t="s">
        <v>2308</v>
      </c>
      <c r="G100" s="1886" t="s">
        <v>2309</v>
      </c>
      <c r="H100" s="1860"/>
      <c r="I100" s="1860"/>
      <c r="J100" s="1860"/>
      <c r="K100" s="1860"/>
      <c r="L100" s="1860"/>
      <c r="M100" s="1888"/>
      <c r="N100" s="3015"/>
      <c r="O100" s="3015"/>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5"/>
      <c r="O101" s="3015"/>
      <c r="P101" s="2058"/>
      <c r="Q101" s="1822"/>
    </row>
    <row r="102" spans="1:17" s="1772" customFormat="1" ht="15.75" thickTop="1">
      <c r="A102" s="1870"/>
      <c r="B102" s="1859" t="s">
        <v>2354</v>
      </c>
      <c r="C102" s="1860" t="s">
        <v>2312</v>
      </c>
      <c r="D102" s="1860" t="s">
        <v>2313</v>
      </c>
      <c r="E102" s="1860" t="s">
        <v>2314</v>
      </c>
      <c r="F102" s="1860" t="s">
        <v>2315</v>
      </c>
      <c r="G102" s="1860" t="s">
        <v>2316</v>
      </c>
      <c r="H102" s="489"/>
      <c r="I102" s="489"/>
      <c r="J102" s="489"/>
      <c r="K102" s="489"/>
      <c r="L102" s="489"/>
      <c r="M102" s="1905"/>
      <c r="N102" s="3016"/>
      <c r="O102" s="3016"/>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6"/>
      <c r="O103" s="3016"/>
      <c r="P103" s="2059"/>
      <c r="Q103" s="1874"/>
    </row>
    <row r="104" spans="1:17" ht="15.75" thickTop="1">
      <c r="A104" s="1854"/>
      <c r="B104" s="1859" t="str">
        <f>B31</f>
        <v>临街状况</v>
      </c>
      <c r="C104" s="1860" t="s">
        <v>2477</v>
      </c>
      <c r="D104" s="1860" t="s">
        <v>2478</v>
      </c>
      <c r="E104" s="1860" t="s">
        <v>2479</v>
      </c>
      <c r="F104" s="1860" t="s">
        <v>2480</v>
      </c>
      <c r="G104" s="1860"/>
      <c r="H104" s="1860"/>
      <c r="I104" s="1860"/>
      <c r="J104" s="1860"/>
      <c r="K104" s="428"/>
      <c r="L104" s="428"/>
      <c r="M104" s="1861"/>
      <c r="N104" s="3014"/>
      <c r="O104" s="3014"/>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5"/>
      <c r="O105" s="3015"/>
      <c r="P105" s="2058"/>
      <c r="Q105" s="1822"/>
    </row>
    <row r="106" spans="1:17" ht="27.75" thickTop="1">
      <c r="A106" s="1854"/>
      <c r="B106" s="1859" t="s">
        <v>2385</v>
      </c>
      <c r="C106" s="468"/>
      <c r="D106" s="468"/>
      <c r="E106" s="468"/>
      <c r="F106" s="468"/>
      <c r="G106" s="468"/>
      <c r="H106" s="1578"/>
      <c r="I106" s="1578"/>
      <c r="J106" s="1578"/>
      <c r="K106" s="473"/>
      <c r="L106" s="473"/>
      <c r="M106" s="1894"/>
      <c r="N106" s="3014"/>
      <c r="O106" s="3014"/>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5"/>
      <c r="O107" s="3015"/>
      <c r="P107" s="2058"/>
      <c r="Q107" s="1822"/>
    </row>
    <row r="108" spans="1:17" ht="15.75" thickTop="1">
      <c r="A108" s="1854"/>
      <c r="B108" s="1859" t="s">
        <v>2446</v>
      </c>
      <c r="C108" s="1578"/>
      <c r="D108" s="1578"/>
      <c r="E108" s="1578"/>
      <c r="F108" s="1578"/>
      <c r="G108" s="1578"/>
      <c r="H108" s="1578"/>
      <c r="I108" s="1578"/>
      <c r="J108" s="1578"/>
      <c r="K108" s="473"/>
      <c r="L108" s="473"/>
      <c r="M108" s="1894"/>
      <c r="N108" s="3014"/>
      <c r="O108" s="3014"/>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5"/>
      <c r="O109" s="3015"/>
      <c r="P109" s="2058"/>
      <c r="Q109" s="1822"/>
    </row>
    <row r="110" spans="1:17" ht="15.75" thickTop="1">
      <c r="A110" s="1854"/>
      <c r="B110" s="1865">
        <f>B35</f>
        <v>111</v>
      </c>
      <c r="C110" s="468"/>
      <c r="D110" s="468"/>
      <c r="E110" s="468"/>
      <c r="F110" s="468"/>
      <c r="G110" s="1895"/>
      <c r="H110" s="1895"/>
      <c r="I110" s="1895"/>
      <c r="J110" s="1895"/>
      <c r="K110" s="477"/>
      <c r="L110" s="477"/>
      <c r="M110" s="1896"/>
      <c r="N110" s="3014"/>
      <c r="O110" s="3014"/>
      <c r="P110" s="2058"/>
      <c r="Q110" s="1822"/>
    </row>
    <row r="111" spans="1:17" ht="15.75" thickBot="1">
      <c r="A111" s="1854"/>
      <c r="B111" s="1882"/>
      <c r="C111" s="1875"/>
      <c r="D111" s="1875"/>
      <c r="E111" s="1875"/>
      <c r="F111" s="1875"/>
      <c r="G111" s="1898"/>
      <c r="H111" s="1898"/>
      <c r="I111" s="1898"/>
      <c r="J111" s="1898"/>
      <c r="K111" s="1898"/>
      <c r="L111" s="1898"/>
      <c r="M111" s="1899"/>
      <c r="N111" s="3015"/>
      <c r="O111" s="3015"/>
      <c r="P111" s="2058"/>
      <c r="Q111" s="1822"/>
    </row>
    <row r="112" spans="1:17" ht="15" thickTop="1">
      <c r="A112" s="1995"/>
      <c r="B112" s="1859">
        <f>B36</f>
        <v>111</v>
      </c>
      <c r="C112" s="409"/>
      <c r="D112" s="409"/>
      <c r="E112" s="409"/>
      <c r="F112" s="409"/>
      <c r="G112" s="1578"/>
      <c r="H112" s="1578"/>
      <c r="I112" s="1578"/>
      <c r="J112" s="1578"/>
      <c r="K112" s="473"/>
      <c r="L112" s="473"/>
      <c r="M112" s="1894"/>
      <c r="N112" s="3014"/>
      <c r="O112" s="3014"/>
      <c r="P112" s="2058"/>
      <c r="Q112" s="1822"/>
    </row>
    <row r="113" spans="1:17" ht="15.75" thickBot="1">
      <c r="A113" s="1854"/>
      <c r="B113" s="1862"/>
      <c r="C113" s="1883"/>
      <c r="D113" s="1883"/>
      <c r="E113" s="1883"/>
      <c r="F113" s="1883"/>
      <c r="G113" s="1856"/>
      <c r="H113" s="1856"/>
      <c r="I113" s="1856"/>
      <c r="J113" s="1856"/>
      <c r="K113" s="1856"/>
      <c r="L113" s="1856"/>
      <c r="M113" s="1857"/>
      <c r="N113" s="3015"/>
      <c r="O113" s="3015"/>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6"/>
      <c r="O114" s="3016"/>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5"/>
      <c r="O115" s="3015"/>
      <c r="P115" s="2059"/>
      <c r="Q115" s="1874"/>
    </row>
    <row r="116" spans="1:17">
      <c r="A116" s="1847" t="s">
        <v>2271</v>
      </c>
      <c r="B116" s="1848" t="s">
        <v>2481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4"/>
      <c r="O116" s="3014"/>
      <c r="P116" s="2058"/>
      <c r="Q116" s="1822"/>
    </row>
    <row r="117" spans="1:17" ht="15">
      <c r="A117" s="1854"/>
      <c r="B117" s="1865"/>
      <c r="C117" s="1902"/>
      <c r="D117" s="1902"/>
      <c r="E117" s="1902"/>
      <c r="F117" s="1902"/>
      <c r="G117" s="1902"/>
      <c r="H117" s="1902"/>
      <c r="I117" s="1902"/>
      <c r="J117" s="485"/>
      <c r="K117" s="485"/>
      <c r="L117" s="485"/>
      <c r="M117" s="1903"/>
      <c r="N117" s="3014"/>
      <c r="O117" s="3014"/>
      <c r="P117" s="2058"/>
      <c r="Q117" s="1822"/>
    </row>
    <row r="118" spans="1:17" ht="15.75" thickBot="1">
      <c r="A118" s="1854"/>
      <c r="B118" s="1862"/>
      <c r="C118" s="1883"/>
      <c r="D118" s="1898"/>
      <c r="E118" s="1898"/>
      <c r="F118" s="1898"/>
      <c r="G118" s="1898"/>
      <c r="H118" s="1898"/>
      <c r="I118" s="1898"/>
      <c r="J118" s="1898"/>
      <c r="K118" s="1898"/>
      <c r="L118" s="1898"/>
      <c r="M118" s="1899"/>
      <c r="N118" s="3015"/>
      <c r="O118" s="3015"/>
      <c r="P118" s="2058"/>
      <c r="Q118" s="1822"/>
    </row>
    <row r="119" spans="1:17" ht="15" thickTop="1">
      <c r="A119" s="1904"/>
      <c r="B119" s="1859" t="s">
        <v>2482</v>
      </c>
      <c r="C119" s="1578"/>
      <c r="D119" s="1578"/>
      <c r="E119" s="1578"/>
      <c r="F119" s="1578"/>
      <c r="G119" s="1578"/>
      <c r="H119" s="1578"/>
      <c r="I119" s="1578"/>
      <c r="J119" s="1578"/>
      <c r="K119" s="473"/>
      <c r="L119" s="473"/>
      <c r="M119" s="1894"/>
      <c r="N119" s="3014"/>
      <c r="O119" s="3014"/>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5"/>
      <c r="O120" s="3015"/>
      <c r="P120" s="2058"/>
      <c r="Q120" s="1822"/>
    </row>
    <row r="121" spans="1:17" ht="15" thickTop="1">
      <c r="A121" s="1904"/>
      <c r="B121" s="1859" t="s">
        <v>2483</v>
      </c>
      <c r="C121" s="468"/>
      <c r="D121" s="468"/>
      <c r="E121" s="468"/>
      <c r="F121" s="1578"/>
      <c r="G121" s="1578"/>
      <c r="H121" s="1578"/>
      <c r="I121" s="1578"/>
      <c r="J121" s="1578"/>
      <c r="K121" s="473"/>
      <c r="L121" s="473"/>
      <c r="M121" s="1894"/>
      <c r="N121" s="3014"/>
      <c r="O121" s="3014"/>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5"/>
      <c r="O122" s="3015"/>
      <c r="P122" s="2058"/>
      <c r="Q122" s="1822"/>
    </row>
    <row r="123" spans="1:17" s="1772" customFormat="1" ht="15" thickTop="1">
      <c r="A123" s="1900"/>
      <c r="B123" s="1859" t="s">
        <v>2484</v>
      </c>
      <c r="C123" s="468"/>
      <c r="D123" s="468"/>
      <c r="E123" s="468"/>
      <c r="F123" s="468"/>
      <c r="G123" s="468"/>
      <c r="H123" s="1578"/>
      <c r="I123" s="1578"/>
      <c r="J123" s="1578"/>
      <c r="K123" s="473"/>
      <c r="L123" s="473"/>
      <c r="M123" s="1894"/>
      <c r="N123" s="3016"/>
      <c r="O123" s="3016"/>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6"/>
      <c r="O124" s="3016"/>
      <c r="P124" s="2059"/>
      <c r="Q124" s="1874"/>
    </row>
    <row r="125" spans="1:17" ht="15" thickTop="1">
      <c r="A125" s="1904"/>
      <c r="B125" s="1859" t="s">
        <v>2485</v>
      </c>
      <c r="C125" s="468"/>
      <c r="D125" s="468"/>
      <c r="E125" s="1578"/>
      <c r="F125" s="1578"/>
      <c r="G125" s="1578"/>
      <c r="H125" s="1578"/>
      <c r="I125" s="1578"/>
      <c r="J125" s="1578"/>
      <c r="K125" s="473"/>
      <c r="L125" s="473"/>
      <c r="M125" s="1894"/>
      <c r="N125" s="3014"/>
      <c r="O125" s="3014"/>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5"/>
      <c r="O126" s="3015"/>
      <c r="P126" s="2058"/>
      <c r="Q126" s="1822"/>
    </row>
    <row r="127" spans="1:17" ht="15" thickTop="1">
      <c r="A127" s="1904"/>
      <c r="B127" s="1859">
        <f>B43</f>
        <v>111</v>
      </c>
      <c r="C127" s="468"/>
      <c r="D127" s="468"/>
      <c r="E127" s="468"/>
      <c r="F127" s="468"/>
      <c r="G127" s="468"/>
      <c r="H127" s="1578"/>
      <c r="I127" s="1578"/>
      <c r="J127" s="1578"/>
      <c r="K127" s="473"/>
      <c r="L127" s="473"/>
      <c r="M127" s="1894"/>
      <c r="N127" s="3014"/>
      <c r="O127" s="3014"/>
      <c r="P127" s="2058"/>
      <c r="Q127" s="1822"/>
    </row>
    <row r="128" spans="1:17" ht="15.75" thickBot="1">
      <c r="A128" s="1854"/>
      <c r="B128" s="1862"/>
      <c r="C128" s="1875"/>
      <c r="D128" s="1875"/>
      <c r="E128" s="1875"/>
      <c r="F128" s="1875"/>
      <c r="G128" s="1856"/>
      <c r="H128" s="1856"/>
      <c r="I128" s="1856"/>
      <c r="J128" s="1856"/>
      <c r="K128" s="1856"/>
      <c r="L128" s="1856"/>
      <c r="M128" s="1857"/>
      <c r="N128" s="3015"/>
      <c r="O128" s="3015"/>
      <c r="P128" s="2058"/>
      <c r="Q128" s="1822"/>
    </row>
    <row r="129" spans="1:17" ht="15" thickTop="1">
      <c r="A129" s="1904"/>
      <c r="B129" s="1859">
        <f>B44</f>
        <v>111</v>
      </c>
      <c r="C129" s="409"/>
      <c r="D129" s="409"/>
      <c r="E129" s="409"/>
      <c r="F129" s="409"/>
      <c r="G129" s="1578"/>
      <c r="H129" s="1578"/>
      <c r="I129" s="1578"/>
      <c r="J129" s="1578"/>
      <c r="K129" s="473"/>
      <c r="L129" s="473"/>
      <c r="M129" s="1894"/>
      <c r="N129" s="3014"/>
      <c r="O129" s="3014"/>
      <c r="P129" s="2058"/>
      <c r="Q129" s="1822"/>
    </row>
    <row r="130" spans="1:17" ht="15.75" thickBot="1">
      <c r="A130" s="1854"/>
      <c r="B130" s="1862"/>
      <c r="C130" s="1883"/>
      <c r="D130" s="1883"/>
      <c r="E130" s="1883"/>
      <c r="F130" s="1883"/>
      <c r="G130" s="1856"/>
      <c r="H130" s="1856"/>
      <c r="I130" s="1856"/>
      <c r="J130" s="1856"/>
      <c r="K130" s="1856"/>
      <c r="L130" s="1856"/>
      <c r="M130" s="1857"/>
      <c r="N130" s="3015"/>
      <c r="O130" s="3015"/>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6"/>
      <c r="O131" s="3016"/>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6"/>
      <c r="O132" s="3016"/>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2" priority="18" stopIfTrue="1" operator="containsText" text="超过">
      <formula>NOT(ISERROR(SEARCH("超过",F51)))</formula>
    </cfRule>
  </conditionalFormatting>
  <conditionalFormatting sqref="J53">
    <cfRule type="containsText" dxfId="51" priority="17" stopIfTrue="1" operator="containsText" text="超过">
      <formula>NOT(ISERROR(SEARCH("超过",J53)))</formula>
    </cfRule>
  </conditionalFormatting>
  <conditionalFormatting sqref="H53">
    <cfRule type="containsText" dxfId="50" priority="16" stopIfTrue="1" operator="containsText" text="超过">
      <formula>NOT(ISERROR(SEARCH("超过",H53)))</formula>
    </cfRule>
  </conditionalFormatting>
  <conditionalFormatting sqref="F53">
    <cfRule type="containsText" dxfId="49" priority="15" stopIfTrue="1" operator="containsText" text="超过">
      <formula>NOT(ISERROR(SEARCH("超过",F53)))</formula>
    </cfRule>
  </conditionalFormatting>
  <conditionalFormatting sqref="F52 H52 J52">
    <cfRule type="containsText" dxfId="48" priority="14" stopIfTrue="1" operator="containsText" text="超过">
      <formula>NOT(ISERROR(SEARCH("超过",F52)))</formula>
    </cfRule>
  </conditionalFormatting>
  <conditionalFormatting sqref="E51">
    <cfRule type="expression" dxfId="47" priority="13" stopIfTrue="1">
      <formula>$F$51="超过30%"</formula>
    </cfRule>
  </conditionalFormatting>
  <conditionalFormatting sqref="G53">
    <cfRule type="expression" dxfId="46" priority="12" stopIfTrue="1">
      <formula>$H$53="超过30%"</formula>
    </cfRule>
  </conditionalFormatting>
  <conditionalFormatting sqref="E52">
    <cfRule type="expression" dxfId="45" priority="11" stopIfTrue="1">
      <formula>$F$52="超过20%"</formula>
    </cfRule>
  </conditionalFormatting>
  <conditionalFormatting sqref="E53">
    <cfRule type="expression" dxfId="44" priority="10" stopIfTrue="1">
      <formula>$F$53="超过30%"</formula>
    </cfRule>
  </conditionalFormatting>
  <conditionalFormatting sqref="G51">
    <cfRule type="expression" dxfId="43" priority="9" stopIfTrue="1">
      <formula>$H$53+$H$51="超过30%"</formula>
    </cfRule>
  </conditionalFormatting>
  <conditionalFormatting sqref="G52">
    <cfRule type="expression" dxfId="42" priority="8" stopIfTrue="1">
      <formula>$H$52="超过20%"</formula>
    </cfRule>
  </conditionalFormatting>
  <conditionalFormatting sqref="I51">
    <cfRule type="expression" dxfId="41" priority="7" stopIfTrue="1">
      <formula>$J$51="超过30%"</formula>
    </cfRule>
  </conditionalFormatting>
  <conditionalFormatting sqref="I52">
    <cfRule type="expression" dxfId="40" priority="6" stopIfTrue="1">
      <formula>$J$52="超过20%"</formula>
    </cfRule>
  </conditionalFormatting>
  <conditionalFormatting sqref="I53">
    <cfRule type="expression" dxfId="39" priority="5" stopIfTrue="1">
      <formula>$J$53="超过30%"</formula>
    </cfRule>
  </conditionalFormatting>
  <conditionalFormatting sqref="F47">
    <cfRule type="expression" dxfId="38" priority="4">
      <formula>$D$47="简单平均"</formula>
    </cfRule>
  </conditionalFormatting>
  <conditionalFormatting sqref="H47">
    <cfRule type="expression" dxfId="37" priority="3">
      <formula>$D$47="简单平均"</formula>
    </cfRule>
  </conditionalFormatting>
  <conditionalFormatting sqref="J47">
    <cfRule type="expression" dxfId="36" priority="2">
      <formula>$D$47="简单平均"</formula>
    </cfRule>
  </conditionalFormatting>
  <conditionalFormatting sqref="F7:F45 H7:H45 J7:J45">
    <cfRule type="cellIs" dxfId="35"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2438</v>
      </c>
      <c r="B1" s="289"/>
      <c r="C1" s="290" t="s">
        <v>2486</v>
      </c>
      <c r="D1" s="614"/>
      <c r="E1" s="614"/>
      <c r="F1" s="613" t="s">
        <v>2240</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1911</v>
      </c>
      <c r="B2" s="552" t="e">
        <f>F61</f>
        <v>#DIV/0!</v>
      </c>
      <c r="C2" s="612" t="s">
        <v>2440</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1912</v>
      </c>
      <c r="B3" s="495" t="e">
        <f>ROUND(B2/'数据-取费表'!B5,0)</f>
        <v>#DIV/0!</v>
      </c>
      <c r="C3" s="612" t="s">
        <v>2441</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2242</v>
      </c>
      <c r="B4" s="295"/>
      <c r="C4" s="3515" t="s">
        <v>2243</v>
      </c>
      <c r="D4" s="3516"/>
      <c r="E4" s="3517" t="s">
        <v>2244</v>
      </c>
      <c r="F4" s="3518"/>
      <c r="G4" s="3515" t="s">
        <v>2245</v>
      </c>
      <c r="H4" s="3516"/>
      <c r="I4" s="3515" t="s">
        <v>2246</v>
      </c>
      <c r="J4" s="3516"/>
      <c r="K4" s="496" t="s">
        <v>2247</v>
      </c>
      <c r="L4" s="3023"/>
      <c r="M4" s="3024"/>
      <c r="N4" s="3024"/>
      <c r="O4" s="3024"/>
      <c r="P4" s="3519" t="s">
        <v>2248</v>
      </c>
      <c r="Q4" s="3520"/>
      <c r="R4" s="3502" t="s">
        <v>2244</v>
      </c>
      <c r="S4" s="3503"/>
      <c r="T4" s="3502" t="s">
        <v>2245</v>
      </c>
      <c r="U4" s="3503"/>
      <c r="V4" s="3525" t="s">
        <v>2246</v>
      </c>
      <c r="W4" s="3525"/>
      <c r="X4" s="1335"/>
      <c r="Y4" s="3502" t="s">
        <v>2248</v>
      </c>
      <c r="Z4" s="3503"/>
      <c r="AA4" s="3512" t="s">
        <v>2244</v>
      </c>
      <c r="AB4" s="3513" t="s">
        <v>2245</v>
      </c>
      <c r="AC4" s="3512" t="s">
        <v>2246</v>
      </c>
    </row>
    <row r="5" spans="1:29" ht="15">
      <c r="A5" s="297"/>
      <c r="B5" s="298"/>
      <c r="C5" s="3528" t="s">
        <v>2249</v>
      </c>
      <c r="D5" s="3529"/>
      <c r="E5" s="3526" t="s">
        <v>2250</v>
      </c>
      <c r="F5" s="3527"/>
      <c r="G5" s="3528" t="s">
        <v>2251</v>
      </c>
      <c r="H5" s="3529"/>
      <c r="I5" s="3528" t="s">
        <v>2252</v>
      </c>
      <c r="J5" s="3529"/>
      <c r="K5" s="496"/>
      <c r="L5" s="3023"/>
      <c r="M5" s="3024"/>
      <c r="N5" s="3024"/>
      <c r="O5" s="3024"/>
      <c r="P5" s="3521"/>
      <c r="Q5" s="3522"/>
      <c r="R5" s="3504"/>
      <c r="S5" s="3505"/>
      <c r="T5" s="3504"/>
      <c r="U5" s="3505"/>
      <c r="V5" s="3525"/>
      <c r="W5" s="3525"/>
      <c r="X5" s="1335"/>
      <c r="Y5" s="3504"/>
      <c r="Z5" s="3505"/>
      <c r="AA5" s="3513"/>
      <c r="AB5" s="3513"/>
      <c r="AC5" s="3513"/>
    </row>
    <row r="6" spans="1:29" ht="15.75" thickBot="1">
      <c r="A6" s="299"/>
      <c r="B6" s="300"/>
      <c r="C6" s="3530" t="s">
        <v>2253</v>
      </c>
      <c r="D6" s="3531"/>
      <c r="E6" s="3532" t="s">
        <v>2253</v>
      </c>
      <c r="F6" s="3533"/>
      <c r="G6" s="3530" t="s">
        <v>2253</v>
      </c>
      <c r="H6" s="3531"/>
      <c r="I6" s="3530" t="s">
        <v>2253</v>
      </c>
      <c r="J6" s="3531"/>
      <c r="K6" s="496" t="s">
        <v>2254</v>
      </c>
      <c r="L6" s="3023"/>
      <c r="M6" s="3024"/>
      <c r="N6" s="3024"/>
      <c r="O6" s="3024"/>
      <c r="P6" s="3523"/>
      <c r="Q6" s="3524"/>
      <c r="R6" s="3504"/>
      <c r="S6" s="3505"/>
      <c r="T6" s="3506"/>
      <c r="U6" s="3507"/>
      <c r="V6" s="3525"/>
      <c r="W6" s="3525"/>
      <c r="X6" s="1335"/>
      <c r="Y6" s="3506"/>
      <c r="Z6" s="3507"/>
      <c r="AA6" s="3514"/>
      <c r="AB6" s="3514"/>
      <c r="AC6" s="3514"/>
    </row>
    <row r="7" spans="1:29" s="25" customFormat="1" ht="15.75" thickBot="1">
      <c r="A7" s="301" t="s">
        <v>2255</v>
      </c>
      <c r="B7" s="302"/>
      <c r="C7" s="303">
        <f>'数据-取费表'!B2</f>
        <v>44547</v>
      </c>
      <c r="D7" s="304">
        <v>100</v>
      </c>
      <c r="E7" s="305"/>
      <c r="F7" s="306">
        <f>SUMIF(65:65,YEAR(E7)&amp;"-"&amp;INT((MONTH(E7)+2)/3),66:66)</f>
        <v>0</v>
      </c>
      <c r="G7" s="1575"/>
      <c r="H7" s="304">
        <f>SUMIF(65:65,YEAR(G7)&amp;"-"&amp;INT((MONTH(G7)+2)/3),66:66)</f>
        <v>0</v>
      </c>
      <c r="I7" s="1575"/>
      <c r="J7" s="304">
        <f>SUMIF(65:65,YEAR(I7)&amp;"-"&amp;INT((MONTH(I7)+2)/3),66:66)</f>
        <v>0</v>
      </c>
      <c r="K7" s="497"/>
      <c r="L7" s="3025"/>
      <c r="M7" s="3026"/>
      <c r="N7" s="3026"/>
      <c r="O7" s="3026"/>
      <c r="P7" s="3500" t="s">
        <v>2256</v>
      </c>
      <c r="Q7" s="3508"/>
      <c r="R7" s="627" t="s">
        <v>25</v>
      </c>
      <c r="S7" s="628">
        <f t="shared" ref="S7:S15" si="0">F7</f>
        <v>0</v>
      </c>
      <c r="T7" s="627" t="s">
        <v>25</v>
      </c>
      <c r="U7" s="628">
        <f t="shared" ref="U7:U15" si="1">H7</f>
        <v>0</v>
      </c>
      <c r="V7" s="627" t="s">
        <v>25</v>
      </c>
      <c r="W7" s="628">
        <f t="shared" ref="W7:W15" si="2">J7</f>
        <v>0</v>
      </c>
      <c r="X7" s="629"/>
      <c r="Y7" s="3500" t="s">
        <v>2256</v>
      </c>
      <c r="Z7" s="3501"/>
      <c r="AA7" s="630" t="e">
        <f>D7/F7</f>
        <v>#DIV/0!</v>
      </c>
      <c r="AB7" s="630" t="e">
        <f>D7/H7</f>
        <v>#DIV/0!</v>
      </c>
      <c r="AC7" s="630" t="e">
        <f>D7/J7</f>
        <v>#DIV/0!</v>
      </c>
    </row>
    <row r="8" spans="1:29" s="25" customFormat="1" ht="15.75" thickBot="1">
      <c r="A8" s="301" t="s">
        <v>2257</v>
      </c>
      <c r="B8" s="302"/>
      <c r="C8" s="307" t="s">
        <v>2442</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500" t="s">
        <v>2259</v>
      </c>
      <c r="Q8" s="3501"/>
      <c r="R8" s="627" t="s">
        <v>25</v>
      </c>
      <c r="S8" s="628">
        <f t="shared" si="0"/>
        <v>0</v>
      </c>
      <c r="T8" s="627" t="s">
        <v>25</v>
      </c>
      <c r="U8" s="628">
        <f t="shared" si="1"/>
        <v>0</v>
      </c>
      <c r="V8" s="627" t="s">
        <v>25</v>
      </c>
      <c r="W8" s="628">
        <f t="shared" si="2"/>
        <v>0</v>
      </c>
      <c r="X8" s="629"/>
      <c r="Y8" s="3500" t="s">
        <v>2259</v>
      </c>
      <c r="Z8" s="3501"/>
      <c r="AA8" s="630" t="e">
        <f t="shared" ref="AA8:AA40" si="3">D8/F8</f>
        <v>#DIV/0!</v>
      </c>
      <c r="AB8" s="630" t="e">
        <f t="shared" ref="AB8:AB40" si="4">D8/H8</f>
        <v>#DIV/0!</v>
      </c>
      <c r="AC8" s="630" t="e">
        <f t="shared" ref="AC8:AC40" si="5">D8/J8</f>
        <v>#DIV/0!</v>
      </c>
    </row>
    <row r="9" spans="1:29" s="25" customFormat="1">
      <c r="A9" s="308" t="s">
        <v>2260</v>
      </c>
      <c r="B9" s="24" t="s">
        <v>2261</v>
      </c>
      <c r="C9" s="1586" t="s">
        <v>2487</v>
      </c>
      <c r="D9" s="28">
        <v>100</v>
      </c>
      <c r="E9" s="1586"/>
      <c r="F9" s="28">
        <f>SUMIF(70:70,E9,71:71)-SUMIF(70:70,C9,71:71)+100</f>
        <v>100</v>
      </c>
      <c r="G9" s="1586"/>
      <c r="H9" s="28">
        <f>SUMIF(70:70,G9,71:71)-SUMIF(70:70,C9,71:71)+100</f>
        <v>100</v>
      </c>
      <c r="I9" s="1586"/>
      <c r="J9" s="28">
        <f>SUMIF(70:70,I9,71:71)-SUMIF(70:70,C9,71:71)+100</f>
        <v>100</v>
      </c>
      <c r="K9" s="497"/>
      <c r="L9" s="3025"/>
      <c r="M9" s="3026"/>
      <c r="N9" s="3026"/>
      <c r="O9" s="3027"/>
      <c r="P9" s="3492" t="s">
        <v>2262</v>
      </c>
      <c r="Q9" s="1327" t="str">
        <f t="shared" ref="Q9:Q15" si="6">B9</f>
        <v>用途</v>
      </c>
      <c r="R9" s="627" t="s">
        <v>25</v>
      </c>
      <c r="S9" s="628">
        <f t="shared" si="0"/>
        <v>100</v>
      </c>
      <c r="T9" s="627" t="s">
        <v>25</v>
      </c>
      <c r="U9" s="628">
        <f t="shared" si="1"/>
        <v>100</v>
      </c>
      <c r="V9" s="627" t="s">
        <v>25</v>
      </c>
      <c r="W9" s="628">
        <f t="shared" si="2"/>
        <v>100</v>
      </c>
      <c r="X9" s="629"/>
      <c r="Y9" s="3511" t="s">
        <v>2263</v>
      </c>
      <c r="Z9" s="19" t="str">
        <f t="shared" ref="Z9:Z15" si="7">Q9</f>
        <v>用途</v>
      </c>
      <c r="AA9" s="630">
        <f t="shared" si="3"/>
        <v>1</v>
      </c>
      <c r="AB9" s="630">
        <f t="shared" si="4"/>
        <v>1</v>
      </c>
      <c r="AC9" s="630">
        <f t="shared" si="5"/>
        <v>1</v>
      </c>
    </row>
    <row r="10" spans="1:29" s="317" customFormat="1" ht="27">
      <c r="A10" s="312"/>
      <c r="B10" s="313" t="s">
        <v>2264</v>
      </c>
      <c r="C10" s="322"/>
      <c r="D10" s="29">
        <v>100</v>
      </c>
      <c r="E10" s="322"/>
      <c r="F10" s="29">
        <f>ROUND(100/'数据-取费表'!B14,0)</f>
        <v>110</v>
      </c>
      <c r="G10" s="322"/>
      <c r="H10" s="29">
        <f>ROUND(100/'数据-取费表'!B14,0)</f>
        <v>110</v>
      </c>
      <c r="I10" s="322"/>
      <c r="J10" s="29">
        <f>ROUND(100/'数据-取费表'!B14,0)</f>
        <v>110</v>
      </c>
      <c r="K10" s="553"/>
      <c r="L10" s="3028"/>
      <c r="M10" s="3029"/>
      <c r="N10" s="3029"/>
      <c r="O10" s="3030"/>
      <c r="P10" s="3492"/>
      <c r="Q10" s="1327" t="str">
        <f t="shared" si="6"/>
        <v>土地使用年限（年）</v>
      </c>
      <c r="R10" s="627" t="s">
        <v>25</v>
      </c>
      <c r="S10" s="628">
        <f t="shared" si="0"/>
        <v>110</v>
      </c>
      <c r="T10" s="627" t="s">
        <v>25</v>
      </c>
      <c r="U10" s="628">
        <f t="shared" si="1"/>
        <v>110</v>
      </c>
      <c r="V10" s="627" t="s">
        <v>25</v>
      </c>
      <c r="W10" s="628">
        <f t="shared" si="2"/>
        <v>110</v>
      </c>
      <c r="X10" s="629"/>
      <c r="Y10" s="3511"/>
      <c r="Z10" s="19" t="str">
        <f t="shared" si="7"/>
        <v>土地使用年限（年）</v>
      </c>
      <c r="AA10" s="630">
        <f t="shared" si="3"/>
        <v>0.90909090909090906</v>
      </c>
      <c r="AB10" s="630">
        <f t="shared" si="4"/>
        <v>0.90909090909090906</v>
      </c>
      <c r="AC10" s="630">
        <f t="shared" si="5"/>
        <v>0.90909090909090906</v>
      </c>
    </row>
    <row r="11" spans="1:29" ht="15">
      <c r="A11" s="318"/>
      <c r="B11" s="313" t="s">
        <v>2265</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492"/>
      <c r="Q11" s="1327"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492"/>
      <c r="Q14" s="1327">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2266</v>
      </c>
      <c r="B15" s="511" t="s">
        <v>2488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09" t="s">
        <v>2267</v>
      </c>
      <c r="Q15" s="1334" t="str">
        <f t="shared" si="6"/>
        <v>产业集聚程度</v>
      </c>
      <c r="R15" s="631" t="s">
        <v>25</v>
      </c>
      <c r="S15" s="632">
        <f t="shared" si="0"/>
        <v>100</v>
      </c>
      <c r="T15" s="631" t="s">
        <v>25</v>
      </c>
      <c r="U15" s="632">
        <f t="shared" si="1"/>
        <v>100</v>
      </c>
      <c r="V15" s="631" t="s">
        <v>25</v>
      </c>
      <c r="W15" s="632">
        <f t="shared" si="2"/>
        <v>100</v>
      </c>
      <c r="X15" s="1335"/>
      <c r="Y15" s="3509" t="s">
        <v>2267</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10"/>
      <c r="Q16" s="1334"/>
      <c r="R16" s="631"/>
      <c r="S16" s="632"/>
      <c r="T16" s="631"/>
      <c r="U16" s="632"/>
      <c r="V16" s="631"/>
      <c r="W16" s="632"/>
      <c r="X16" s="1335"/>
      <c r="Y16" s="3510"/>
      <c r="Z16" s="1336"/>
      <c r="AA16" s="1337">
        <v>1</v>
      </c>
      <c r="AB16" s="1337">
        <v>1</v>
      </c>
      <c r="AC16" s="1337">
        <v>1</v>
      </c>
    </row>
    <row r="17" spans="1:29" ht="85.5">
      <c r="A17" s="318"/>
      <c r="B17" s="513" t="s">
        <v>2404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10"/>
      <c r="Q17" s="1334" t="str">
        <f>B17</f>
        <v>交通便捷度</v>
      </c>
      <c r="R17" s="631" t="s">
        <v>25</v>
      </c>
      <c r="S17" s="632">
        <f>F17</f>
        <v>100</v>
      </c>
      <c r="T17" s="631" t="s">
        <v>25</v>
      </c>
      <c r="U17" s="632">
        <f>H17</f>
        <v>100</v>
      </c>
      <c r="V17" s="631" t="s">
        <v>25</v>
      </c>
      <c r="W17" s="632">
        <f>J17</f>
        <v>100</v>
      </c>
      <c r="X17" s="1335"/>
      <c r="Y17" s="351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3"/>
      <c r="M18" s="3024"/>
      <c r="N18" s="3024"/>
      <c r="O18" s="3032"/>
      <c r="P18" s="3510"/>
      <c r="Q18" s="1334"/>
      <c r="R18" s="631"/>
      <c r="S18" s="632"/>
      <c r="T18" s="631"/>
      <c r="U18" s="632"/>
      <c r="V18" s="631"/>
      <c r="W18" s="632"/>
      <c r="X18" s="1335"/>
      <c r="Y18" s="3510"/>
      <c r="Z18" s="1336"/>
      <c r="AA18" s="1337">
        <v>1</v>
      </c>
      <c r="AB18" s="1337">
        <v>1</v>
      </c>
      <c r="AC18" s="1337">
        <v>1</v>
      </c>
    </row>
    <row r="19" spans="1:29" ht="15">
      <c r="A19" s="318"/>
      <c r="B19" s="513" t="s">
        <v>2444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10"/>
      <c r="Q19" s="1334" t="str">
        <f t="shared" ref="Q19:Q33" si="8">B19</f>
        <v>区域土地利用方向</v>
      </c>
      <c r="R19" s="631" t="s">
        <v>25</v>
      </c>
      <c r="S19" s="632">
        <f>F19</f>
        <v>100</v>
      </c>
      <c r="T19" s="631" t="s">
        <v>25</v>
      </c>
      <c r="U19" s="632">
        <f>H19</f>
        <v>100</v>
      </c>
      <c r="V19" s="631" t="s">
        <v>25</v>
      </c>
      <c r="W19" s="632">
        <f>J19</f>
        <v>100</v>
      </c>
      <c r="X19" s="1335"/>
      <c r="Y19" s="351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10"/>
      <c r="Q20" s="1334"/>
      <c r="R20" s="631"/>
      <c r="S20" s="632"/>
      <c r="T20" s="631"/>
      <c r="U20" s="632"/>
      <c r="V20" s="631"/>
      <c r="W20" s="632"/>
      <c r="X20" s="1335"/>
      <c r="Y20" s="3510"/>
      <c r="Z20" s="1336"/>
      <c r="AA20" s="1337"/>
      <c r="AB20" s="1337"/>
      <c r="AC20" s="1337"/>
    </row>
    <row r="21" spans="1:29" ht="71.25">
      <c r="A21" s="297"/>
      <c r="B21" s="513" t="s">
        <v>2489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10"/>
      <c r="Q21" s="1334" t="str">
        <f t="shared" si="8"/>
        <v>环境状况</v>
      </c>
      <c r="R21" s="631" t="s">
        <v>25</v>
      </c>
      <c r="S21" s="632">
        <f>F21</f>
        <v>100</v>
      </c>
      <c r="T21" s="631" t="s">
        <v>25</v>
      </c>
      <c r="U21" s="632">
        <f>H21</f>
        <v>100</v>
      </c>
      <c r="V21" s="631" t="s">
        <v>25</v>
      </c>
      <c r="W21" s="632">
        <f>J21</f>
        <v>100</v>
      </c>
      <c r="X21" s="1335"/>
      <c r="Y21" s="351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10"/>
      <c r="Q22" s="1334"/>
      <c r="R22" s="631"/>
      <c r="S22" s="632"/>
      <c r="T22" s="631"/>
      <c r="U22" s="632"/>
      <c r="V22" s="631"/>
      <c r="W22" s="632"/>
      <c r="X22" s="1335"/>
      <c r="Y22" s="3510"/>
      <c r="Z22" s="1336"/>
      <c r="AA22" s="1337">
        <v>1</v>
      </c>
      <c r="AB22" s="1337">
        <v>1</v>
      </c>
      <c r="AC22" s="1337">
        <v>1</v>
      </c>
    </row>
    <row r="23" spans="1:29" s="25" customFormat="1" ht="42.75">
      <c r="A23" s="531"/>
      <c r="B23" s="513" t="s">
        <v>2353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10"/>
      <c r="Q23" s="1327" t="str">
        <f t="shared" si="8"/>
        <v>公共配套设施</v>
      </c>
      <c r="R23" s="627" t="s">
        <v>25</v>
      </c>
      <c r="S23" s="628">
        <f>F23</f>
        <v>100</v>
      </c>
      <c r="T23" s="627" t="s">
        <v>25</v>
      </c>
      <c r="U23" s="628">
        <f>H23</f>
        <v>100</v>
      </c>
      <c r="V23" s="627" t="s">
        <v>25</v>
      </c>
      <c r="W23" s="628">
        <f>J23</f>
        <v>100</v>
      </c>
      <c r="X23" s="629"/>
      <c r="Y23" s="3510"/>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5"/>
      <c r="M24" s="3026"/>
      <c r="N24" s="3026"/>
      <c r="O24" s="3027"/>
      <c r="P24" s="3510"/>
      <c r="Q24" s="1327"/>
      <c r="R24" s="627"/>
      <c r="S24" s="628"/>
      <c r="T24" s="627"/>
      <c r="U24" s="628"/>
      <c r="V24" s="627"/>
      <c r="W24" s="628"/>
      <c r="X24" s="629"/>
      <c r="Y24" s="3510"/>
      <c r="Z24" s="19"/>
      <c r="AA24" s="630">
        <v>1</v>
      </c>
      <c r="AB24" s="630">
        <v>1</v>
      </c>
      <c r="AC24" s="630">
        <v>1</v>
      </c>
    </row>
    <row r="25" spans="1:29" s="25" customFormat="1" ht="28.5">
      <c r="A25" s="531"/>
      <c r="B25" s="515" t="s">
        <v>2354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10"/>
      <c r="Q25" s="1327" t="str">
        <f t="shared" ref="Q25" si="9">B25</f>
        <v>基础设施水平</v>
      </c>
      <c r="R25" s="627" t="s">
        <v>25</v>
      </c>
      <c r="S25" s="628">
        <f>F25</f>
        <v>100</v>
      </c>
      <c r="T25" s="627" t="s">
        <v>25</v>
      </c>
      <c r="U25" s="628">
        <f>H25</f>
        <v>100</v>
      </c>
      <c r="V25" s="627" t="s">
        <v>25</v>
      </c>
      <c r="W25" s="628">
        <f>J25</f>
        <v>100</v>
      </c>
      <c r="X25" s="629"/>
      <c r="Y25" s="3510"/>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5"/>
      <c r="M26" s="3026"/>
      <c r="N26" s="3026"/>
      <c r="O26" s="3027"/>
      <c r="P26" s="3510"/>
      <c r="Q26" s="1327"/>
      <c r="R26" s="627"/>
      <c r="S26" s="628"/>
      <c r="T26" s="627"/>
      <c r="U26" s="628"/>
      <c r="V26" s="627"/>
      <c r="W26" s="628"/>
      <c r="X26" s="629"/>
      <c r="Y26" s="3510"/>
      <c r="Z26" s="19"/>
      <c r="AA26" s="630">
        <v>1</v>
      </c>
      <c r="AB26" s="630">
        <v>1</v>
      </c>
      <c r="AC26" s="630">
        <v>1</v>
      </c>
    </row>
    <row r="27" spans="1:29" ht="15">
      <c r="A27" s="318"/>
      <c r="B27" s="514" t="s">
        <v>2355</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1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0"/>
      <c r="Z27" s="1336" t="str">
        <f t="shared" ref="Z27:Z40" si="13">Q27</f>
        <v>临街状况</v>
      </c>
      <c r="AA27" s="1337">
        <f t="shared" si="3"/>
        <v>1</v>
      </c>
      <c r="AB27" s="1337">
        <f t="shared" si="4"/>
        <v>1</v>
      </c>
      <c r="AC27" s="1337">
        <f t="shared" si="5"/>
        <v>1</v>
      </c>
    </row>
    <row r="28" spans="1:29" ht="27">
      <c r="A28" s="318"/>
      <c r="B28" s="515" t="s">
        <v>2385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10"/>
      <c r="Q28" s="1334" t="str">
        <f t="shared" si="8"/>
        <v>毗邻道路的类型与等级</v>
      </c>
      <c r="R28" s="631" t="s">
        <v>25</v>
      </c>
      <c r="S28" s="632">
        <f t="shared" si="10"/>
        <v>100</v>
      </c>
      <c r="T28" s="631" t="s">
        <v>25</v>
      </c>
      <c r="U28" s="632">
        <f t="shared" si="11"/>
        <v>100</v>
      </c>
      <c r="V28" s="631" t="s">
        <v>25</v>
      </c>
      <c r="W28" s="632">
        <f t="shared" si="12"/>
        <v>100</v>
      </c>
      <c r="X28" s="1335"/>
      <c r="Y28" s="351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10"/>
      <c r="Q29" s="1334"/>
      <c r="R29" s="631"/>
      <c r="S29" s="632"/>
      <c r="T29" s="631"/>
      <c r="U29" s="632"/>
      <c r="V29" s="631"/>
      <c r="W29" s="632"/>
      <c r="X29" s="1335"/>
      <c r="Y29" s="3510"/>
      <c r="Z29" s="1336"/>
      <c r="AA29" s="1337">
        <v>1</v>
      </c>
      <c r="AB29" s="1337">
        <v>1</v>
      </c>
      <c r="AC29" s="1337">
        <v>1</v>
      </c>
    </row>
    <row r="30" spans="1:29" ht="15">
      <c r="A30" s="318"/>
      <c r="B30" s="535" t="s">
        <v>2446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10"/>
      <c r="Q30" s="1334" t="str">
        <f t="shared" si="8"/>
        <v>土地级别</v>
      </c>
      <c r="R30" s="631" t="s">
        <v>25</v>
      </c>
      <c r="S30" s="632">
        <f t="shared" si="10"/>
        <v>100</v>
      </c>
      <c r="T30" s="631" t="s">
        <v>25</v>
      </c>
      <c r="U30" s="632">
        <f t="shared" si="11"/>
        <v>100</v>
      </c>
      <c r="V30" s="631" t="s">
        <v>25</v>
      </c>
      <c r="W30" s="632">
        <f t="shared" si="12"/>
        <v>100</v>
      </c>
      <c r="X30" s="1335"/>
      <c r="Y30" s="3510"/>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10"/>
      <c r="Q31" s="1334">
        <f t="shared" si="8"/>
        <v>111</v>
      </c>
      <c r="R31" s="631" t="s">
        <v>25</v>
      </c>
      <c r="S31" s="632">
        <f t="shared" si="10"/>
        <v>100</v>
      </c>
      <c r="T31" s="631" t="s">
        <v>25</v>
      </c>
      <c r="U31" s="632">
        <f t="shared" si="11"/>
        <v>100</v>
      </c>
      <c r="V31" s="631" t="s">
        <v>25</v>
      </c>
      <c r="W31" s="632">
        <f t="shared" si="12"/>
        <v>100</v>
      </c>
      <c r="X31" s="1335"/>
      <c r="Y31" s="3510"/>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497" t="s">
        <v>2273</v>
      </c>
      <c r="Q32" s="1334">
        <f t="shared" si="8"/>
        <v>111</v>
      </c>
      <c r="R32" s="631" t="s">
        <v>25</v>
      </c>
      <c r="S32" s="632">
        <f t="shared" si="10"/>
        <v>100</v>
      </c>
      <c r="T32" s="631" t="s">
        <v>25</v>
      </c>
      <c r="U32" s="632">
        <f t="shared" si="11"/>
        <v>100</v>
      </c>
      <c r="V32" s="631" t="s">
        <v>25</v>
      </c>
      <c r="W32" s="632">
        <f t="shared" si="12"/>
        <v>100</v>
      </c>
      <c r="X32" s="1335"/>
      <c r="Y32" s="3498" t="s">
        <v>2273</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498"/>
      <c r="Q33" s="1334">
        <f t="shared" si="8"/>
        <v>111</v>
      </c>
      <c r="R33" s="634" t="s">
        <v>25</v>
      </c>
      <c r="S33" s="635">
        <f t="shared" si="10"/>
        <v>100</v>
      </c>
      <c r="T33" s="634" t="s">
        <v>25</v>
      </c>
      <c r="U33" s="635">
        <f t="shared" si="11"/>
        <v>100</v>
      </c>
      <c r="V33" s="634" t="s">
        <v>25</v>
      </c>
      <c r="W33" s="635">
        <f t="shared" si="12"/>
        <v>100</v>
      </c>
      <c r="X33" s="636"/>
      <c r="Y33" s="3498"/>
      <c r="Z33" s="637">
        <f t="shared" si="13"/>
        <v>111</v>
      </c>
      <c r="AA33" s="1337">
        <f t="shared" si="3"/>
        <v>1</v>
      </c>
      <c r="AB33" s="1337">
        <f t="shared" si="4"/>
        <v>1</v>
      </c>
      <c r="AC33" s="1337">
        <f t="shared" si="5"/>
        <v>1</v>
      </c>
    </row>
    <row r="34" spans="1:29" ht="15">
      <c r="A34" s="360" t="s">
        <v>2271</v>
      </c>
      <c r="B34" s="345" t="s">
        <v>2447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498"/>
      <c r="Q34" s="1334" t="str">
        <f>B34</f>
        <v>宗地面积</v>
      </c>
      <c r="R34" s="631" t="s">
        <v>25</v>
      </c>
      <c r="S34" s="632" t="e">
        <f t="shared" si="10"/>
        <v>#N/A</v>
      </c>
      <c r="T34" s="631" t="s">
        <v>25</v>
      </c>
      <c r="U34" s="632" t="e">
        <f t="shared" si="11"/>
        <v>#N/A</v>
      </c>
      <c r="V34" s="631" t="s">
        <v>25</v>
      </c>
      <c r="W34" s="632" t="e">
        <f t="shared" si="12"/>
        <v>#N/A</v>
      </c>
      <c r="X34" s="1335"/>
      <c r="Y34" s="3498"/>
      <c r="Z34" s="1336" t="str">
        <f t="shared" si="13"/>
        <v>宗地面积</v>
      </c>
      <c r="AA34" s="1337" t="e">
        <f t="shared" si="3"/>
        <v>#N/A</v>
      </c>
      <c r="AB34" s="1337" t="e">
        <f t="shared" si="4"/>
        <v>#N/A</v>
      </c>
      <c r="AC34" s="1337" t="e">
        <f t="shared" si="5"/>
        <v>#N/A</v>
      </c>
    </row>
    <row r="35" spans="1:29" ht="15">
      <c r="A35" s="360"/>
      <c r="B35" s="313" t="s">
        <v>2448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3"/>
      <c r="M35" s="3024"/>
      <c r="N35" s="3024"/>
      <c r="O35" s="3032"/>
      <c r="P35" s="3498"/>
      <c r="Q35" s="1334" t="str">
        <f t="shared" ref="Q35:Q40" si="14">B35</f>
        <v>宗地形状</v>
      </c>
      <c r="R35" s="631" t="s">
        <v>25</v>
      </c>
      <c r="S35" s="632">
        <f t="shared" si="10"/>
        <v>100</v>
      </c>
      <c r="T35" s="631" t="s">
        <v>25</v>
      </c>
      <c r="U35" s="632">
        <f t="shared" si="11"/>
        <v>100</v>
      </c>
      <c r="V35" s="631" t="s">
        <v>25</v>
      </c>
      <c r="W35" s="632">
        <f t="shared" si="12"/>
        <v>100</v>
      </c>
      <c r="X35" s="1335"/>
      <c r="Y35" s="3498"/>
      <c r="Z35" s="1336" t="str">
        <f t="shared" si="13"/>
        <v>宗地形状</v>
      </c>
      <c r="AA35" s="1337">
        <f t="shared" si="3"/>
        <v>1</v>
      </c>
      <c r="AB35" s="1337">
        <f t="shared" si="4"/>
        <v>1</v>
      </c>
      <c r="AC35" s="1337">
        <f t="shared" si="5"/>
        <v>1</v>
      </c>
    </row>
    <row r="36" spans="1:29" s="25" customFormat="1" ht="15">
      <c r="A36" s="361"/>
      <c r="B36" s="313" t="s">
        <v>2450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5"/>
      <c r="M36" s="3026"/>
      <c r="N36" s="3026"/>
      <c r="O36" s="3027"/>
      <c r="P36" s="3498"/>
      <c r="Q36" s="1334" t="str">
        <f t="shared" si="14"/>
        <v>宗地开发程度</v>
      </c>
      <c r="R36" s="627" t="s">
        <v>25</v>
      </c>
      <c r="S36" s="628">
        <f t="shared" si="10"/>
        <v>100</v>
      </c>
      <c r="T36" s="627" t="s">
        <v>25</v>
      </c>
      <c r="U36" s="628">
        <f t="shared" si="11"/>
        <v>100</v>
      </c>
      <c r="V36" s="627" t="s">
        <v>25</v>
      </c>
      <c r="W36" s="628">
        <f t="shared" si="12"/>
        <v>100</v>
      </c>
      <c r="X36" s="629"/>
      <c r="Y36" s="3498"/>
      <c r="Z36" s="19" t="str">
        <f t="shared" si="13"/>
        <v>宗地开发程度</v>
      </c>
      <c r="AA36" s="630">
        <f t="shared" si="3"/>
        <v>1</v>
      </c>
      <c r="AB36" s="630">
        <f t="shared" si="4"/>
        <v>1</v>
      </c>
      <c r="AC36" s="630">
        <f t="shared" si="5"/>
        <v>1</v>
      </c>
    </row>
    <row r="37" spans="1:29" ht="15">
      <c r="A37" s="360"/>
      <c r="B37" s="313" t="s">
        <v>2451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3"/>
      <c r="M37" s="3024"/>
      <c r="N37" s="3024"/>
      <c r="O37" s="3032"/>
      <c r="P37" s="3498" t="s">
        <v>2273</v>
      </c>
      <c r="Q37" s="1334" t="str">
        <f t="shared" si="14"/>
        <v>工程地质条件</v>
      </c>
      <c r="R37" s="631" t="s">
        <v>25</v>
      </c>
      <c r="S37" s="632">
        <f t="shared" si="10"/>
        <v>100</v>
      </c>
      <c r="T37" s="631" t="s">
        <v>25</v>
      </c>
      <c r="U37" s="632">
        <f t="shared" si="11"/>
        <v>100</v>
      </c>
      <c r="V37" s="631" t="s">
        <v>25</v>
      </c>
      <c r="W37" s="632">
        <f t="shared" si="12"/>
        <v>100</v>
      </c>
      <c r="X37" s="1335"/>
      <c r="Y37" s="3498" t="s">
        <v>2273</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498"/>
      <c r="Q38" s="1334">
        <f t="shared" si="14"/>
        <v>111</v>
      </c>
      <c r="R38" s="631" t="s">
        <v>25</v>
      </c>
      <c r="S38" s="632">
        <f t="shared" si="10"/>
        <v>100</v>
      </c>
      <c r="T38" s="631" t="s">
        <v>25</v>
      </c>
      <c r="U38" s="632">
        <f t="shared" si="11"/>
        <v>100</v>
      </c>
      <c r="V38" s="631" t="s">
        <v>25</v>
      </c>
      <c r="W38" s="632">
        <f t="shared" si="12"/>
        <v>100</v>
      </c>
      <c r="X38" s="1335"/>
      <c r="Y38" s="349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498"/>
      <c r="Q39" s="1334">
        <f t="shared" si="14"/>
        <v>111</v>
      </c>
      <c r="R39" s="631" t="s">
        <v>25</v>
      </c>
      <c r="S39" s="632">
        <f t="shared" si="10"/>
        <v>100</v>
      </c>
      <c r="T39" s="631" t="s">
        <v>25</v>
      </c>
      <c r="U39" s="632">
        <f t="shared" si="11"/>
        <v>100</v>
      </c>
      <c r="V39" s="631" t="s">
        <v>25</v>
      </c>
      <c r="W39" s="632">
        <f t="shared" si="12"/>
        <v>100</v>
      </c>
      <c r="X39" s="1335"/>
      <c r="Y39" s="349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498"/>
      <c r="Q40" s="1334">
        <f t="shared" si="14"/>
        <v>111</v>
      </c>
      <c r="R40" s="634" t="s">
        <v>25</v>
      </c>
      <c r="S40" s="635">
        <f t="shared" si="10"/>
        <v>100</v>
      </c>
      <c r="T40" s="634" t="s">
        <v>25</v>
      </c>
      <c r="U40" s="635">
        <f t="shared" si="11"/>
        <v>100</v>
      </c>
      <c r="V40" s="634" t="s">
        <v>25</v>
      </c>
      <c r="W40" s="635">
        <f t="shared" si="12"/>
        <v>100</v>
      </c>
      <c r="X40" s="636"/>
      <c r="Y40" s="3498"/>
      <c r="Z40" s="637">
        <f t="shared" si="13"/>
        <v>111</v>
      </c>
      <c r="AA40" s="1337">
        <f t="shared" si="3"/>
        <v>1</v>
      </c>
      <c r="AB40" s="1337">
        <f t="shared" si="4"/>
        <v>1</v>
      </c>
      <c r="AC40" s="1337">
        <f t="shared" si="5"/>
        <v>1</v>
      </c>
    </row>
    <row r="41" spans="1:29" ht="15">
      <c r="A41" s="367" t="s">
        <v>2415</v>
      </c>
      <c r="B41" s="1591" t="s">
        <v>2490</v>
      </c>
      <c r="C41" s="562" t="s">
        <v>1</v>
      </c>
      <c r="D41" s="369"/>
      <c r="E41" s="370"/>
      <c r="F41" s="371"/>
      <c r="G41" s="372"/>
      <c r="H41" s="373"/>
      <c r="I41" s="370"/>
      <c r="J41" s="373"/>
      <c r="K41" s="640"/>
      <c r="L41" s="3035"/>
      <c r="M41" s="3024"/>
      <c r="N41" s="3024"/>
      <c r="P41" s="3492" t="str">
        <f>A41</f>
        <v>成交单价</v>
      </c>
      <c r="Q41" s="3492"/>
      <c r="R41" s="3525">
        <f>E41</f>
        <v>0</v>
      </c>
      <c r="S41" s="3525"/>
      <c r="T41" s="3525">
        <f>G41</f>
        <v>0</v>
      </c>
      <c r="U41" s="3525"/>
      <c r="V41" s="3525">
        <f>I41</f>
        <v>0</v>
      </c>
      <c r="W41" s="3525"/>
      <c r="X41" s="618"/>
      <c r="Y41" s="638"/>
      <c r="Z41" s="618"/>
      <c r="AA41" s="618"/>
      <c r="AB41" s="618"/>
      <c r="AC41" s="618"/>
    </row>
    <row r="42" spans="1:29" ht="15.75" thickBot="1">
      <c r="A42" s="374" t="s">
        <v>2368</v>
      </c>
      <c r="B42" s="563"/>
      <c r="C42" s="377" t="e">
        <f>R43</f>
        <v>#DIV/0!</v>
      </c>
      <c r="D42" s="1797" t="s">
        <v>2740</v>
      </c>
      <c r="E42" s="377" t="e">
        <f>R42</f>
        <v>#DIV/0!</v>
      </c>
      <c r="F42" s="1799"/>
      <c r="G42" s="376" t="e">
        <f>T42</f>
        <v>#DIV/0!</v>
      </c>
      <c r="H42" s="1799"/>
      <c r="I42" s="377" t="e">
        <f>V42</f>
        <v>#DIV/0!</v>
      </c>
      <c r="J42" s="1799"/>
      <c r="K42" s="2511">
        <f>F42+H42+J42</f>
        <v>0</v>
      </c>
      <c r="L42" s="3035"/>
      <c r="M42" s="3024"/>
      <c r="N42" s="3024"/>
      <c r="P42" s="3492" t="str">
        <f>A42</f>
        <v>比较价值（元/平方米）</v>
      </c>
      <c r="Q42" s="3492"/>
      <c r="R42" s="3537" t="e">
        <f>ROUND(PRODUCT(R41,AA7:AA40),0)</f>
        <v>#DIV/0!</v>
      </c>
      <c r="S42" s="3537"/>
      <c r="T42" s="3537" t="e">
        <f>ROUND(PRODUCT(T41,AB7:AB40),0)</f>
        <v>#DIV/0!</v>
      </c>
      <c r="U42" s="3537"/>
      <c r="V42" s="3537" t="e">
        <f>ROUND(PRODUCT(V41,AC7:AC40),0)</f>
        <v>#DIV/0!</v>
      </c>
      <c r="W42" s="3537"/>
      <c r="X42" s="618"/>
      <c r="Y42" s="618"/>
      <c r="Z42" s="618"/>
      <c r="AA42" s="618"/>
      <c r="AB42" s="618"/>
      <c r="AC42" s="618"/>
    </row>
    <row r="43" spans="1:29" ht="15.75" thickBot="1">
      <c r="A43" s="378" t="s">
        <v>2391</v>
      </c>
      <c r="B43" s="379"/>
      <c r="C43" s="380" t="e">
        <f>R43</f>
        <v>#DIV/0!</v>
      </c>
      <c r="D43" s="380"/>
      <c r="E43" s="380"/>
      <c r="F43" s="380"/>
      <c r="G43" s="380"/>
      <c r="H43" s="380"/>
      <c r="I43" s="380"/>
      <c r="J43" s="380"/>
      <c r="K43" s="641"/>
      <c r="L43" s="3035"/>
      <c r="M43" s="3024"/>
      <c r="N43" s="3024"/>
      <c r="P43" s="3494" t="str">
        <f>A43</f>
        <v>估价对象XX用房的比较价值（楼面单价，元/平方米）</v>
      </c>
      <c r="Q43" s="3495"/>
      <c r="R43" s="3536" t="e">
        <f>ROUND(IF(D42="简单平均",AVERAGE(R42:W42),R42*F42+T42*H42+V42*J42),0)</f>
        <v>#DIV/0!</v>
      </c>
      <c r="S43" s="3536"/>
      <c r="T43" s="3536"/>
      <c r="U43" s="3536"/>
      <c r="V43" s="3536"/>
      <c r="W43" s="3536"/>
      <c r="X43" s="618"/>
      <c r="Y43" s="618"/>
      <c r="Z43" s="618"/>
      <c r="AA43" s="618"/>
      <c r="AB43" s="618"/>
      <c r="AC43" s="618"/>
    </row>
    <row r="44" spans="1:29">
      <c r="G44" s="3038"/>
      <c r="M44" s="3024"/>
      <c r="N44" s="3024"/>
    </row>
    <row r="45" spans="1:29">
      <c r="M45" s="3024"/>
      <c r="N45" s="3024"/>
    </row>
    <row r="46" spans="1:29" ht="13.5" customHeight="1">
      <c r="C46" s="383" t="s">
        <v>2370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2453</v>
      </c>
      <c r="B50" s="565" t="s">
        <v>2454</v>
      </c>
      <c r="C50" s="1592" t="s">
        <v>2455</v>
      </c>
      <c r="D50" s="1593" t="s">
        <v>2456</v>
      </c>
      <c r="E50" s="566" t="s">
        <v>2457</v>
      </c>
      <c r="F50" s="567" t="s">
        <v>2458</v>
      </c>
      <c r="G50" s="1336" t="s">
        <v>2491</v>
      </c>
      <c r="H50" s="1336" t="str">
        <f>项目基本情况!G8</f>
        <v>XX</v>
      </c>
      <c r="I50" s="1310" t="s">
        <v>2460</v>
      </c>
      <c r="J50" s="958"/>
      <c r="K50" s="956"/>
    </row>
    <row r="51" spans="1:17" s="572" customFormat="1">
      <c r="A51" s="568" t="s">
        <v>2461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2462</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2463</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2464</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2465</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2466</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2467</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2468</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2469</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2470</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2471</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2021-12-1</v>
      </c>
      <c r="D63" s="1182">
        <f>EDATE(C63,-3)</f>
        <v>44440</v>
      </c>
      <c r="E63" s="1182">
        <f t="shared" ref="E63:O63" si="18">EDATE(D63,-3)</f>
        <v>44348</v>
      </c>
      <c r="F63" s="1182">
        <f t="shared" si="18"/>
        <v>44256</v>
      </c>
      <c r="G63" s="1182">
        <f t="shared" si="18"/>
        <v>44166</v>
      </c>
      <c r="H63" s="1182">
        <f t="shared" si="18"/>
        <v>44075</v>
      </c>
      <c r="I63" s="1182">
        <f t="shared" si="18"/>
        <v>43983</v>
      </c>
      <c r="J63" s="1182">
        <f t="shared" si="18"/>
        <v>43891</v>
      </c>
      <c r="K63" s="1182">
        <f t="shared" si="18"/>
        <v>43800</v>
      </c>
      <c r="L63" s="1182">
        <f t="shared" si="18"/>
        <v>43709</v>
      </c>
      <c r="M63" s="1182">
        <f t="shared" si="18"/>
        <v>43617</v>
      </c>
      <c r="N63" s="1182">
        <f t="shared" si="18"/>
        <v>43525</v>
      </c>
      <c r="O63" s="1182">
        <f t="shared" si="18"/>
        <v>43435</v>
      </c>
    </row>
    <row r="64" spans="1:17" ht="21.75" thickBot="1">
      <c r="A64" s="620" t="s">
        <v>2373</v>
      </c>
      <c r="B64" s="618"/>
      <c r="C64" s="621"/>
      <c r="D64" s="621"/>
      <c r="E64" s="621"/>
      <c r="F64" s="622"/>
      <c r="G64" s="622"/>
      <c r="H64" s="621"/>
      <c r="I64" s="963"/>
      <c r="J64" s="963"/>
      <c r="K64" s="961"/>
      <c r="L64" s="962"/>
      <c r="M64" s="963"/>
      <c r="N64" s="963"/>
      <c r="O64" s="963"/>
      <c r="P64" s="389"/>
      <c r="Q64" s="390"/>
    </row>
    <row r="65" spans="1:17" s="394" customFormat="1" ht="15">
      <c r="A65" s="1595" t="s">
        <v>2472</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2492</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2293</v>
      </c>
      <c r="B67" s="401"/>
      <c r="C67" s="402"/>
      <c r="D67" s="403"/>
      <c r="E67" s="403"/>
      <c r="F67" s="403"/>
      <c r="G67" s="403"/>
      <c r="H67" s="403"/>
      <c r="I67" s="403"/>
      <c r="J67" s="403"/>
      <c r="K67" s="403"/>
      <c r="L67" s="403"/>
      <c r="M67" s="404"/>
      <c r="N67" s="403"/>
      <c r="O67" s="1185"/>
      <c r="P67" s="390"/>
      <c r="Q67" s="390"/>
    </row>
    <row r="68" spans="1:17" s="25" customFormat="1" ht="15">
      <c r="A68" s="406" t="s">
        <v>2257</v>
      </c>
      <c r="B68" s="396"/>
      <c r="C68" s="407" t="s">
        <v>2258</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2296</v>
      </c>
      <c r="B70" s="413" t="s">
        <v>2261</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2264</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2265</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2266</v>
      </c>
      <c r="B83" s="413" t="s">
        <v>2400</v>
      </c>
      <c r="C83" s="461" t="s">
        <v>2305</v>
      </c>
      <c r="D83" s="461" t="s">
        <v>2306</v>
      </c>
      <c r="E83" s="461" t="s">
        <v>2307</v>
      </c>
      <c r="F83" s="461" t="s">
        <v>2308</v>
      </c>
      <c r="G83" s="461" t="s">
        <v>2309</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2310</v>
      </c>
      <c r="C85" s="466" t="s">
        <v>2305</v>
      </c>
      <c r="D85" s="466" t="s">
        <v>2306</v>
      </c>
      <c r="E85" s="466" t="s">
        <v>2307</v>
      </c>
      <c r="F85" s="466" t="s">
        <v>2308</v>
      </c>
      <c r="G85" s="466" t="s">
        <v>2309</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2475</v>
      </c>
      <c r="C87" s="461" t="s">
        <v>2305</v>
      </c>
      <c r="D87" s="461" t="s">
        <v>2306</v>
      </c>
      <c r="E87" s="461" t="s">
        <v>2307</v>
      </c>
      <c r="F87" s="461" t="s">
        <v>2308</v>
      </c>
      <c r="G87" s="461" t="s">
        <v>2309</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2476</v>
      </c>
      <c r="C89" s="461" t="s">
        <v>2305</v>
      </c>
      <c r="D89" s="461" t="s">
        <v>2306</v>
      </c>
      <c r="E89" s="461" t="s">
        <v>2307</v>
      </c>
      <c r="F89" s="461" t="s">
        <v>2308</v>
      </c>
      <c r="G89" s="461" t="s">
        <v>2309</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2353</v>
      </c>
      <c r="C91" s="461" t="s">
        <v>2305</v>
      </c>
      <c r="D91" s="461" t="s">
        <v>2306</v>
      </c>
      <c r="E91" s="461" t="s">
        <v>2307</v>
      </c>
      <c r="F91" s="461" t="s">
        <v>2308</v>
      </c>
      <c r="G91" s="461" t="s">
        <v>2309</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2354</v>
      </c>
      <c r="C93" s="426" t="s">
        <v>2312</v>
      </c>
      <c r="D93" s="426" t="s">
        <v>2313</v>
      </c>
      <c r="E93" s="426" t="s">
        <v>2314</v>
      </c>
      <c r="F93" s="426" t="s">
        <v>2315</v>
      </c>
      <c r="G93" s="426" t="s">
        <v>2316</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2477</v>
      </c>
      <c r="D95" s="426" t="s">
        <v>2478</v>
      </c>
      <c r="E95" s="426" t="s">
        <v>2479</v>
      </c>
      <c r="F95" s="426" t="s">
        <v>2480</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2385</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2446</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2271</v>
      </c>
      <c r="B107" s="413" t="s">
        <v>2481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2482</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2484</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2485</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4" priority="18" stopIfTrue="1" operator="containsText" text="超过">
      <formula>NOT(ISERROR(SEARCH("超过",F46)))</formula>
    </cfRule>
  </conditionalFormatting>
  <conditionalFormatting sqref="J48">
    <cfRule type="containsText" dxfId="33" priority="17" stopIfTrue="1" operator="containsText" text="超过">
      <formula>NOT(ISERROR(SEARCH("超过",J48)))</formula>
    </cfRule>
  </conditionalFormatting>
  <conditionalFormatting sqref="H48">
    <cfRule type="containsText" dxfId="32" priority="16" stopIfTrue="1" operator="containsText" text="超过">
      <formula>NOT(ISERROR(SEARCH("超过",H48)))</formula>
    </cfRule>
  </conditionalFormatting>
  <conditionalFormatting sqref="F48">
    <cfRule type="containsText" dxfId="31" priority="15" stopIfTrue="1" operator="containsText" text="超过">
      <formula>NOT(ISERROR(SEARCH("超过",F48)))</formula>
    </cfRule>
  </conditionalFormatting>
  <conditionalFormatting sqref="F47 H47 J47">
    <cfRule type="containsText" dxfId="30" priority="14" stopIfTrue="1" operator="containsText" text="超过">
      <formula>NOT(ISERROR(SEARCH("超过",F47)))</formula>
    </cfRule>
  </conditionalFormatting>
  <conditionalFormatting sqref="E46">
    <cfRule type="expression" dxfId="29" priority="13" stopIfTrue="1">
      <formula>$F$46="超过30%"</formula>
    </cfRule>
  </conditionalFormatting>
  <conditionalFormatting sqref="G48">
    <cfRule type="expression" dxfId="28" priority="12" stopIfTrue="1">
      <formula>$H$48="超过30%"</formula>
    </cfRule>
  </conditionalFormatting>
  <conditionalFormatting sqref="E48">
    <cfRule type="expression" dxfId="27" priority="10" stopIfTrue="1">
      <formula>$F$48="超过30%"</formula>
    </cfRule>
  </conditionalFormatting>
  <conditionalFormatting sqref="G46">
    <cfRule type="expression" dxfId="26" priority="9" stopIfTrue="1">
      <formula>$H$46="超过30%"</formula>
    </cfRule>
  </conditionalFormatting>
  <conditionalFormatting sqref="G47">
    <cfRule type="expression" dxfId="25" priority="8" stopIfTrue="1">
      <formula>$H$47="超过20%"</formula>
    </cfRule>
  </conditionalFormatting>
  <conditionalFormatting sqref="I46">
    <cfRule type="expression" dxfId="24" priority="7" stopIfTrue="1">
      <formula>$J$46="超过30%"</formula>
    </cfRule>
  </conditionalFormatting>
  <conditionalFormatting sqref="I47">
    <cfRule type="expression" dxfId="23" priority="6" stopIfTrue="1">
      <formula>$J$47="超过20%"</formula>
    </cfRule>
  </conditionalFormatting>
  <conditionalFormatting sqref="I48">
    <cfRule type="expression" dxfId="22" priority="5" stopIfTrue="1">
      <formula>$J$48="超过30%"</formula>
    </cfRule>
  </conditionalFormatting>
  <conditionalFormatting sqref="E47">
    <cfRule type="expression" dxfId="21" priority="27" stopIfTrue="1">
      <formula>$J$54+$F$47="超过20%"</formula>
    </cfRule>
  </conditionalFormatting>
  <conditionalFormatting sqref="F42">
    <cfRule type="expression" dxfId="20" priority="4">
      <formula>$D$42="简单平均"</formula>
    </cfRule>
  </conditionalFormatting>
  <conditionalFormatting sqref="H42">
    <cfRule type="expression" dxfId="19" priority="3">
      <formula>$D$42="简单平均"</formula>
    </cfRule>
  </conditionalFormatting>
  <conditionalFormatting sqref="J42">
    <cfRule type="expression" dxfId="18" priority="2">
      <formula>$D$42="简单平均"</formula>
    </cfRule>
  </conditionalFormatting>
  <conditionalFormatting sqref="F7:F40 H7:H40 J7:J40">
    <cfRule type="cellIs" dxfId="17"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估价对象为北京市房地产，为XX所有。根据《》[]，估价对象建筑面积为1642.01平方米。根据《》[]，估价对象（分摊）出让国有建设用地使用权面积为平方米。估价对象用途为。</v>
      </c>
      <c r="B6" s="1349"/>
      <c r="C6" s="1349"/>
      <c r="D6" s="1349"/>
      <c r="E6" s="1349"/>
      <c r="F6" s="1349"/>
      <c r="G6" s="1349"/>
    </row>
    <row r="7" spans="1:7" ht="18.75">
      <c r="A7" s="1350" t="s">
        <v>1256</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2021年12月17日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本次估价的“房地产价值”是指在正常市场情况下，在价值时点2021年12月17日，估价对象规划用途为，假定未设立法定优先受偿款下的房地产市场价值。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1" sqref="E21"/>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2493</v>
      </c>
      <c r="B1" s="2098"/>
      <c r="C1" s="2099" t="s">
        <v>2494</v>
      </c>
      <c r="D1" s="2100">
        <f>SUM(D29:D30,D33:D39)</f>
        <v>1642.01</v>
      </c>
      <c r="E1" s="2100"/>
      <c r="F1" s="2100"/>
      <c r="G1" s="2100"/>
      <c r="H1" s="2100"/>
      <c r="I1" s="2100"/>
      <c r="J1" s="2100"/>
      <c r="K1" s="3048"/>
      <c r="L1" s="2101" t="s">
        <v>2495</v>
      </c>
      <c r="M1" s="2102">
        <f>SUMPRODUCT((区片价!B5:B9=I2)*(区片价!C3:F3=E2)*(区片价!C5:F9))</f>
        <v>0</v>
      </c>
      <c r="N1" s="2103">
        <f>SUMPRODUCT((因素修正幅度!B5:B9=I2)*(因素修正幅度!C3:F3=E2)*(因素修正幅度!C5:F9))</f>
        <v>0</v>
      </c>
      <c r="O1" s="3048"/>
      <c r="P1" s="3048"/>
      <c r="Q1" s="3048"/>
      <c r="R1" s="2104" t="s">
        <v>2496</v>
      </c>
      <c r="S1" s="2104" t="s">
        <v>2497</v>
      </c>
      <c r="T1" s="2104" t="s">
        <v>2498</v>
      </c>
      <c r="U1" s="2104" t="s">
        <v>2499</v>
      </c>
      <c r="V1" s="2104" t="s">
        <v>2500</v>
      </c>
      <c r="W1" s="2105"/>
      <c r="X1" s="2105"/>
      <c r="Y1" s="2105"/>
      <c r="Z1" s="2105"/>
      <c r="AA1" s="2105"/>
      <c r="AB1" s="2105"/>
      <c r="AC1" s="2105"/>
      <c r="AD1" s="2106"/>
      <c r="AE1" s="2106"/>
      <c r="AF1" s="2106"/>
      <c r="AG1" s="2106"/>
      <c r="AH1" s="2106"/>
      <c r="AI1" s="2106"/>
      <c r="AJ1" s="2107"/>
    </row>
    <row r="2" spans="1:36" ht="24.75">
      <c r="A2" s="1961" t="s">
        <v>2501</v>
      </c>
      <c r="B2" s="1659">
        <f>C26</f>
        <v>0</v>
      </c>
      <c r="C2" s="2108" t="s">
        <v>2502</v>
      </c>
      <c r="D2" s="1602" t="s">
        <v>2503</v>
      </c>
      <c r="E2" s="2109" t="s">
        <v>2883</v>
      </c>
      <c r="F2" s="1602" t="s">
        <v>2504</v>
      </c>
      <c r="G2" s="2110">
        <f>项目基本情况!F9</f>
        <v>0</v>
      </c>
      <c r="H2" s="1603" t="s">
        <v>2505</v>
      </c>
      <c r="I2" s="2110">
        <f>项目基本情况!F10</f>
        <v>0</v>
      </c>
      <c r="J2" s="2111"/>
      <c r="K2" s="3048"/>
      <c r="L2" s="2112" t="s">
        <v>2506</v>
      </c>
      <c r="M2" s="2113">
        <f>SUMPRODUCT((区片价!B10:B28=I2)*(区片价!C3:F3=E2)*(区片价!C10:F28))</f>
        <v>0</v>
      </c>
      <c r="N2" s="2114">
        <f>SUMPRODUCT((因素修正幅度!B10:B28=I2)*(因素修正幅度!C3:F3=E2)*(因素修正幅度!C10:F28))</f>
        <v>0</v>
      </c>
      <c r="O2" s="3048"/>
      <c r="P2" s="3048"/>
      <c r="Q2" s="3048"/>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25.5">
      <c r="A3" s="1659" t="s">
        <v>2507</v>
      </c>
      <c r="B3" s="1659">
        <f>ROUND(B2/D1,0)</f>
        <v>0</v>
      </c>
      <c r="C3" s="2108" t="s">
        <v>2508</v>
      </c>
      <c r="D3" s="1602" t="s">
        <v>2509</v>
      </c>
      <c r="E3" s="2109" t="s">
        <v>2885</v>
      </c>
      <c r="F3" s="1604" t="s">
        <v>2510</v>
      </c>
      <c r="G3" s="2116">
        <f>项目基本情况!C15</f>
        <v>0</v>
      </c>
      <c r="H3" s="50" t="s">
        <v>2511</v>
      </c>
      <c r="I3" s="2117"/>
      <c r="J3" s="2111" t="s">
        <v>2512</v>
      </c>
      <c r="K3" s="3048"/>
      <c r="L3" s="2112" t="s">
        <v>2513</v>
      </c>
      <c r="M3" s="2113">
        <f>SUMPRODUCT((区片价!B29:B48=I2)*(区片价!C3:F3=E2)*(区片价!C29:F48))</f>
        <v>0</v>
      </c>
      <c r="N3" s="2114">
        <f>SUMPRODUCT((因素修正幅度!B29:B48=I2)*(因素修正幅度!C3:F3=E2)*(因素修正幅度!C29:F48))</f>
        <v>0</v>
      </c>
      <c r="O3" s="3048"/>
      <c r="P3" s="3048"/>
      <c r="Q3" s="3048"/>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40"/>
      <c r="B4" s="3541"/>
      <c r="C4" s="3541"/>
      <c r="D4" s="3542"/>
      <c r="E4" s="3542"/>
      <c r="F4" s="3542"/>
      <c r="G4" s="3542"/>
      <c r="H4" s="3542"/>
      <c r="I4" s="3542"/>
      <c r="J4" s="3543"/>
      <c r="K4" s="3048"/>
      <c r="L4" s="2112" t="s">
        <v>2514</v>
      </c>
      <c r="M4" s="2113">
        <f>SUMPRODUCT((区片价!B49:B75=I2)*(区片价!C3:F3=E2)*(区片价!C49:F75))</f>
        <v>0</v>
      </c>
      <c r="N4" s="2114">
        <f>SUMPRODUCT((因素修正幅度!B49:B75=I2)*(因素修正幅度!C3:F3=E2)*(因素修正幅度!C49:F75))</f>
        <v>0</v>
      </c>
      <c r="O4" s="3048"/>
      <c r="P4" s="3048"/>
      <c r="Q4" s="3048"/>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2515</v>
      </c>
      <c r="B5" s="1605" t="s">
        <v>2516</v>
      </c>
      <c r="C5" s="2118">
        <f>ROUND(IF(E2="商业",C6*C7+C16,(IF(E2="住宅",C6*C12+C16,C6+C16))),0)</f>
        <v>0</v>
      </c>
      <c r="D5" s="2119">
        <f>ROUND(C6+C16,0)</f>
        <v>0</v>
      </c>
      <c r="E5" s="2119"/>
      <c r="F5" s="2120"/>
      <c r="G5" s="2121"/>
      <c r="H5" s="2121"/>
      <c r="I5" s="2121"/>
      <c r="J5" s="2078"/>
      <c r="K5" s="1667"/>
      <c r="L5" s="2112" t="s">
        <v>2517</v>
      </c>
      <c r="M5" s="2113">
        <f>SUMPRODUCT((区片价!B76:B109=I2)*(区片价!C3:F3=E2)*(区片价!C76:F109))</f>
        <v>0</v>
      </c>
      <c r="N5" s="2114">
        <f>SUMPRODUCT((因素修正幅度!B76:B109=I2)*(因素修正幅度!C3:F3=E2)*(因素修正幅度!C76:F109))</f>
        <v>0</v>
      </c>
      <c r="O5" s="3048"/>
      <c r="P5" s="3048"/>
      <c r="Q5" s="3048"/>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2518</v>
      </c>
      <c r="C6" s="2127">
        <f>SUMIF(L1:L12,G2,M1:M12)</f>
        <v>0</v>
      </c>
      <c r="D6" s="2128" t="s">
        <v>2519</v>
      </c>
      <c r="E6" s="1606"/>
      <c r="F6" s="1606"/>
      <c r="G6" s="2129"/>
      <c r="H6" s="2129"/>
      <c r="I6" s="2129"/>
      <c r="J6" s="2130"/>
      <c r="K6" s="3049"/>
      <c r="L6" s="2112" t="s">
        <v>2520</v>
      </c>
      <c r="M6" s="2113">
        <f>SUMPRODUCT((区片价!B110:B157=I2)*(区片价!C3:F3=E2)*(区片价!C110:F157))</f>
        <v>0</v>
      </c>
      <c r="N6" s="2114">
        <f>SUMPRODUCT((因素修正幅度!B110:B157=I2)*(因素修正幅度!C3:F3=E2)*(因素修正幅度!C110:F157))</f>
        <v>0</v>
      </c>
      <c r="O6" s="3048"/>
      <c r="P6" s="3048"/>
      <c r="Q6" s="3048"/>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44" t="str">
        <f>IF(E2="商业",IF(C8="不临58条商业街","",2),"")</f>
        <v/>
      </c>
      <c r="B7" s="1607" t="s">
        <v>2521</v>
      </c>
      <c r="C7" s="2131" t="e">
        <f>IF(C8="不临58条商业街",1,ROUND(1+(1.6*E8+1.2*E9+0.8*E10+0.4*E11)*C9,4))</f>
        <v>#DIV/0!</v>
      </c>
      <c r="D7" s="2132" t="s">
        <v>2522</v>
      </c>
      <c r="E7" s="2133"/>
      <c r="F7" s="2134"/>
      <c r="G7" s="2134"/>
      <c r="H7" s="2134"/>
      <c r="I7" s="2134"/>
      <c r="J7" s="2135"/>
      <c r="K7" s="3049"/>
      <c r="L7" s="2112" t="s">
        <v>2523</v>
      </c>
      <c r="M7" s="2113">
        <f>SUMPRODUCT((区片价!B158:B205=I2)*(区片价!C3:F3=E2)*(区片价!C158:F205))</f>
        <v>0</v>
      </c>
      <c r="N7" s="2114">
        <f>SUMPRODUCT((因素修正幅度!B158:B205=I2)*(因素修正幅度!C3:F3=E2)*(因素修正幅度!C158:F205))</f>
        <v>0</v>
      </c>
      <c r="O7" s="3048"/>
      <c r="P7" s="3048"/>
      <c r="Q7" s="3048"/>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2524</v>
      </c>
      <c r="X7" s="2137">
        <f>G2</f>
        <v>0</v>
      </c>
      <c r="Y7" s="2137" t="s">
        <v>2525</v>
      </c>
      <c r="Z7" s="2138">
        <f>G3</f>
        <v>0</v>
      </c>
      <c r="AA7" s="2105"/>
      <c r="AB7" s="2105"/>
      <c r="AC7" s="2105"/>
      <c r="AD7" s="2106"/>
      <c r="AE7" s="2106"/>
      <c r="AF7" s="2106"/>
      <c r="AG7" s="2106"/>
      <c r="AH7" s="2106"/>
      <c r="AI7" s="2106"/>
      <c r="AJ7" s="2107"/>
    </row>
    <row r="8" spans="1:36" ht="15">
      <c r="A8" s="3545"/>
      <c r="B8" s="50" t="s">
        <v>2526</v>
      </c>
      <c r="C8" s="2139"/>
      <c r="D8" s="65" t="s">
        <v>89</v>
      </c>
      <c r="E8" s="2140" t="e">
        <f>ROUND(C11/E7,4)</f>
        <v>#DIV/0!</v>
      </c>
      <c r="F8" s="2141" t="s">
        <v>2527</v>
      </c>
      <c r="G8" s="2142"/>
      <c r="H8" s="2142"/>
      <c r="I8" s="2142"/>
      <c r="J8" s="2143"/>
      <c r="K8" s="3048"/>
      <c r="L8" s="2112" t="s">
        <v>2528</v>
      </c>
      <c r="M8" s="2113">
        <f>SUMPRODUCT((区片价!B206:B244=I2)*(区片价!C3:F3=E2)*(区片价!C206:F244))</f>
        <v>0</v>
      </c>
      <c r="N8" s="2114">
        <f>SUMPRODUCT((因素修正幅度!B206:B244=I2)*(因素修正幅度!C3:F3=E2)*(因素修正幅度!C206:F244))</f>
        <v>0</v>
      </c>
      <c r="O8" s="3048"/>
      <c r="P8" s="3048"/>
      <c r="Q8" s="3048"/>
      <c r="R8" s="2104">
        <v>7</v>
      </c>
      <c r="S8" s="2115"/>
      <c r="T8" s="2104">
        <f t="shared" si="0"/>
        <v>0</v>
      </c>
      <c r="U8" s="2115"/>
      <c r="V8" s="2104">
        <f t="shared" si="1"/>
        <v>0</v>
      </c>
      <c r="W8" s="3538" t="s">
        <v>2529</v>
      </c>
      <c r="X8" s="3539"/>
      <c r="Y8" s="2144" t="s">
        <v>2530</v>
      </c>
      <c r="Z8" s="2144" t="s">
        <v>2531</v>
      </c>
      <c r="AA8" s="2144" t="s">
        <v>2532</v>
      </c>
      <c r="AB8" s="2144" t="s">
        <v>2533</v>
      </c>
      <c r="AC8" s="2144" t="s">
        <v>2534</v>
      </c>
      <c r="AD8" s="2144" t="s">
        <v>2535</v>
      </c>
      <c r="AE8" s="2144" t="s">
        <v>2536</v>
      </c>
      <c r="AF8" s="2144" t="s">
        <v>2537</v>
      </c>
      <c r="AG8" s="2144" t="s">
        <v>2538</v>
      </c>
      <c r="AH8" s="2144" t="s">
        <v>2539</v>
      </c>
      <c r="AI8" s="2144" t="s">
        <v>2540</v>
      </c>
      <c r="AJ8" s="2144" t="s">
        <v>2541</v>
      </c>
    </row>
    <row r="9" spans="1:36" ht="15">
      <c r="A9" s="3545"/>
      <c r="B9" s="50" t="s">
        <v>2542</v>
      </c>
      <c r="C9" s="2145">
        <f>SUMIF(修正!C59:C119,C8,修正!E59:E119)</f>
        <v>0</v>
      </c>
      <c r="D9" s="50" t="s">
        <v>90</v>
      </c>
      <c r="E9" s="50" t="e">
        <f>ROUND(C11/E7,4)</f>
        <v>#DIV/0!</v>
      </c>
      <c r="F9" s="2141" t="s">
        <v>2543</v>
      </c>
      <c r="G9" s="2142"/>
      <c r="H9" s="2142"/>
      <c r="I9" s="2142"/>
      <c r="J9" s="2143"/>
      <c r="K9" s="3048"/>
      <c r="L9" s="2112" t="s">
        <v>2544</v>
      </c>
      <c r="M9" s="2113">
        <f>SUMPRODUCT((区片价!B245:B289=I2)*(区片价!C3:F3=E2)*(区片价!C245:F289))</f>
        <v>0</v>
      </c>
      <c r="N9" s="2114">
        <f>SUMPRODUCT((因素修正幅度!B245:B289=I2)*(因素修正幅度!C3:F3=E2)*(因素修正幅度!C245:F289))</f>
        <v>0</v>
      </c>
      <c r="O9" s="3048"/>
      <c r="P9" s="3048"/>
      <c r="Q9" s="3048"/>
      <c r="R9" s="2104">
        <v>8</v>
      </c>
      <c r="S9" s="2115"/>
      <c r="T9" s="2104">
        <f t="shared" si="0"/>
        <v>0</v>
      </c>
      <c r="U9" s="2115"/>
      <c r="V9" s="2104">
        <f t="shared" si="1"/>
        <v>0</v>
      </c>
      <c r="W9" s="3539" t="s">
        <v>2545</v>
      </c>
      <c r="X9" s="2146" t="s">
        <v>2546</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5"/>
      <c r="B10" s="50" t="s">
        <v>2547</v>
      </c>
      <c r="C10" s="50">
        <f>SUMIF(修正!C59:C119,C8,修正!F59:F119)</f>
        <v>0</v>
      </c>
      <c r="D10" s="50" t="s">
        <v>91</v>
      </c>
      <c r="E10" s="50" t="e">
        <f>ROUND(C11/E7,4)</f>
        <v>#DIV/0!</v>
      </c>
      <c r="F10" s="2141" t="s">
        <v>2548</v>
      </c>
      <c r="G10" s="2142"/>
      <c r="H10" s="2142"/>
      <c r="I10" s="2142"/>
      <c r="J10" s="2143"/>
      <c r="K10" s="3048"/>
      <c r="L10" s="2112" t="s">
        <v>2549</v>
      </c>
      <c r="M10" s="2113">
        <f>SUMPRODUCT((区片价!B290:B316=I2)*(区片价!C3:F3=E2)*(区片价!C290:F316))</f>
        <v>0</v>
      </c>
      <c r="N10" s="2114">
        <f>SUMPRODUCT((因素修正幅度!B290:B316=I2)*(因素修正幅度!C3:F3=E2)*(因素修正幅度!C290:F316))</f>
        <v>0</v>
      </c>
      <c r="O10" s="3048"/>
      <c r="P10" s="3048"/>
      <c r="Q10" s="3048"/>
      <c r="R10" s="2104">
        <v>9</v>
      </c>
      <c r="S10" s="2115"/>
      <c r="T10" s="2104">
        <f t="shared" si="0"/>
        <v>0</v>
      </c>
      <c r="U10" s="2115"/>
      <c r="V10" s="2104">
        <f t="shared" si="1"/>
        <v>0</v>
      </c>
      <c r="W10" s="3539"/>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5"/>
      <c r="B11" s="1608" t="s">
        <v>2550</v>
      </c>
      <c r="C11" s="1608">
        <f>C10/4</f>
        <v>0</v>
      </c>
      <c r="D11" s="1608" t="s">
        <v>92</v>
      </c>
      <c r="E11" s="1608" t="e">
        <f>ROUND(C11/E7,4)</f>
        <v>#DIV/0!</v>
      </c>
      <c r="F11" s="2150" t="s">
        <v>2551</v>
      </c>
      <c r="G11" s="2151"/>
      <c r="H11" s="2151"/>
      <c r="I11" s="2151"/>
      <c r="J11" s="2152"/>
      <c r="K11" s="3048"/>
      <c r="L11" s="2112" t="s">
        <v>2552</v>
      </c>
      <c r="M11" s="2113">
        <f>SUMPRODUCT((区片价!B317:B337=I2)*(区片价!C3:F3=E2)*(区片价!C317:F337))</f>
        <v>0</v>
      </c>
      <c r="N11" s="2114">
        <f>SUMPRODUCT((因素修正幅度!B317:B337=I2)*(因素修正幅度!C3:F3=E2)*(因素修正幅度!C317:F337))</f>
        <v>0</v>
      </c>
      <c r="O11" s="3048"/>
      <c r="P11" s="3048"/>
      <c r="Q11" s="3048"/>
      <c r="R11" s="2104">
        <v>10</v>
      </c>
      <c r="S11" s="2115"/>
      <c r="T11" s="2104">
        <f t="shared" si="0"/>
        <v>0</v>
      </c>
      <c r="U11" s="2115"/>
      <c r="V11" s="2104">
        <f t="shared" si="1"/>
        <v>0</v>
      </c>
      <c r="W11" s="3539" t="s">
        <v>2553</v>
      </c>
      <c r="X11" s="2153" t="s">
        <v>2554</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44">
        <f>IF(E2="住宅",2,"")</f>
        <v>2</v>
      </c>
      <c r="B12" s="1609" t="s">
        <v>2555</v>
      </c>
      <c r="C12" s="2131">
        <f>ROUND(C15*D15*E15*F15*G15*H15*I15*J15,4)</f>
        <v>1.32</v>
      </c>
      <c r="D12" s="2155" t="s">
        <v>2556</v>
      </c>
      <c r="E12" s="2156"/>
      <c r="F12" s="2156"/>
      <c r="G12" s="2156"/>
      <c r="H12" s="2156"/>
      <c r="I12" s="2156"/>
      <c r="J12" s="2157"/>
      <c r="K12" s="3048"/>
      <c r="L12" s="2158" t="s">
        <v>2557</v>
      </c>
      <c r="M12" s="2159">
        <f>SUMPRODUCT((区片价!B338:B344=I2)*(区片价!C3:F3=E2)*(区片价!C338:F344))</f>
        <v>0</v>
      </c>
      <c r="N12" s="2160">
        <f>SUMPRODUCT((因素修正幅度!B338:B344=I2)*(因素修正幅度!C3:F3=E2)*(因素修正幅度!C338:F344))</f>
        <v>0</v>
      </c>
      <c r="O12" s="3048"/>
      <c r="P12" s="3048"/>
      <c r="Q12" s="3048"/>
      <c r="R12" s="2104">
        <v>11</v>
      </c>
      <c r="S12" s="2115"/>
      <c r="T12" s="2104">
        <f t="shared" si="0"/>
        <v>0</v>
      </c>
      <c r="U12" s="2115"/>
      <c r="V12" s="2104">
        <f t="shared" si="1"/>
        <v>0</v>
      </c>
      <c r="W12" s="3539"/>
      <c r="X12" s="2161" t="s">
        <v>2558</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6"/>
      <c r="B13" s="1610" t="s">
        <v>2559</v>
      </c>
      <c r="C13" s="2162" t="s">
        <v>2560</v>
      </c>
      <c r="D13" s="1611" t="s">
        <v>2561</v>
      </c>
      <c r="E13" s="1611" t="s">
        <v>2562</v>
      </c>
      <c r="F13" s="264" t="s">
        <v>2563</v>
      </c>
      <c r="G13" s="2163" t="s">
        <v>2564</v>
      </c>
      <c r="H13" s="2163" t="s">
        <v>2564</v>
      </c>
      <c r="I13" s="2163" t="s">
        <v>2564</v>
      </c>
      <c r="J13" s="2164" t="s">
        <v>2564</v>
      </c>
      <c r="K13" s="3048"/>
      <c r="L13" s="3048"/>
      <c r="M13" s="3048"/>
      <c r="N13" s="3048"/>
      <c r="O13" s="3048"/>
      <c r="P13" s="3048"/>
      <c r="Q13" s="3048"/>
      <c r="R13" s="2104">
        <v>12</v>
      </c>
      <c r="S13" s="2115"/>
      <c r="T13" s="2104">
        <f t="shared" si="0"/>
        <v>0</v>
      </c>
      <c r="U13" s="2115"/>
      <c r="V13" s="2104">
        <f t="shared" si="1"/>
        <v>0</v>
      </c>
      <c r="W13" s="3539"/>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46"/>
      <c r="B14" s="1611"/>
      <c r="C14" s="2165" t="s">
        <v>2565</v>
      </c>
      <c r="D14" s="2166" t="s">
        <v>2566</v>
      </c>
      <c r="E14" s="2166" t="s">
        <v>2566</v>
      </c>
      <c r="F14" s="2167" t="s">
        <v>2567</v>
      </c>
      <c r="G14" s="2168" t="s">
        <v>2568</v>
      </c>
      <c r="H14" s="2169"/>
      <c r="I14" s="2170"/>
      <c r="J14" s="2171"/>
      <c r="K14" s="3048"/>
      <c r="L14" s="3048"/>
      <c r="M14" s="3048"/>
      <c r="N14" s="3048"/>
      <c r="O14" s="3048"/>
      <c r="P14" s="3048"/>
      <c r="Q14" s="3048"/>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47"/>
      <c r="B15" s="1612" t="s">
        <v>2569</v>
      </c>
      <c r="C15" s="2172">
        <f>IF(C14="有",1.1,1)</f>
        <v>1.1000000000000001</v>
      </c>
      <c r="D15" s="2172">
        <f>IF(D14="有",1.1,1)</f>
        <v>1</v>
      </c>
      <c r="E15" s="2172">
        <f>IF(E14="有",1.1,1)</f>
        <v>1</v>
      </c>
      <c r="F15" s="2172">
        <f>IF(F14="500米范围内",1.2,IF(F14="500-1000米",1.1,1))</f>
        <v>1.2</v>
      </c>
      <c r="G15" s="2173">
        <v>1</v>
      </c>
      <c r="H15" s="2173">
        <v>1</v>
      </c>
      <c r="I15" s="2173">
        <v>1</v>
      </c>
      <c r="J15" s="2174">
        <v>1</v>
      </c>
      <c r="K15" s="3048"/>
      <c r="L15" s="3048"/>
      <c r="M15" s="3048"/>
      <c r="N15" s="3048"/>
      <c r="O15" s="3048"/>
      <c r="P15" s="3048"/>
      <c r="Q15" s="3048"/>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48">
        <f>IF(E2="办公",2,IF(E2="工业",2,IF(E2="住宅",3,IF(E2="商业",IF(C8="不临58条商业街",2,3)))))</f>
        <v>3</v>
      </c>
      <c r="B16" s="1631" t="s">
        <v>2575</v>
      </c>
      <c r="C16" s="1607">
        <f>ROUND(IF(F17="与级别开发程度一致",0,(G17-E17)/C17),0)</f>
        <v>0</v>
      </c>
      <c r="D16" s="3561" t="s">
        <v>2579</v>
      </c>
      <c r="E16" s="3562"/>
      <c r="F16" s="3561" t="s">
        <v>2576</v>
      </c>
      <c r="G16" s="3562"/>
      <c r="H16" s="2175"/>
      <c r="I16" s="2175"/>
      <c r="J16" s="2176"/>
      <c r="K16" s="2175"/>
      <c r="L16" s="2175"/>
      <c r="M16" s="2175"/>
      <c r="N16" s="2175"/>
      <c r="O16" s="2177"/>
      <c r="P16" s="3048"/>
      <c r="Q16" s="3048"/>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49"/>
      <c r="B17" s="1632" t="s">
        <v>2578</v>
      </c>
      <c r="C17" s="2178">
        <f>SUMPRODUCT((修正!A2:A5=E2)*(修正!B1:M1=G2)*(修正!B2:M5))</f>
        <v>0</v>
      </c>
      <c r="D17" s="2172" t="str">
        <f>IF(OR(G2="八级",G2="九级",G2="十级",G2="十一级",G2="十二级"),"五通一平","七通一平")</f>
        <v>七通一平</v>
      </c>
      <c r="E17" s="2179">
        <f>SUMPRODUCT((修正!B1:M1=G2)*(修正!B15:M15))</f>
        <v>0</v>
      </c>
      <c r="F17" s="2180" t="s">
        <v>2886</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48"/>
      <c r="Q17" s="3048"/>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2581</v>
      </c>
      <c r="B18" s="1630" t="s">
        <v>2582</v>
      </c>
      <c r="C18" s="2184">
        <f>SUMIF(修正!C18:C39,E3,修正!E18:E39)</f>
        <v>1</v>
      </c>
      <c r="D18" s="2185"/>
      <c r="E18" s="2186"/>
      <c r="F18" s="2186"/>
      <c r="G18" s="2186"/>
      <c r="H18" s="2186"/>
      <c r="I18" s="2186"/>
      <c r="J18" s="2187"/>
      <c r="K18" s="3050"/>
      <c r="L18" s="3050"/>
      <c r="M18" s="3050"/>
      <c r="N18" s="3050"/>
      <c r="O18" s="3048"/>
      <c r="P18" s="3048"/>
      <c r="Q18" s="3048"/>
      <c r="R18" s="3048"/>
      <c r="S18" s="3048"/>
      <c r="T18" s="3048"/>
      <c r="U18" s="3048"/>
      <c r="V18" s="3048"/>
      <c r="W18" s="3048"/>
      <c r="X18" s="1623"/>
      <c r="Y18" s="1623"/>
      <c r="Z18" s="1623"/>
      <c r="AA18" s="1623"/>
      <c r="AB18" s="1623"/>
      <c r="AC18" s="1623"/>
      <c r="AD18" s="1623"/>
      <c r="AE18" s="1623"/>
      <c r="AF18" s="1623"/>
      <c r="AG18" s="1624"/>
      <c r="AH18" s="1624"/>
      <c r="AI18" s="1624"/>
    </row>
    <row r="19" spans="1:35" s="2125" customFormat="1" ht="29.25" thickBot="1">
      <c r="A19" s="2183" t="s">
        <v>2583</v>
      </c>
      <c r="B19" s="1613" t="s">
        <v>2584</v>
      </c>
      <c r="C19" s="2189">
        <f>ROUND(IF(H19="按公示增长率计算",SUMPRODUCT((地价!A3:A36=YEAR(G19)&amp;"-"&amp;ROUNDUP(MONTH(G19)/3,0))*(地价!X2:AB2=E2)*(地价!X3:AB36)),IF(H19="地价指数",M20/M19,(1+I19)^O19)),4)</f>
        <v>1.7232000000000001</v>
      </c>
      <c r="D19" s="2190" t="s">
        <v>2585</v>
      </c>
      <c r="E19" s="2191">
        <v>41640</v>
      </c>
      <c r="F19" s="2190" t="s">
        <v>2586</v>
      </c>
      <c r="G19" s="2192">
        <f>'数据-取费表'!B2</f>
        <v>44547</v>
      </c>
      <c r="H19" s="2193" t="s">
        <v>2722</v>
      </c>
      <c r="I19" s="2194" t="str">
        <f>IF(H19="季度增幅（自定义）",SUMIF(N21:N24,E2,O21:O24),"")</f>
        <v/>
      </c>
      <c r="J19" s="2195"/>
      <c r="K19" s="3050"/>
      <c r="L19" s="2076" t="s">
        <v>2587</v>
      </c>
      <c r="M19" s="2196">
        <f>ROUND(SUMIF(地价!B2:F2,E2,地价!B36:F36),0)</f>
        <v>423</v>
      </c>
      <c r="N19" s="2197" t="s">
        <v>2588</v>
      </c>
      <c r="O19" s="2198">
        <f>ROUNDDOWN(DATEDIF(E19,G19,"M")/3,0)</f>
        <v>31</v>
      </c>
      <c r="P19" s="3048"/>
      <c r="Q19" s="3050"/>
      <c r="R19" s="3048"/>
      <c r="S19" s="3048"/>
      <c r="T19" s="3048"/>
      <c r="U19" s="3048"/>
      <c r="V19" s="3048"/>
      <c r="W19" s="3048"/>
      <c r="X19" s="1623"/>
      <c r="Y19" s="1623"/>
      <c r="Z19" s="1623"/>
      <c r="AA19" s="1623"/>
      <c r="AB19" s="1623"/>
      <c r="AC19" s="1623"/>
      <c r="AD19" s="1623"/>
      <c r="AE19" s="2188"/>
      <c r="AF19" s="2199"/>
      <c r="AG19" s="2200"/>
      <c r="AH19" s="1624"/>
    </row>
    <row r="20" spans="1:35" s="2125" customFormat="1" ht="27.75" thickBot="1">
      <c r="A20" s="1718" t="s">
        <v>2589</v>
      </c>
      <c r="B20" s="1614" t="s">
        <v>2590</v>
      </c>
      <c r="C20" s="2201">
        <f>ROUND(POWER(1+G20,J20-I20)*(POWER(1+G20,I20)-1)/(POWER(1+G20,J20)-1),4)</f>
        <v>0.86070000000000002</v>
      </c>
      <c r="D20" s="2202" t="s">
        <v>2591</v>
      </c>
      <c r="E20" s="3153">
        <f>存贷款利率!E18/100</f>
        <v>4.3499999999999997E-2</v>
      </c>
      <c r="F20" s="2202" t="s">
        <v>2580</v>
      </c>
      <c r="G20" s="3154">
        <f>SUMIF(M26:P26,E2,M28:P28)</f>
        <v>0.05</v>
      </c>
      <c r="H20" s="2202" t="s">
        <v>2592</v>
      </c>
      <c r="I20" s="2203">
        <f>'数据-取费表'!B13</f>
        <v>36.61</v>
      </c>
      <c r="J20" s="2204">
        <f>IF(E2="住宅",70,IF(E2="商业",40,50))</f>
        <v>70</v>
      </c>
      <c r="K20" s="3050"/>
      <c r="L20" s="2205" t="s">
        <v>2593</v>
      </c>
      <c r="M20" s="2206">
        <f>ROUND(SUMPRODUCT((地价!A4:A36=YEAR(G19)&amp;"-"&amp;ROUNDUP(MONTH(G19)/3,0))*(地价!B2:F2=E2)*(地价!B4:F36)),0)</f>
        <v>729</v>
      </c>
      <c r="N20" s="2207" t="s">
        <v>2594</v>
      </c>
      <c r="O20" s="2208" t="s">
        <v>2595</v>
      </c>
      <c r="P20" s="2209" t="s">
        <v>2596</v>
      </c>
      <c r="Q20" s="3050"/>
      <c r="R20" s="3048"/>
      <c r="S20" s="3048"/>
      <c r="T20" s="3048"/>
      <c r="U20" s="3048"/>
      <c r="V20" s="3048"/>
      <c r="W20" s="3048"/>
      <c r="X20" s="1623"/>
      <c r="Y20" s="1623"/>
      <c r="Z20" s="1623"/>
      <c r="AA20" s="1623"/>
      <c r="AB20" s="1623"/>
      <c r="AC20" s="1623"/>
      <c r="AD20" s="1623"/>
      <c r="AE20" s="2188"/>
      <c r="AF20" s="2188"/>
    </row>
    <row r="21" spans="1:35" s="2125" customFormat="1" ht="14.25">
      <c r="A21" s="2210" t="s">
        <v>2597</v>
      </c>
      <c r="B21" s="1615" t="s">
        <v>2598</v>
      </c>
      <c r="C21" s="2211">
        <f>IF(B21="容积率修正",IF(G3&lt;=10,D22,J22),C23)</f>
        <v>0</v>
      </c>
      <c r="D21" s="2212"/>
      <c r="E21" s="2212"/>
      <c r="F21" s="2212"/>
      <c r="G21" s="2212"/>
      <c r="H21" s="2212"/>
      <c r="I21" s="2212"/>
      <c r="J21" s="2077"/>
      <c r="K21" s="3050"/>
      <c r="L21" s="3050"/>
      <c r="M21" s="3050"/>
      <c r="N21" s="2213" t="s">
        <v>2599</v>
      </c>
      <c r="O21" s="2214"/>
      <c r="P21" s="2215">
        <f>SUMPRODUCT((地价!A3:A36=YEAR(G19)&amp;"-"&amp;ROUNDUP(MONTH(G19)/3,0))*(地价!AD2:AH2=N21)*(地价!AD3:AH36))</f>
        <v>1.0500000000000001E-2</v>
      </c>
      <c r="Q21" s="3050"/>
      <c r="R21" s="3048"/>
      <c r="S21" s="3048"/>
      <c r="T21" s="3048"/>
      <c r="U21" s="3048"/>
      <c r="V21" s="3048"/>
      <c r="W21" s="3048"/>
      <c r="X21" s="1623"/>
      <c r="Y21" s="1623"/>
      <c r="Z21" s="1623"/>
      <c r="AA21" s="1623"/>
      <c r="AB21" s="1623"/>
      <c r="AC21" s="1623"/>
      <c r="AD21" s="1623"/>
      <c r="AE21" s="2188"/>
      <c r="AF21" s="2188"/>
    </row>
    <row r="22" spans="1:35" s="2125" customFormat="1" ht="14.25">
      <c r="A22" s="2073">
        <v>1</v>
      </c>
      <c r="B22" s="2072" t="s">
        <v>2600</v>
      </c>
      <c r="C22" s="2072" t="s">
        <v>2601</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0"/>
      <c r="L22" s="3050"/>
      <c r="M22" s="3050"/>
      <c r="N22" s="2213" t="s">
        <v>2602</v>
      </c>
      <c r="O22" s="2214"/>
      <c r="P22" s="2215">
        <f>SUMPRODUCT((地价!A3:A36=YEAR(G19)&amp;"-"&amp;ROUNDUP(MONTH(G19)/3,0))*(地价!AD2:AH2=N22)*(地价!AD3:AH36))</f>
        <v>1.0500000000000001E-2</v>
      </c>
      <c r="Q22" s="3050"/>
      <c r="R22" s="3048"/>
      <c r="S22" s="3048"/>
      <c r="T22" s="3048"/>
      <c r="U22" s="3048"/>
      <c r="V22" s="3048"/>
      <c r="W22" s="3048"/>
      <c r="X22" s="1623"/>
      <c r="Y22" s="1623"/>
      <c r="Z22" s="1623"/>
      <c r="AA22" s="1623"/>
      <c r="AB22" s="1623"/>
      <c r="AC22" s="1623"/>
      <c r="AD22" s="1623"/>
      <c r="AE22" s="2188"/>
      <c r="AF22" s="2188"/>
    </row>
    <row r="23" spans="1:35" ht="27">
      <c r="A23" s="2073">
        <v>2</v>
      </c>
      <c r="B23" s="2072" t="s">
        <v>2603</v>
      </c>
      <c r="C23" s="2217" t="e">
        <f>ROUND(IF(G3&gt;1,IF(I3&lt;7,SUMPRODUCT((B93:B98=I3)*(C92:N92=G2)*(C93:N98)),SUMIF(C92:N92,G2,C100:N100)),IF(I3&lt;7,SUMPRODUCT((B102:B107=I3)*(C92:N92=G2)*(C102:N107)),SUMIF(C92:N92,G2,C109:N109))),4)</f>
        <v>#DIV/0!</v>
      </c>
      <c r="D23" s="2169"/>
      <c r="E23" s="2169"/>
      <c r="F23" s="2218"/>
      <c r="G23" s="2219"/>
      <c r="H23" s="1620"/>
      <c r="I23" s="2072"/>
      <c r="J23" s="2216"/>
      <c r="K23" s="3048"/>
      <c r="L23" s="3048"/>
      <c r="M23" s="3048"/>
      <c r="N23" s="2213" t="s">
        <v>2604</v>
      </c>
      <c r="O23" s="2214"/>
      <c r="P23" s="2215">
        <f>SUMPRODUCT((地价!A3:A36=YEAR(G19)&amp;"-"&amp;ROUNDUP(MONTH(G19)/3,0))*(地价!AD2:AH2=N23)*(地价!AD3:AH36))</f>
        <v>1.83E-2</v>
      </c>
      <c r="Q23" s="3048"/>
      <c r="R23" s="3048"/>
      <c r="S23" s="3048"/>
      <c r="T23" s="3048"/>
      <c r="U23" s="3048"/>
      <c r="V23" s="3048"/>
      <c r="W23" s="3048"/>
      <c r="X23" s="1623"/>
      <c r="Y23" s="1623"/>
      <c r="Z23" s="1623"/>
      <c r="AA23" s="1623"/>
      <c r="AB23" s="1623"/>
      <c r="AC23" s="1623"/>
      <c r="AD23" s="1623"/>
      <c r="AE23" s="1623"/>
      <c r="AF23" s="1623"/>
    </row>
    <row r="24" spans="1:35" s="2125" customFormat="1" ht="15.75" thickBot="1">
      <c r="A24" s="2220" t="s">
        <v>2605</v>
      </c>
      <c r="B24" s="1617" t="s">
        <v>2606</v>
      </c>
      <c r="C24" s="2221">
        <f>SUMIF(A46:A88,E2,B46:B88)</f>
        <v>1</v>
      </c>
      <c r="D24" s="2222"/>
      <c r="E24" s="2223"/>
      <c r="F24" s="2223"/>
      <c r="G24" s="2223"/>
      <c r="H24" s="2223"/>
      <c r="I24" s="2223"/>
      <c r="J24" s="2224"/>
      <c r="K24" s="3050"/>
      <c r="L24" s="3050"/>
      <c r="M24" s="3050"/>
      <c r="N24" s="2225" t="s">
        <v>2607</v>
      </c>
      <c r="O24" s="2226"/>
      <c r="P24" s="2227">
        <f>SUMPRODUCT((地价!A3:A36=YEAR(G19)&amp;"-"&amp;ROUNDUP(MONTH(G19)/3,0))*(地价!AD2:AH2=N24)*(地价!AD3:AH36))</f>
        <v>1.2200000000000001E-2</v>
      </c>
      <c r="Q24" s="3050"/>
      <c r="R24" s="3048"/>
      <c r="S24" s="3048"/>
      <c r="T24" s="3048"/>
      <c r="U24" s="3048"/>
      <c r="V24" s="3048"/>
      <c r="W24" s="3048"/>
      <c r="X24" s="1623"/>
      <c r="Y24" s="1623"/>
      <c r="Z24" s="1623"/>
      <c r="AA24" s="1623"/>
      <c r="AB24" s="1623"/>
      <c r="AC24" s="1623"/>
      <c r="AD24" s="1623"/>
      <c r="AE24" s="2188"/>
      <c r="AF24" s="2188"/>
    </row>
    <row r="25" spans="1:35" ht="15" thickBot="1">
      <c r="A25" s="1718" t="s">
        <v>2608</v>
      </c>
      <c r="B25" s="1618" t="s">
        <v>2609</v>
      </c>
      <c r="C25" s="2228"/>
      <c r="D25" s="2134"/>
      <c r="E25" s="2134"/>
      <c r="F25" s="2229"/>
      <c r="G25" s="2134"/>
      <c r="H25" s="2134"/>
      <c r="I25" s="2134"/>
      <c r="J25" s="2135"/>
      <c r="K25" s="3048"/>
      <c r="L25" s="3048"/>
      <c r="M25" s="3048"/>
      <c r="N25" s="3051" t="s">
        <v>2610</v>
      </c>
      <c r="O25" s="3052"/>
      <c r="P25" s="3053">
        <f>SUMPRODUCT((地价!A3:A36=YEAR(G19)&amp;"-"&amp;ROUNDUP(MONTH(G19)/3,0))*(地价!AD2:AH2=N25)*(地价!AD3:AH36))</f>
        <v>1.66E-2</v>
      </c>
      <c r="Q25" s="3048"/>
      <c r="R25" s="3048"/>
      <c r="S25" s="3048"/>
      <c r="T25" s="3048"/>
      <c r="U25" s="3048"/>
      <c r="V25" s="3048"/>
      <c r="W25" s="3048"/>
      <c r="X25" s="1623"/>
      <c r="Y25" s="1623"/>
      <c r="Z25" s="1623"/>
      <c r="AA25" s="1623"/>
      <c r="AB25" s="1623"/>
      <c r="AC25" s="1623"/>
      <c r="AD25" s="1623"/>
      <c r="AE25" s="1623"/>
      <c r="AF25" s="1623"/>
    </row>
    <row r="26" spans="1:35" ht="15">
      <c r="A26" s="1703"/>
      <c r="B26" s="2072" t="s">
        <v>2611</v>
      </c>
      <c r="C26" s="2888">
        <f>IF(B21="容积率修正",E29+SUM(E33:E39),SUM(V2:V16)+SUM(E33:E39))</f>
        <v>0</v>
      </c>
      <c r="D26" s="2230"/>
      <c r="E26" s="2169"/>
      <c r="F26" s="1478"/>
      <c r="G26" s="2169"/>
      <c r="H26" s="2169"/>
      <c r="I26" s="2169"/>
      <c r="J26" s="2231"/>
      <c r="K26" s="3048"/>
      <c r="L26" s="3054" t="s">
        <v>2570</v>
      </c>
      <c r="M26" s="2132" t="s">
        <v>2571</v>
      </c>
      <c r="N26" s="2132" t="s">
        <v>2572</v>
      </c>
      <c r="O26" s="2132" t="s">
        <v>2573</v>
      </c>
      <c r="P26" s="3055" t="s">
        <v>2574</v>
      </c>
      <c r="Q26" s="3048"/>
      <c r="R26" s="3048"/>
      <c r="S26" s="3048"/>
      <c r="T26" s="3048"/>
      <c r="U26" s="3048"/>
      <c r="V26" s="3048"/>
      <c r="W26" s="3048"/>
      <c r="X26" s="1623"/>
      <c r="Y26" s="1623"/>
      <c r="Z26" s="1623"/>
      <c r="AA26" s="1623"/>
      <c r="AB26" s="1623"/>
      <c r="AC26" s="1623"/>
      <c r="AD26" s="1623"/>
      <c r="AE26" s="1623"/>
      <c r="AF26" s="1623"/>
    </row>
    <row r="27" spans="1:35" ht="15.75" thickBot="1">
      <c r="A27" s="1703"/>
      <c r="B27" s="1619" t="s">
        <v>2612</v>
      </c>
      <c r="C27" s="2232">
        <f>E30+SUM(I33:I39)</f>
        <v>0</v>
      </c>
      <c r="D27" s="2181"/>
      <c r="E27" s="2233"/>
      <c r="F27" s="2234"/>
      <c r="G27" s="2233"/>
      <c r="H27" s="2233"/>
      <c r="I27" s="2233"/>
      <c r="J27" s="2235"/>
      <c r="K27" s="3048"/>
      <c r="L27" s="2236" t="s">
        <v>2577</v>
      </c>
      <c r="M27" s="2145">
        <v>0.25</v>
      </c>
      <c r="N27" s="2145">
        <v>0.2</v>
      </c>
      <c r="O27" s="2145">
        <v>0.15</v>
      </c>
      <c r="P27" s="2237">
        <v>0.1</v>
      </c>
      <c r="Q27" s="3048"/>
      <c r="R27" s="3048"/>
      <c r="S27" s="3048"/>
      <c r="T27" s="3048"/>
      <c r="U27" s="3048"/>
      <c r="V27" s="3048"/>
      <c r="W27" s="3048"/>
      <c r="X27" s="1623"/>
      <c r="Y27" s="1623"/>
      <c r="Z27" s="1623"/>
      <c r="AA27" s="1623"/>
      <c r="AB27" s="1623"/>
      <c r="AC27" s="1623"/>
      <c r="AD27" s="1623"/>
      <c r="AE27" s="1623"/>
      <c r="AF27" s="1623"/>
    </row>
    <row r="28" spans="1:35" ht="15.75" thickBot="1">
      <c r="A28" s="1718"/>
      <c r="B28" s="2238" t="s">
        <v>2613</v>
      </c>
      <c r="C28" s="2239" t="s">
        <v>2614</v>
      </c>
      <c r="D28" s="2239" t="s">
        <v>2615</v>
      </c>
      <c r="E28" s="1618" t="s">
        <v>2616</v>
      </c>
      <c r="F28" s="2240"/>
      <c r="G28" s="2156"/>
      <c r="H28" s="2156"/>
      <c r="I28" s="2156"/>
      <c r="J28" s="2157"/>
      <c r="K28" s="3048"/>
      <c r="L28" s="2241" t="s">
        <v>2580</v>
      </c>
      <c r="M28" s="2242">
        <f>ROUND($E$20*(1+M27),3)</f>
        <v>5.3999999999999999E-2</v>
      </c>
      <c r="N28" s="2242">
        <f>ROUND($E$20*(1+N27),3)</f>
        <v>5.1999999999999998E-2</v>
      </c>
      <c r="O28" s="2242">
        <f>ROUND($E$20*(1+O27),3)</f>
        <v>0.05</v>
      </c>
      <c r="P28" s="2160">
        <f>ROUND($E$20*(1+P27),3)</f>
        <v>4.8000000000000001E-2</v>
      </c>
      <c r="Q28" s="3048"/>
      <c r="R28" s="3048"/>
      <c r="S28" s="3048"/>
      <c r="T28" s="3048"/>
      <c r="U28" s="3048"/>
      <c r="V28" s="3048"/>
      <c r="W28" s="3048"/>
      <c r="X28" s="1623"/>
      <c r="Y28" s="1623"/>
      <c r="Z28" s="1623"/>
      <c r="AA28" s="1623"/>
      <c r="AB28" s="1623"/>
      <c r="AC28" s="1623"/>
      <c r="AD28" s="1623"/>
      <c r="AE28" s="1623"/>
      <c r="AF28" s="1623"/>
    </row>
    <row r="29" spans="1:35">
      <c r="A29" s="2243"/>
      <c r="B29" s="1620" t="s">
        <v>2617</v>
      </c>
      <c r="C29" s="54">
        <f>ROUND(C5*C18*C19*C20*C21*C24,0)</f>
        <v>0</v>
      </c>
      <c r="D29" s="2244">
        <f>项目基本情况!C12</f>
        <v>1642.01</v>
      </c>
      <c r="E29" s="2031">
        <f>ROUND(C29*D29,0)</f>
        <v>0</v>
      </c>
      <c r="F29" s="2245" t="s">
        <v>2618</v>
      </c>
      <c r="G29" s="2246"/>
      <c r="H29" s="2246"/>
      <c r="I29" s="2246"/>
      <c r="J29" s="2247"/>
      <c r="K29" s="3048"/>
      <c r="L29" s="3048"/>
      <c r="M29" s="3048"/>
      <c r="N29" s="3048"/>
      <c r="O29" s="3048"/>
      <c r="P29" s="3048"/>
      <c r="Q29" s="3048"/>
      <c r="R29" s="3048"/>
      <c r="S29" s="3048"/>
      <c r="T29" s="3048"/>
      <c r="U29" s="3048"/>
      <c r="V29" s="3048"/>
      <c r="W29" s="3048"/>
      <c r="X29" s="1623"/>
      <c r="Y29" s="1623"/>
      <c r="Z29" s="1623"/>
      <c r="AA29" s="1623"/>
      <c r="AB29" s="1623"/>
      <c r="AC29" s="1623"/>
      <c r="AD29" s="1623"/>
      <c r="AE29" s="1623"/>
      <c r="AF29" s="1623"/>
    </row>
    <row r="30" spans="1:35" ht="25.5" thickBot="1">
      <c r="A30" s="2248"/>
      <c r="B30" s="1621" t="s">
        <v>2619</v>
      </c>
      <c r="C30" s="2172">
        <f>ROUND(IF(E2="工业",C29*M39,C29*M38),0)</f>
        <v>0</v>
      </c>
      <c r="D30" s="2249"/>
      <c r="E30" s="2031">
        <f>ROUND(C30*D30,0)</f>
        <v>0</v>
      </c>
      <c r="F30" s="2250" t="s">
        <v>2620</v>
      </c>
      <c r="G30" s="2251"/>
      <c r="H30" s="2251"/>
      <c r="I30" s="2251"/>
      <c r="J30" s="2252"/>
      <c r="K30" s="3048"/>
      <c r="L30" s="3048"/>
      <c r="M30" s="3048"/>
      <c r="N30" s="3048"/>
      <c r="O30" s="3048"/>
      <c r="P30" s="3048"/>
      <c r="Q30" s="3048"/>
      <c r="R30" s="3048"/>
      <c r="S30" s="3048"/>
      <c r="T30" s="3048"/>
      <c r="U30" s="3048"/>
      <c r="V30" s="3048"/>
      <c r="W30" s="3048"/>
      <c r="X30" s="1623"/>
      <c r="Y30" s="1623"/>
      <c r="Z30" s="1623"/>
      <c r="AA30" s="1623"/>
      <c r="AB30" s="1623"/>
      <c r="AC30" s="1623"/>
      <c r="AD30" s="1623"/>
      <c r="AE30" s="1623"/>
      <c r="AF30" s="1623"/>
    </row>
    <row r="31" spans="1:35">
      <c r="A31" s="2253"/>
      <c r="B31" s="1622" t="s">
        <v>2621</v>
      </c>
      <c r="C31" s="2254" t="s">
        <v>2622</v>
      </c>
      <c r="D31" s="2156"/>
      <c r="E31" s="2254"/>
      <c r="F31" s="2254"/>
      <c r="G31" s="2155" t="s">
        <v>2623</v>
      </c>
      <c r="H31" s="2156"/>
      <c r="I31" s="2255"/>
      <c r="J31" s="2157"/>
      <c r="K31" s="3048"/>
      <c r="L31" s="3048"/>
      <c r="M31" s="3048"/>
      <c r="N31" s="3048"/>
      <c r="O31" s="3048"/>
      <c r="P31" s="3048"/>
      <c r="Q31" s="3048"/>
      <c r="R31" s="3048"/>
      <c r="S31" s="3048"/>
      <c r="T31" s="3048"/>
      <c r="U31" s="3048"/>
      <c r="V31" s="3048"/>
      <c r="W31" s="3048"/>
      <c r="X31" s="1623"/>
      <c r="Y31" s="1623"/>
      <c r="Z31" s="1623"/>
      <c r="AA31" s="1623"/>
      <c r="AB31" s="1623"/>
      <c r="AC31" s="1623"/>
      <c r="AD31" s="1623"/>
      <c r="AE31" s="1623"/>
      <c r="AF31" s="1623"/>
    </row>
    <row r="32" spans="1:35" ht="24">
      <c r="A32" s="2243"/>
      <c r="B32" s="2256"/>
      <c r="C32" s="1811" t="s">
        <v>2614</v>
      </c>
      <c r="D32" s="1808" t="s">
        <v>2615</v>
      </c>
      <c r="E32" s="1808" t="s">
        <v>2616</v>
      </c>
      <c r="F32" s="50" t="s">
        <v>2624</v>
      </c>
      <c r="G32" s="2217" t="s">
        <v>2614</v>
      </c>
      <c r="H32" s="2217" t="s">
        <v>2615</v>
      </c>
      <c r="I32" s="2217" t="s">
        <v>2616</v>
      </c>
      <c r="J32" s="2069"/>
      <c r="K32" s="3048"/>
      <c r="L32" s="3048"/>
      <c r="M32" s="3048"/>
      <c r="N32" s="3048"/>
      <c r="O32" s="3048"/>
      <c r="P32" s="3048"/>
      <c r="Q32" s="3048"/>
      <c r="R32" s="3048"/>
      <c r="S32" s="3048"/>
      <c r="T32" s="3048"/>
      <c r="U32" s="3048"/>
      <c r="V32" s="3048"/>
      <c r="W32" s="3048"/>
      <c r="X32" s="1623"/>
      <c r="Y32" s="1623"/>
      <c r="Z32" s="1623"/>
      <c r="AA32" s="1623"/>
      <c r="AB32" s="1623"/>
      <c r="AC32" s="1623"/>
      <c r="AD32" s="1623"/>
      <c r="AE32" s="1623"/>
      <c r="AF32" s="1623"/>
    </row>
    <row r="33" spans="1:33">
      <c r="A33" s="3558" t="s">
        <v>2625</v>
      </c>
      <c r="B33" s="2257" t="s">
        <v>2626</v>
      </c>
      <c r="C33" s="54">
        <f>ROUND(D5*C19*C20*C24*F33,0)</f>
        <v>0</v>
      </c>
      <c r="D33" s="2244"/>
      <c r="E33" s="50">
        <f t="shared" ref="E33:E39" si="6">ROUND(C33*D33,0)</f>
        <v>0</v>
      </c>
      <c r="F33" s="50">
        <f>SUMIF(修正!A45:A56,G2,修正!B45:B56)</f>
        <v>0</v>
      </c>
      <c r="G33" s="50">
        <f t="shared" ref="G33" si="7">ROUND(IF(E2="工业",C33*$M$39,C33*$M$38),0)</f>
        <v>0</v>
      </c>
      <c r="H33" s="50">
        <f>D33</f>
        <v>0</v>
      </c>
      <c r="I33" s="50">
        <f t="shared" ref="I33:I39" si="8">ROUND(G33*H33,0)</f>
        <v>0</v>
      </c>
      <c r="J33" s="2231"/>
      <c r="K33" s="3048"/>
      <c r="L33" s="3048"/>
      <c r="M33" s="3048"/>
      <c r="N33" s="3048"/>
      <c r="O33" s="3048"/>
      <c r="P33" s="3048"/>
      <c r="Q33" s="3048"/>
      <c r="R33" s="3048"/>
      <c r="S33" s="3048"/>
      <c r="T33" s="3048"/>
      <c r="U33" s="3048"/>
      <c r="V33" s="3048"/>
      <c r="W33" s="3048"/>
      <c r="X33" s="1623"/>
      <c r="Y33" s="1623"/>
      <c r="Z33" s="1623"/>
      <c r="AA33" s="1623"/>
      <c r="AB33" s="1623"/>
      <c r="AC33" s="1623"/>
      <c r="AD33" s="1623"/>
      <c r="AE33" s="1623"/>
      <c r="AF33" s="1623"/>
    </row>
    <row r="34" spans="1:33">
      <c r="A34" s="3559"/>
      <c r="B34" s="2162" t="s">
        <v>2627</v>
      </c>
      <c r="C34" s="54">
        <f>ROUND(D5*C19*C20*C24*F34,0)</f>
        <v>0</v>
      </c>
      <c r="D34" s="2244"/>
      <c r="E34" s="50">
        <f t="shared" si="6"/>
        <v>0</v>
      </c>
      <c r="F34" s="50">
        <f>SUMIF(修正!A45:A56,G2,修正!C45:C56)</f>
        <v>0</v>
      </c>
      <c r="G34" s="50">
        <f>ROUND(IF(E2="工业",C34*$M$39,C34*$M$38),0)</f>
        <v>0</v>
      </c>
      <c r="H34" s="50">
        <f t="shared" ref="H34:H39" si="9">D34</f>
        <v>0</v>
      </c>
      <c r="I34" s="50">
        <f t="shared" si="8"/>
        <v>0</v>
      </c>
      <c r="J34" s="2231"/>
      <c r="K34" s="3048"/>
      <c r="L34" s="3048"/>
      <c r="M34" s="3048"/>
      <c r="N34" s="3048"/>
      <c r="O34" s="3048"/>
      <c r="P34" s="3048"/>
      <c r="Q34" s="3048"/>
      <c r="R34" s="3048"/>
      <c r="S34" s="3048"/>
      <c r="T34" s="3048"/>
      <c r="U34" s="3048"/>
      <c r="V34" s="3048"/>
      <c r="W34" s="3048"/>
      <c r="X34" s="1623"/>
      <c r="Y34" s="1623"/>
      <c r="Z34" s="1623"/>
      <c r="AA34" s="1623"/>
      <c r="AB34" s="1623"/>
      <c r="AC34" s="1623"/>
      <c r="AD34" s="1623"/>
      <c r="AE34" s="1623"/>
      <c r="AF34" s="1623"/>
    </row>
    <row r="35" spans="1:33">
      <c r="A35" s="3559"/>
      <c r="B35" s="2162" t="s">
        <v>2628</v>
      </c>
      <c r="C35" s="54">
        <f>ROUND(D5*C19*C20*C24*F35,0)</f>
        <v>0</v>
      </c>
      <c r="D35" s="2244"/>
      <c r="E35" s="50">
        <f t="shared" si="6"/>
        <v>0</v>
      </c>
      <c r="F35" s="50">
        <f>SUMIF(修正!A45:A56,G2,修正!D45:D56)</f>
        <v>0</v>
      </c>
      <c r="G35" s="50">
        <f>ROUND(IF(E2="工业",C35*$M$39,C35*$M$38),0)</f>
        <v>0</v>
      </c>
      <c r="H35" s="50">
        <f t="shared" si="9"/>
        <v>0</v>
      </c>
      <c r="I35" s="50">
        <f t="shared" si="8"/>
        <v>0</v>
      </c>
      <c r="J35" s="2231"/>
      <c r="K35" s="3048"/>
      <c r="L35" s="3048"/>
      <c r="M35" s="3048"/>
      <c r="N35" s="3048"/>
      <c r="O35" s="3048"/>
      <c r="P35" s="3048"/>
      <c r="Q35" s="3048"/>
      <c r="R35" s="3048"/>
      <c r="S35" s="3048"/>
      <c r="T35" s="3048"/>
      <c r="U35" s="3048"/>
      <c r="V35" s="3048"/>
      <c r="W35" s="3048"/>
      <c r="X35" s="1623"/>
      <c r="Y35" s="1623"/>
      <c r="Z35" s="1623"/>
      <c r="AA35" s="1623"/>
      <c r="AB35" s="1623"/>
      <c r="AC35" s="1623"/>
      <c r="AD35" s="1623"/>
      <c r="AE35" s="1623"/>
      <c r="AF35" s="1623"/>
    </row>
    <row r="36" spans="1:33" ht="13.5" thickBot="1">
      <c r="A36" s="3560"/>
      <c r="B36" s="2162" t="s">
        <v>2629</v>
      </c>
      <c r="C36" s="54">
        <f>ROUND(D5*C19*C20*C24*F36,0)</f>
        <v>0</v>
      </c>
      <c r="D36" s="2244"/>
      <c r="E36" s="50">
        <f t="shared" si="6"/>
        <v>0</v>
      </c>
      <c r="F36" s="50">
        <f>SUMIF(修正!A45:A56,G2,修正!E45:E56)</f>
        <v>0</v>
      </c>
      <c r="G36" s="50">
        <f>ROUND(IF(E2="工业",C36*$M$39,C36*$M$38),0)</f>
        <v>0</v>
      </c>
      <c r="H36" s="50">
        <f t="shared" si="9"/>
        <v>0</v>
      </c>
      <c r="I36" s="50">
        <f t="shared" si="8"/>
        <v>0</v>
      </c>
      <c r="J36" s="2231"/>
      <c r="K36" s="3048"/>
      <c r="L36" s="3048"/>
      <c r="M36" s="3048"/>
      <c r="N36" s="3048"/>
      <c r="O36" s="3048"/>
      <c r="P36" s="3048"/>
      <c r="Q36" s="3048"/>
      <c r="R36" s="3048"/>
      <c r="S36" s="3048"/>
      <c r="T36" s="3048"/>
      <c r="U36" s="3048"/>
      <c r="V36" s="3048"/>
      <c r="W36" s="3048"/>
      <c r="X36" s="1623"/>
      <c r="Y36" s="1623"/>
      <c r="Z36" s="1623"/>
      <c r="AA36" s="1623"/>
      <c r="AB36" s="1623"/>
      <c r="AC36" s="1623"/>
      <c r="AD36" s="1623"/>
      <c r="AE36" s="1623"/>
      <c r="AF36" s="1623"/>
    </row>
    <row r="37" spans="1:33">
      <c r="A37" s="2258"/>
      <c r="B37" s="2162" t="s">
        <v>2630</v>
      </c>
      <c r="C37" s="50">
        <f>ROUND(D5*C19*C20*C24*F37,0)</f>
        <v>0</v>
      </c>
      <c r="D37" s="2244"/>
      <c r="E37" s="50">
        <f t="shared" si="6"/>
        <v>0</v>
      </c>
      <c r="F37" s="54">
        <f>SUMIF(修正!A45:A56,G2,修正!F45:F56)</f>
        <v>0</v>
      </c>
      <c r="G37" s="50">
        <f>ROUND(IF(E2="工业",C37*$M$39,C37*$M$38),0)</f>
        <v>0</v>
      </c>
      <c r="H37" s="50">
        <f t="shared" si="9"/>
        <v>0</v>
      </c>
      <c r="I37" s="50">
        <f t="shared" si="8"/>
        <v>0</v>
      </c>
      <c r="J37" s="2231"/>
      <c r="K37" s="3048"/>
      <c r="L37" s="2259" t="s">
        <v>2631</v>
      </c>
      <c r="M37" s="2135"/>
      <c r="N37" s="3048"/>
      <c r="O37" s="3048"/>
      <c r="P37" s="3048"/>
      <c r="Q37" s="3048"/>
      <c r="R37" s="3048"/>
      <c r="S37" s="3048"/>
      <c r="T37" s="3048"/>
      <c r="U37" s="3048"/>
      <c r="V37" s="3048"/>
      <c r="W37" s="3048"/>
      <c r="X37" s="1623"/>
      <c r="Y37" s="1623"/>
      <c r="Z37" s="1623"/>
      <c r="AA37" s="1623"/>
      <c r="AB37" s="1623"/>
      <c r="AC37" s="1623"/>
      <c r="AD37" s="1623"/>
      <c r="AE37" s="1623"/>
      <c r="AF37" s="1623"/>
    </row>
    <row r="38" spans="1:33">
      <c r="A38" s="2258"/>
      <c r="B38" s="2162" t="s">
        <v>2632</v>
      </c>
      <c r="C38" s="50">
        <f>ROUND(D5*C19*C41*C24*F38,0)</f>
        <v>0</v>
      </c>
      <c r="D38" s="2244"/>
      <c r="E38" s="50">
        <f t="shared" si="6"/>
        <v>0</v>
      </c>
      <c r="F38" s="54">
        <f>SUMIF(修正!A45:A56,G2,修正!G45:G56)</f>
        <v>0</v>
      </c>
      <c r="G38" s="50">
        <f>ROUND(IF(E2="工业",C38*$M$39,C38*$M$38),0)</f>
        <v>0</v>
      </c>
      <c r="H38" s="50">
        <f t="shared" si="9"/>
        <v>0</v>
      </c>
      <c r="I38" s="50">
        <f t="shared" si="8"/>
        <v>0</v>
      </c>
      <c r="J38" s="2231"/>
      <c r="K38" s="3048"/>
      <c r="L38" s="2260" t="s">
        <v>2633</v>
      </c>
      <c r="M38" s="2261">
        <v>0.25</v>
      </c>
      <c r="N38" s="3048"/>
      <c r="O38" s="3048"/>
      <c r="P38" s="3048"/>
      <c r="Q38" s="3048"/>
      <c r="R38" s="3048"/>
      <c r="S38" s="3048"/>
      <c r="T38" s="3048"/>
      <c r="U38" s="3048"/>
      <c r="V38" s="3048"/>
      <c r="W38" s="3048"/>
      <c r="X38" s="1623"/>
      <c r="Y38" s="1623"/>
      <c r="Z38" s="1623"/>
      <c r="AA38" s="1623"/>
      <c r="AB38" s="1623"/>
      <c r="AC38" s="1623"/>
      <c r="AD38" s="1623"/>
      <c r="AE38" s="1623"/>
      <c r="AF38" s="1623"/>
    </row>
    <row r="39" spans="1:33" ht="13.5" thickBot="1">
      <c r="A39" s="2248"/>
      <c r="B39" s="2262" t="s">
        <v>2634</v>
      </c>
      <c r="C39" s="2172">
        <f>ROUND(D5*C19*C41*C24*F39,0)</f>
        <v>0</v>
      </c>
      <c r="D39" s="2249"/>
      <c r="E39" s="2172">
        <f t="shared" si="6"/>
        <v>0</v>
      </c>
      <c r="F39" s="56">
        <f>SUMIF(修正!A45:A56,G2,修正!H45:H56)</f>
        <v>0</v>
      </c>
      <c r="G39" s="2172">
        <f>ROUND(IF(E2="工业",C39*$M$39,C39*$M$38),0)</f>
        <v>0</v>
      </c>
      <c r="H39" s="2172">
        <f t="shared" si="9"/>
        <v>0</v>
      </c>
      <c r="I39" s="2172">
        <f t="shared" si="8"/>
        <v>0</v>
      </c>
      <c r="J39" s="2235"/>
      <c r="K39" s="3048"/>
      <c r="L39" s="2263" t="s">
        <v>2574</v>
      </c>
      <c r="M39" s="2264">
        <v>0.15</v>
      </c>
      <c r="N39" s="3048"/>
      <c r="O39" s="3048"/>
      <c r="P39" s="3048"/>
      <c r="Q39" s="3048"/>
      <c r="R39" s="3048"/>
      <c r="S39" s="3048"/>
      <c r="T39" s="3048"/>
      <c r="U39" s="3048"/>
      <c r="V39" s="3048"/>
      <c r="W39" s="3048"/>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48"/>
      <c r="L40" s="3048"/>
      <c r="M40" s="3048"/>
      <c r="N40" s="3048"/>
      <c r="O40" s="3048"/>
      <c r="P40" s="3048"/>
      <c r="Q40" s="3048"/>
      <c r="R40" s="3048"/>
      <c r="S40" s="3048"/>
      <c r="T40" s="3048"/>
      <c r="U40" s="3048"/>
      <c r="V40" s="3048"/>
      <c r="W40" s="3048"/>
      <c r="X40" s="1623"/>
      <c r="Y40" s="1623"/>
      <c r="Z40" s="1623"/>
      <c r="AA40" s="1623"/>
      <c r="AB40" s="1623"/>
      <c r="AC40" s="1623"/>
      <c r="AD40" s="1623"/>
      <c r="AE40" s="1623"/>
      <c r="AF40" s="1623"/>
    </row>
    <row r="41" spans="1:33" s="2265" customFormat="1">
      <c r="A41" s="1623"/>
      <c r="B41" s="2266" t="s">
        <v>2714</v>
      </c>
      <c r="C41" s="50">
        <f>ROUND(POWER(1+E41,H41-G41)*(POWER(1+E41,G41)-1)/(POWER(1+E41,H41)-1),4)</f>
        <v>0</v>
      </c>
      <c r="D41" s="50" t="s">
        <v>2712</v>
      </c>
      <c r="E41" s="2267">
        <f>G20</f>
        <v>0.05</v>
      </c>
      <c r="F41" s="50" t="s">
        <v>2713</v>
      </c>
      <c r="G41" s="2268"/>
      <c r="H41" s="50">
        <v>50</v>
      </c>
      <c r="I41" s="1623"/>
      <c r="J41" s="1623"/>
      <c r="K41" s="3048"/>
      <c r="L41" s="3048"/>
      <c r="M41" s="3048"/>
      <c r="N41" s="3048"/>
      <c r="O41" s="3048"/>
      <c r="P41" s="3048"/>
      <c r="Q41" s="3048"/>
      <c r="R41" s="3048"/>
      <c r="S41" s="3048"/>
      <c r="T41" s="3048"/>
      <c r="U41" s="3048"/>
      <c r="V41" s="3048"/>
      <c r="W41" s="3048"/>
      <c r="X41" s="1623"/>
      <c r="Y41" s="1623"/>
      <c r="Z41" s="1623"/>
      <c r="AA41" s="1623"/>
      <c r="AB41" s="1623"/>
      <c r="AC41" s="1623"/>
      <c r="AD41" s="1623"/>
      <c r="AE41" s="1623"/>
      <c r="AF41" s="1623"/>
    </row>
    <row r="42" spans="1:33" s="2265"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3"/>
      <c r="Y42" s="1623"/>
      <c r="Z42" s="1623"/>
      <c r="AA42" s="1623"/>
      <c r="AB42" s="1623"/>
      <c r="AC42" s="1623"/>
      <c r="AD42" s="1623"/>
      <c r="AE42" s="1623"/>
      <c r="AF42" s="1623"/>
    </row>
    <row r="43" spans="1:33" s="2265"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3"/>
      <c r="Y43" s="1623"/>
      <c r="Z43" s="1623"/>
      <c r="AA43" s="1623"/>
      <c r="AB43" s="1623"/>
      <c r="AC43" s="1623"/>
      <c r="AD43" s="1623"/>
      <c r="AE43" s="1623"/>
      <c r="AF43" s="1623"/>
    </row>
    <row r="44" spans="1:33" s="2265"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3"/>
      <c r="Y44" s="1623"/>
      <c r="Z44" s="1623"/>
      <c r="AA44" s="1623"/>
      <c r="AB44" s="1623"/>
      <c r="AC44" s="1623"/>
      <c r="AD44" s="1623"/>
      <c r="AE44" s="1623"/>
      <c r="AF44" s="1623"/>
    </row>
    <row r="45" spans="1:33" s="2265" customFormat="1" ht="15.75" thickBot="1">
      <c r="A45" s="2269" t="s">
        <v>2635</v>
      </c>
      <c r="B45" s="2270"/>
      <c r="C45" s="608"/>
      <c r="D45" s="608"/>
      <c r="E45" s="608"/>
      <c r="F45" s="608"/>
      <c r="G45" s="608"/>
      <c r="H45" s="608"/>
      <c r="I45" s="608"/>
      <c r="J45" s="608"/>
      <c r="K45" s="608"/>
      <c r="L45" s="608"/>
      <c r="M45" s="608"/>
      <c r="N45" s="2100"/>
      <c r="O45" s="1623"/>
      <c r="P45" s="1623"/>
      <c r="Q45" s="3048"/>
      <c r="R45" s="3048"/>
      <c r="S45" s="3048"/>
      <c r="T45" s="3048"/>
      <c r="U45" s="3048"/>
      <c r="V45" s="3048"/>
      <c r="W45" s="3048"/>
      <c r="X45" s="1623"/>
      <c r="Y45" s="1623"/>
      <c r="Z45" s="1623"/>
      <c r="AA45" s="1623"/>
      <c r="AB45" s="1623"/>
      <c r="AC45" s="1623"/>
      <c r="AD45" s="1623"/>
      <c r="AE45" s="1623"/>
      <c r="AF45" s="1623"/>
    </row>
    <row r="46" spans="1:33" s="2265" customFormat="1" ht="15">
      <c r="A46" s="2271" t="s">
        <v>2636</v>
      </c>
      <c r="B46" s="2272">
        <f>1+E48</f>
        <v>1</v>
      </c>
      <c r="C46" s="2273"/>
      <c r="D46" s="2274"/>
      <c r="E46" s="2275"/>
      <c r="F46" s="2276"/>
      <c r="G46" s="608"/>
      <c r="H46" s="608"/>
      <c r="I46" s="608"/>
      <c r="J46" s="608"/>
      <c r="K46" s="608"/>
      <c r="L46" s="608"/>
      <c r="M46" s="2100"/>
      <c r="N46" s="2277"/>
      <c r="O46" s="1623"/>
      <c r="P46" s="1623"/>
      <c r="Q46" s="3048"/>
      <c r="R46" s="3048"/>
      <c r="S46" s="3048"/>
      <c r="T46" s="3048"/>
      <c r="U46" s="3048"/>
      <c r="V46" s="3048"/>
      <c r="W46" s="3048"/>
      <c r="X46" s="1623"/>
      <c r="Y46" s="1623"/>
      <c r="Z46" s="1623"/>
      <c r="AA46" s="1623"/>
      <c r="AB46" s="1623"/>
      <c r="AC46" s="1623"/>
      <c r="AD46" s="1623"/>
      <c r="AE46" s="1623"/>
    </row>
    <row r="47" spans="1:33" s="2265" customFormat="1" ht="24.75">
      <c r="A47" s="2278" t="s">
        <v>2637</v>
      </c>
      <c r="B47" s="2279" t="s">
        <v>2638</v>
      </c>
      <c r="C47" s="2279" t="s">
        <v>2639</v>
      </c>
      <c r="D47" s="2279" t="s">
        <v>2640</v>
      </c>
      <c r="E47" s="2280" t="s">
        <v>2641</v>
      </c>
      <c r="F47" s="2230" t="s">
        <v>2642</v>
      </c>
      <c r="G47" s="2279" t="s">
        <v>2643</v>
      </c>
      <c r="H47" s="2281" t="s">
        <v>2644</v>
      </c>
      <c r="I47" s="2279" t="s">
        <v>2645</v>
      </c>
      <c r="J47" s="1906" t="s">
        <v>2646</v>
      </c>
      <c r="K47" s="1906" t="s">
        <v>2647</v>
      </c>
      <c r="L47" s="1906" t="s">
        <v>2648</v>
      </c>
      <c r="M47" s="1906" t="s">
        <v>2649</v>
      </c>
      <c r="N47" s="1906" t="s">
        <v>2650</v>
      </c>
      <c r="O47" s="1623"/>
      <c r="P47" s="1623"/>
      <c r="Q47" s="3048"/>
      <c r="R47" s="3048"/>
      <c r="S47" s="3048"/>
      <c r="T47" s="3048"/>
      <c r="U47" s="3048"/>
      <c r="V47" s="3048"/>
      <c r="W47" s="3048"/>
      <c r="X47" s="1623"/>
      <c r="Y47" s="1623"/>
      <c r="Z47" s="1623"/>
      <c r="AA47" s="1623"/>
      <c r="AB47" s="1623"/>
      <c r="AC47" s="1623"/>
      <c r="AD47" s="1623"/>
      <c r="AE47" s="1623"/>
      <c r="AF47" s="1623"/>
      <c r="AG47" s="1623"/>
    </row>
    <row r="48" spans="1:33" s="2265" customFormat="1" ht="38.25">
      <c r="A48" s="2278" t="s">
        <v>2651</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48"/>
      <c r="R48" s="3048"/>
      <c r="S48" s="3048"/>
      <c r="T48" s="3048"/>
      <c r="U48" s="3048"/>
      <c r="V48" s="3048"/>
      <c r="W48" s="3048"/>
      <c r="X48" s="1623"/>
      <c r="Y48" s="1623"/>
      <c r="Z48" s="1623"/>
      <c r="AA48" s="1623"/>
      <c r="AB48" s="1623"/>
      <c r="AC48" s="1623"/>
      <c r="AD48" s="1623"/>
      <c r="AE48" s="1623"/>
      <c r="AF48" s="1623"/>
      <c r="AG48" s="1623"/>
    </row>
    <row r="49" spans="1:33" s="2265" customFormat="1" ht="51">
      <c r="A49" s="2278" t="s">
        <v>2652</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48"/>
      <c r="R49" s="3048"/>
      <c r="S49" s="3048"/>
      <c r="T49" s="3048"/>
      <c r="U49" s="3048"/>
      <c r="V49" s="3048"/>
      <c r="W49" s="3048"/>
      <c r="X49" s="1623"/>
      <c r="Y49" s="1623"/>
      <c r="Z49" s="1623"/>
      <c r="AA49" s="1623"/>
      <c r="AB49" s="1623"/>
      <c r="AC49" s="1623"/>
      <c r="AD49" s="1623"/>
      <c r="AE49" s="1623"/>
      <c r="AF49" s="1623"/>
      <c r="AG49" s="1623"/>
    </row>
    <row r="50" spans="1:33" s="2265" customFormat="1" ht="24">
      <c r="A50" s="2278" t="s">
        <v>2653</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48"/>
      <c r="R50" s="3048"/>
      <c r="S50" s="3048"/>
      <c r="T50" s="3048"/>
      <c r="U50" s="3048"/>
      <c r="V50" s="3048"/>
      <c r="W50" s="3048"/>
      <c r="X50" s="1623"/>
      <c r="Y50" s="1623"/>
      <c r="Z50" s="1623"/>
      <c r="AA50" s="1623"/>
      <c r="AB50" s="1623"/>
      <c r="AC50" s="1623"/>
      <c r="AD50" s="1623"/>
      <c r="AE50" s="1623"/>
      <c r="AF50" s="1623"/>
      <c r="AG50" s="1623"/>
    </row>
    <row r="51" spans="1:33" s="2265" customFormat="1" ht="36.75">
      <c r="A51" s="2278" t="s">
        <v>2654</v>
      </c>
      <c r="B51" s="2292" t="s">
        <v>2655</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48"/>
      <c r="R51" s="3048"/>
      <c r="S51" s="3048"/>
      <c r="T51" s="3048"/>
      <c r="U51" s="3048"/>
      <c r="V51" s="3048"/>
      <c r="W51" s="3048"/>
      <c r="X51" s="1623"/>
      <c r="Y51" s="1623"/>
      <c r="Z51" s="1623"/>
      <c r="AA51" s="1623"/>
      <c r="AB51" s="1623"/>
      <c r="AC51" s="1623"/>
      <c r="AD51" s="1623"/>
      <c r="AE51" s="1623"/>
      <c r="AF51" s="1623"/>
      <c r="AG51" s="1623"/>
    </row>
    <row r="52" spans="1:33" s="2265" customFormat="1" ht="24">
      <c r="A52" s="2278" t="s">
        <v>2656</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48"/>
      <c r="R52" s="3048"/>
      <c r="S52" s="3048"/>
      <c r="T52" s="3048"/>
      <c r="U52" s="3048"/>
      <c r="V52" s="3048"/>
      <c r="W52" s="3048"/>
      <c r="X52" s="1623"/>
      <c r="Y52" s="1623"/>
      <c r="Z52" s="1623"/>
      <c r="AA52" s="1623"/>
      <c r="AB52" s="1623"/>
      <c r="AC52" s="1623"/>
      <c r="AD52" s="1623"/>
      <c r="AE52" s="1623"/>
      <c r="AF52" s="1623"/>
      <c r="AG52" s="1623"/>
    </row>
    <row r="53" spans="1:33" s="2265" customFormat="1" ht="24">
      <c r="A53" s="2278" t="s">
        <v>2657</v>
      </c>
      <c r="B53" s="2293" t="s">
        <v>2658</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48"/>
      <c r="R53" s="3048"/>
      <c r="S53" s="3048"/>
      <c r="T53" s="3048"/>
      <c r="U53" s="3048"/>
      <c r="V53" s="3048"/>
      <c r="W53" s="3048"/>
      <c r="X53" s="1623"/>
      <c r="Y53" s="1623"/>
      <c r="Z53" s="1623"/>
      <c r="AA53" s="1623"/>
      <c r="AB53" s="1623"/>
      <c r="AC53" s="1623"/>
      <c r="AD53" s="1623"/>
      <c r="AE53" s="1623"/>
      <c r="AF53" s="1623"/>
      <c r="AG53" s="1623"/>
    </row>
    <row r="54" spans="1:33" s="2265" customFormat="1" ht="25.5">
      <c r="A54" s="2294" t="s">
        <v>2659</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48"/>
      <c r="R54" s="3048"/>
      <c r="S54" s="3048"/>
      <c r="T54" s="3048"/>
      <c r="U54" s="3048"/>
      <c r="V54" s="3048"/>
      <c r="W54" s="3048"/>
      <c r="X54" s="1623"/>
      <c r="Y54" s="1623"/>
      <c r="Z54" s="1623"/>
      <c r="AA54" s="1623"/>
      <c r="AB54" s="1623"/>
      <c r="AC54" s="1623"/>
      <c r="AD54" s="1623"/>
      <c r="AE54" s="1623"/>
      <c r="AF54" s="1623"/>
      <c r="AG54" s="1623"/>
    </row>
    <row r="55" spans="1:33" s="2265" customFormat="1" ht="25.5">
      <c r="A55" s="2294" t="s">
        <v>2660</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48"/>
      <c r="R55" s="3048"/>
      <c r="S55" s="3048"/>
      <c r="T55" s="3048"/>
      <c r="U55" s="3048"/>
      <c r="V55" s="3048"/>
      <c r="W55" s="3048"/>
      <c r="X55" s="1623"/>
      <c r="Y55" s="1623"/>
      <c r="Z55" s="1623"/>
      <c r="AA55" s="1623"/>
      <c r="AB55" s="1623"/>
      <c r="AC55" s="1623"/>
      <c r="AD55" s="1623"/>
      <c r="AE55" s="1623"/>
      <c r="AF55" s="1623"/>
      <c r="AG55" s="1623"/>
    </row>
    <row r="56" spans="1:33" s="2265" customFormat="1" ht="39" thickBot="1">
      <c r="A56" s="2296" t="s">
        <v>2661</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48"/>
      <c r="R56" s="3048"/>
      <c r="S56" s="3048"/>
      <c r="T56" s="3048"/>
      <c r="U56" s="3048"/>
      <c r="V56" s="3048"/>
      <c r="W56" s="3048"/>
      <c r="X56" s="1623"/>
      <c r="Y56" s="1623"/>
      <c r="Z56" s="1623"/>
      <c r="AA56" s="1623"/>
      <c r="AB56" s="1623"/>
      <c r="AC56" s="1623"/>
      <c r="AD56" s="1623"/>
      <c r="AE56" s="1623"/>
      <c r="AF56" s="1623"/>
      <c r="AG56" s="1623"/>
    </row>
    <row r="57" spans="1:33" s="2265" customFormat="1" ht="15">
      <c r="A57" s="2271" t="s">
        <v>2662</v>
      </c>
      <c r="B57" s="2300">
        <f>1+E59</f>
        <v>1</v>
      </c>
      <c r="C57" s="2274"/>
      <c r="D57" s="2274"/>
      <c r="E57" s="2275"/>
      <c r="F57" s="2276"/>
      <c r="G57" s="608"/>
      <c r="H57" s="608"/>
      <c r="I57" s="608"/>
      <c r="J57" s="608"/>
      <c r="K57" s="608"/>
      <c r="L57" s="608"/>
      <c r="M57" s="608"/>
      <c r="N57" s="608"/>
      <c r="O57" s="1623"/>
      <c r="P57" s="1623"/>
      <c r="Q57" s="3048"/>
      <c r="R57" s="3048"/>
      <c r="S57" s="3048"/>
      <c r="T57" s="3048"/>
      <c r="U57" s="3048"/>
      <c r="V57" s="3048"/>
      <c r="W57" s="3048"/>
      <c r="X57" s="1623"/>
      <c r="Y57" s="1623"/>
      <c r="Z57" s="1623"/>
      <c r="AA57" s="1623"/>
      <c r="AB57" s="1623"/>
      <c r="AC57" s="1623"/>
      <c r="AD57" s="1623"/>
      <c r="AE57" s="1623"/>
      <c r="AF57" s="1623"/>
      <c r="AG57" s="1623"/>
    </row>
    <row r="58" spans="1:33" s="2265" customFormat="1" ht="24.75">
      <c r="A58" s="2278" t="s">
        <v>2637</v>
      </c>
      <c r="B58" s="2290"/>
      <c r="C58" s="2279" t="s">
        <v>2639</v>
      </c>
      <c r="D58" s="2279" t="s">
        <v>2640</v>
      </c>
      <c r="E58" s="2280" t="s">
        <v>2641</v>
      </c>
      <c r="F58" s="2230" t="s">
        <v>2642</v>
      </c>
      <c r="G58" s="2279" t="s">
        <v>2663</v>
      </c>
      <c r="H58" s="2281" t="s">
        <v>2664</v>
      </c>
      <c r="I58" s="2279" t="s">
        <v>2665</v>
      </c>
      <c r="J58" s="1906" t="s">
        <v>2305</v>
      </c>
      <c r="K58" s="1906" t="s">
        <v>2306</v>
      </c>
      <c r="L58" s="1906" t="s">
        <v>2307</v>
      </c>
      <c r="M58" s="1906" t="s">
        <v>2308</v>
      </c>
      <c r="N58" s="1906" t="s">
        <v>2309</v>
      </c>
      <c r="O58" s="1623"/>
      <c r="P58" s="1623"/>
      <c r="Q58" s="3048"/>
      <c r="R58" s="3048"/>
      <c r="S58" s="3048"/>
      <c r="T58" s="3048"/>
      <c r="U58" s="3048"/>
      <c r="V58" s="3048"/>
      <c r="W58" s="3048"/>
      <c r="X58" s="1623"/>
      <c r="Y58" s="1623"/>
      <c r="Z58" s="1623"/>
      <c r="AA58" s="1623"/>
      <c r="AB58" s="1623"/>
      <c r="AC58" s="1623"/>
      <c r="AD58" s="1623"/>
      <c r="AE58" s="1623"/>
      <c r="AF58" s="1623"/>
      <c r="AG58" s="1623"/>
    </row>
    <row r="59" spans="1:33" s="2265" customFormat="1" ht="38.25">
      <c r="A59" s="2278" t="s">
        <v>2666</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48"/>
      <c r="R59" s="3048"/>
      <c r="S59" s="3048"/>
      <c r="T59" s="3048"/>
      <c r="U59" s="3048"/>
      <c r="V59" s="3048"/>
      <c r="W59" s="3048"/>
      <c r="X59" s="1623"/>
      <c r="Y59" s="1623"/>
      <c r="Z59" s="1623"/>
      <c r="AA59" s="1623"/>
      <c r="AB59" s="1623"/>
      <c r="AC59" s="1623"/>
      <c r="AD59" s="1623"/>
      <c r="AE59" s="1623"/>
      <c r="AF59" s="1623"/>
      <c r="AG59" s="1623"/>
    </row>
    <row r="60" spans="1:33" s="2265" customFormat="1" ht="51">
      <c r="A60" s="2278" t="s">
        <v>2652</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48"/>
      <c r="R60" s="3048"/>
      <c r="S60" s="3048"/>
      <c r="T60" s="3048"/>
      <c r="U60" s="3048"/>
      <c r="V60" s="3048"/>
      <c r="W60" s="3048"/>
      <c r="X60" s="1623"/>
      <c r="Y60" s="1623"/>
      <c r="Z60" s="1623"/>
      <c r="AA60" s="1623"/>
      <c r="AB60" s="1623"/>
      <c r="AC60" s="1623"/>
      <c r="AD60" s="1623"/>
      <c r="AE60" s="1623"/>
      <c r="AF60" s="1623"/>
      <c r="AG60" s="1623"/>
    </row>
    <row r="61" spans="1:33" s="2265" customFormat="1" ht="24">
      <c r="A61" s="2278" t="s">
        <v>2653</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48"/>
      <c r="R61" s="3048"/>
      <c r="S61" s="3048"/>
      <c r="T61" s="3048"/>
      <c r="U61" s="3048"/>
      <c r="V61" s="3048"/>
      <c r="W61" s="3048"/>
      <c r="X61" s="1623"/>
      <c r="Y61" s="1623"/>
      <c r="Z61" s="1623"/>
      <c r="AA61" s="1623"/>
      <c r="AB61" s="1623"/>
      <c r="AC61" s="1623"/>
      <c r="AD61" s="1623"/>
      <c r="AE61" s="1623"/>
      <c r="AF61" s="1623"/>
      <c r="AG61" s="1623"/>
    </row>
    <row r="62" spans="1:33" s="2265" customFormat="1" ht="36.75">
      <c r="A62" s="2278" t="s">
        <v>2654</v>
      </c>
      <c r="B62" s="2292" t="s">
        <v>2655</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48"/>
      <c r="R62" s="3048"/>
      <c r="S62" s="3048"/>
      <c r="T62" s="3048"/>
      <c r="U62" s="3048"/>
      <c r="V62" s="3048"/>
      <c r="W62" s="3048"/>
      <c r="X62" s="1623"/>
      <c r="Y62" s="1623"/>
      <c r="Z62" s="1623"/>
      <c r="AA62" s="1623"/>
      <c r="AB62" s="1623"/>
      <c r="AC62" s="1623"/>
      <c r="AD62" s="1623"/>
      <c r="AE62" s="1623"/>
      <c r="AF62" s="1623"/>
      <c r="AG62" s="1623"/>
    </row>
    <row r="63" spans="1:33" s="2265" customFormat="1" ht="24">
      <c r="A63" s="2278" t="s">
        <v>2656</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48"/>
      <c r="R63" s="3048"/>
      <c r="S63" s="3048"/>
      <c r="T63" s="3048"/>
      <c r="U63" s="3048"/>
      <c r="V63" s="3048"/>
      <c r="W63" s="3048"/>
      <c r="X63" s="1623"/>
      <c r="Y63" s="1623"/>
      <c r="Z63" s="1623"/>
      <c r="AA63" s="1623"/>
      <c r="AB63" s="1623"/>
      <c r="AC63" s="1623"/>
      <c r="AD63" s="1623"/>
      <c r="AE63" s="1623"/>
      <c r="AF63" s="1623"/>
      <c r="AG63" s="1623"/>
    </row>
    <row r="64" spans="1:33" s="2265" customFormat="1" ht="24">
      <c r="A64" s="2278" t="s">
        <v>2657</v>
      </c>
      <c r="B64" s="2293" t="s">
        <v>2658</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48"/>
      <c r="R64" s="3048"/>
      <c r="S64" s="3048"/>
      <c r="T64" s="3048"/>
      <c r="U64" s="3048"/>
      <c r="V64" s="3048"/>
      <c r="W64" s="3048"/>
      <c r="X64" s="1623"/>
      <c r="Y64" s="1623"/>
      <c r="Z64" s="1623"/>
      <c r="AA64" s="1623"/>
      <c r="AB64" s="1623"/>
      <c r="AC64" s="1623"/>
      <c r="AD64" s="1623"/>
      <c r="AE64" s="1623"/>
      <c r="AF64" s="1623"/>
      <c r="AG64" s="1623"/>
    </row>
    <row r="65" spans="1:33" s="2265" customFormat="1" ht="25.5">
      <c r="A65" s="2278" t="s">
        <v>2659</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48"/>
      <c r="R65" s="3048"/>
      <c r="S65" s="3048"/>
      <c r="T65" s="3048"/>
      <c r="U65" s="3048"/>
      <c r="V65" s="3048"/>
      <c r="W65" s="3048"/>
      <c r="X65" s="1623"/>
      <c r="Y65" s="1623"/>
      <c r="Z65" s="1623"/>
      <c r="AA65" s="1623"/>
      <c r="AB65" s="1623"/>
      <c r="AC65" s="1623"/>
      <c r="AD65" s="1623"/>
      <c r="AE65" s="1623"/>
      <c r="AF65" s="1623"/>
      <c r="AG65" s="1623"/>
    </row>
    <row r="66" spans="1:33" s="2265" customFormat="1" ht="25.5">
      <c r="A66" s="2278" t="s">
        <v>2660</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48"/>
      <c r="R66" s="3048"/>
      <c r="S66" s="3048"/>
      <c r="T66" s="3048"/>
      <c r="U66" s="3048"/>
      <c r="V66" s="3048"/>
      <c r="W66" s="3048"/>
      <c r="X66" s="1623"/>
      <c r="Y66" s="1623"/>
      <c r="Z66" s="1623"/>
      <c r="AA66" s="1623"/>
      <c r="AB66" s="1623"/>
      <c r="AC66" s="1623"/>
      <c r="AD66" s="1623"/>
      <c r="AE66" s="1623"/>
      <c r="AF66" s="1623"/>
      <c r="AG66" s="1623"/>
    </row>
    <row r="67" spans="1:33" s="2265" customFormat="1" ht="39" thickBot="1">
      <c r="A67" s="2296" t="s">
        <v>2661</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48"/>
      <c r="R67" s="3048"/>
      <c r="S67" s="3048"/>
      <c r="T67" s="3048"/>
      <c r="U67" s="3048"/>
      <c r="V67" s="3048"/>
      <c r="W67" s="3048"/>
      <c r="X67" s="1623"/>
      <c r="Y67" s="1623"/>
      <c r="Z67" s="1623"/>
      <c r="AA67" s="1623"/>
      <c r="AB67" s="1623"/>
      <c r="AC67" s="1623"/>
      <c r="AD67" s="1623"/>
      <c r="AE67" s="1623"/>
      <c r="AF67" s="1623"/>
      <c r="AG67" s="1623"/>
    </row>
    <row r="68" spans="1:33" s="2265" customFormat="1" ht="15">
      <c r="A68" s="2271" t="s">
        <v>2667</v>
      </c>
      <c r="B68" s="2300">
        <f>1+E70</f>
        <v>1</v>
      </c>
      <c r="C68" s="2274"/>
      <c r="D68" s="2274"/>
      <c r="E68" s="2275"/>
      <c r="F68" s="2276"/>
      <c r="G68" s="608"/>
      <c r="H68" s="608"/>
      <c r="I68" s="608"/>
      <c r="J68" s="608"/>
      <c r="K68" s="608"/>
      <c r="L68" s="608"/>
      <c r="M68" s="608"/>
      <c r="N68" s="608"/>
      <c r="O68" s="1623"/>
      <c r="P68" s="1623"/>
      <c r="Q68" s="3048"/>
      <c r="R68" s="3048"/>
      <c r="S68" s="3048"/>
      <c r="T68" s="3048"/>
      <c r="U68" s="3048"/>
      <c r="V68" s="3048"/>
      <c r="W68" s="3048"/>
      <c r="X68" s="1623"/>
      <c r="Y68" s="1623"/>
      <c r="Z68" s="1623"/>
      <c r="AA68" s="1623"/>
      <c r="AB68" s="1623"/>
      <c r="AC68" s="1623"/>
      <c r="AD68" s="1623"/>
      <c r="AE68" s="1623"/>
      <c r="AF68" s="1623"/>
      <c r="AG68" s="1623"/>
    </row>
    <row r="69" spans="1:33" s="2265" customFormat="1" ht="24.75">
      <c r="A69" s="2278" t="s">
        <v>2637</v>
      </c>
      <c r="B69" s="2290"/>
      <c r="C69" s="2279" t="s">
        <v>2639</v>
      </c>
      <c r="D69" s="2279" t="s">
        <v>2640</v>
      </c>
      <c r="E69" s="2280" t="s">
        <v>2641</v>
      </c>
      <c r="F69" s="2230" t="s">
        <v>2642</v>
      </c>
      <c r="G69" s="2279" t="s">
        <v>2663</v>
      </c>
      <c r="H69" s="2281" t="s">
        <v>2664</v>
      </c>
      <c r="I69" s="2279" t="s">
        <v>2665</v>
      </c>
      <c r="J69" s="1906" t="s">
        <v>2305</v>
      </c>
      <c r="K69" s="1906" t="s">
        <v>2306</v>
      </c>
      <c r="L69" s="1906" t="s">
        <v>2307</v>
      </c>
      <c r="M69" s="1906" t="s">
        <v>2308</v>
      </c>
      <c r="N69" s="1906" t="s">
        <v>2309</v>
      </c>
      <c r="O69" s="1623"/>
      <c r="P69" s="1623"/>
      <c r="Q69" s="3048"/>
      <c r="R69" s="3048"/>
      <c r="S69" s="3048"/>
      <c r="T69" s="3048"/>
      <c r="U69" s="3048"/>
      <c r="V69" s="3048"/>
      <c r="W69" s="3048"/>
      <c r="X69" s="1623"/>
      <c r="Y69" s="1623"/>
      <c r="Z69" s="1623"/>
      <c r="AA69" s="1623"/>
      <c r="AB69" s="1623"/>
      <c r="AC69" s="1623"/>
      <c r="AD69" s="1623"/>
      <c r="AE69" s="1623"/>
      <c r="AF69" s="1623"/>
      <c r="AG69" s="1623"/>
    </row>
    <row r="70" spans="1:33" s="2265" customFormat="1" ht="51">
      <c r="A70" s="2278" t="s">
        <v>2668</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v>
      </c>
      <c r="G70" s="2286"/>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48"/>
      <c r="R70" s="3048"/>
      <c r="S70" s="3048"/>
      <c r="T70" s="3048"/>
      <c r="U70" s="3048"/>
      <c r="V70" s="3048"/>
      <c r="W70" s="3048"/>
      <c r="X70" s="1623"/>
      <c r="Y70" s="1623"/>
      <c r="Z70" s="1623"/>
      <c r="AA70" s="1623"/>
      <c r="AB70" s="1623"/>
      <c r="AC70" s="1623"/>
      <c r="AD70" s="1623"/>
      <c r="AE70" s="1623"/>
      <c r="AF70" s="1623"/>
      <c r="AG70" s="1623"/>
    </row>
    <row r="71" spans="1:33" s="2265" customFormat="1" ht="51">
      <c r="A71" s="2278" t="s">
        <v>2652</v>
      </c>
      <c r="B71" s="2290" t="str">
        <f>估价对象房地状况!C18</f>
        <v>估价对象周边道路状况、公共交通通达情况、停车便捷程度，综合评价交通便捷度较好</v>
      </c>
      <c r="C71" s="2166"/>
      <c r="D71" s="2283">
        <f t="shared" si="20"/>
        <v>0</v>
      </c>
      <c r="E71" s="2291"/>
      <c r="F71" s="2285"/>
      <c r="G71" s="2286"/>
      <c r="H71" s="2287">
        <f t="shared" si="21"/>
        <v>0</v>
      </c>
      <c r="I71" s="2288">
        <v>0.3</v>
      </c>
      <c r="J71" s="2289">
        <f t="shared" si="22"/>
        <v>0</v>
      </c>
      <c r="K71" s="2289">
        <f t="shared" si="23"/>
        <v>0</v>
      </c>
      <c r="L71" s="2289">
        <v>0</v>
      </c>
      <c r="M71" s="2289">
        <f t="shared" si="24"/>
        <v>0</v>
      </c>
      <c r="N71" s="2289">
        <f t="shared" si="24"/>
        <v>0</v>
      </c>
      <c r="O71" s="1623"/>
      <c r="P71" s="1623"/>
      <c r="Q71" s="3048"/>
      <c r="R71" s="3048"/>
      <c r="S71" s="3048"/>
      <c r="T71" s="3048"/>
      <c r="U71" s="3048"/>
      <c r="V71" s="3048"/>
      <c r="W71" s="3048"/>
      <c r="X71" s="1623"/>
      <c r="Y71" s="1623"/>
      <c r="Z71" s="1623"/>
      <c r="AA71" s="1623"/>
      <c r="AB71" s="1623"/>
      <c r="AC71" s="1623"/>
      <c r="AD71" s="1623"/>
      <c r="AE71" s="1623"/>
      <c r="AF71" s="1623"/>
      <c r="AG71" s="1623"/>
    </row>
    <row r="72" spans="1:33" s="2265" customFormat="1" ht="24">
      <c r="A72" s="2278" t="s">
        <v>2653</v>
      </c>
      <c r="B72" s="2290">
        <f>估价对象房地状况!C19</f>
        <v>0</v>
      </c>
      <c r="C72" s="2166"/>
      <c r="D72" s="2283">
        <f t="shared" si="20"/>
        <v>0</v>
      </c>
      <c r="E72" s="2291"/>
      <c r="F72" s="2285"/>
      <c r="G72" s="2286"/>
      <c r="H72" s="2287">
        <f t="shared" si="21"/>
        <v>0</v>
      </c>
      <c r="I72" s="2288">
        <v>0.08</v>
      </c>
      <c r="J72" s="2289">
        <f t="shared" si="22"/>
        <v>0</v>
      </c>
      <c r="K72" s="2289">
        <f t="shared" si="23"/>
        <v>0</v>
      </c>
      <c r="L72" s="2289">
        <v>0</v>
      </c>
      <c r="M72" s="2289">
        <f t="shared" si="24"/>
        <v>0</v>
      </c>
      <c r="N72" s="2289">
        <f t="shared" si="24"/>
        <v>0</v>
      </c>
      <c r="O72" s="1623"/>
      <c r="P72" s="1623"/>
      <c r="Q72" s="3048"/>
      <c r="R72" s="3048"/>
      <c r="S72" s="3048"/>
      <c r="T72" s="3048"/>
      <c r="U72" s="3048"/>
      <c r="V72" s="3048"/>
      <c r="W72" s="3048"/>
      <c r="X72" s="1623"/>
      <c r="Y72" s="1623"/>
      <c r="Z72" s="1623"/>
      <c r="AA72" s="1623"/>
      <c r="AB72" s="1623"/>
      <c r="AC72" s="1623"/>
      <c r="AD72" s="1623"/>
      <c r="AE72" s="1623"/>
      <c r="AF72" s="1623"/>
      <c r="AG72" s="1623"/>
    </row>
    <row r="73" spans="1:33" s="2265" customFormat="1" ht="14.25">
      <c r="A73" s="2278" t="s">
        <v>2669</v>
      </c>
      <c r="B73" s="2290">
        <f>估价对象房地状况!C24</f>
        <v>0</v>
      </c>
      <c r="C73" s="2166"/>
      <c r="D73" s="2283">
        <f t="shared" si="20"/>
        <v>0</v>
      </c>
      <c r="E73" s="2291"/>
      <c r="F73" s="2285"/>
      <c r="G73" s="2286"/>
      <c r="H73" s="2287">
        <f t="shared" si="21"/>
        <v>0</v>
      </c>
      <c r="I73" s="2288">
        <v>0.04</v>
      </c>
      <c r="J73" s="2289">
        <f t="shared" si="22"/>
        <v>0</v>
      </c>
      <c r="K73" s="2289">
        <f t="shared" si="23"/>
        <v>0</v>
      </c>
      <c r="L73" s="2289">
        <v>0</v>
      </c>
      <c r="M73" s="2289">
        <f t="shared" si="24"/>
        <v>0</v>
      </c>
      <c r="N73" s="2289">
        <f t="shared" si="24"/>
        <v>0</v>
      </c>
      <c r="O73" s="1623"/>
      <c r="P73" s="1623"/>
      <c r="Q73" s="3048"/>
      <c r="R73" s="3048"/>
      <c r="S73" s="3048"/>
      <c r="T73" s="3048"/>
      <c r="U73" s="3048"/>
      <c r="V73" s="3048"/>
      <c r="W73" s="3048"/>
      <c r="X73" s="1623"/>
      <c r="Y73" s="1623"/>
      <c r="Z73" s="1623"/>
      <c r="AA73" s="1623"/>
      <c r="AB73" s="1623"/>
      <c r="AC73" s="1623"/>
      <c r="AD73" s="1623"/>
      <c r="AE73" s="1623"/>
      <c r="AF73" s="1623"/>
      <c r="AG73" s="1623"/>
    </row>
    <row r="74" spans="1:33" s="2265" customFormat="1" ht="25.5">
      <c r="A74" s="2278" t="s">
        <v>2659</v>
      </c>
      <c r="B74" s="2295" t="str">
        <f>估价对象房地状况!C21</f>
        <v>估价对象所在区域公共配套设施齐备情况</v>
      </c>
      <c r="C74" s="2166"/>
      <c r="D74" s="2283">
        <f t="shared" si="20"/>
        <v>0</v>
      </c>
      <c r="E74" s="2291"/>
      <c r="F74" s="2285"/>
      <c r="G74" s="2286"/>
      <c r="H74" s="2287">
        <f t="shared" si="21"/>
        <v>0</v>
      </c>
      <c r="I74" s="2288">
        <v>0.08</v>
      </c>
      <c r="J74" s="2289">
        <f t="shared" si="22"/>
        <v>0</v>
      </c>
      <c r="K74" s="2289">
        <f t="shared" si="23"/>
        <v>0</v>
      </c>
      <c r="L74" s="2289">
        <v>0</v>
      </c>
      <c r="M74" s="2289">
        <f t="shared" si="24"/>
        <v>0</v>
      </c>
      <c r="N74" s="2289">
        <f t="shared" si="24"/>
        <v>0</v>
      </c>
      <c r="O74" s="1623"/>
      <c r="P74" s="1623"/>
      <c r="Q74" s="3048"/>
      <c r="R74" s="3048"/>
      <c r="S74" s="3048"/>
      <c r="T74" s="3048"/>
      <c r="U74" s="3048"/>
      <c r="V74" s="3048"/>
      <c r="W74" s="3048"/>
      <c r="X74" s="1623"/>
      <c r="Y74" s="1623"/>
      <c r="Z74" s="1623"/>
      <c r="AA74" s="1623"/>
      <c r="AB74" s="1623"/>
      <c r="AC74" s="1623"/>
      <c r="AD74" s="1623"/>
      <c r="AE74" s="1623"/>
      <c r="AF74" s="1623"/>
      <c r="AG74" s="1623"/>
    </row>
    <row r="75" spans="1:33" s="2265" customFormat="1" ht="25.5">
      <c r="A75" s="2278" t="s">
        <v>2660</v>
      </c>
      <c r="B75" s="2295" t="str">
        <f>估价对象房地状况!C22</f>
        <v>估价对象所在区域基础设施水平</v>
      </c>
      <c r="C75" s="2166"/>
      <c r="D75" s="2283">
        <f t="shared" si="20"/>
        <v>0</v>
      </c>
      <c r="E75" s="2291"/>
      <c r="F75" s="2285"/>
      <c r="G75" s="2286"/>
      <c r="H75" s="2287">
        <f t="shared" si="21"/>
        <v>0</v>
      </c>
      <c r="I75" s="2288">
        <v>0.12</v>
      </c>
      <c r="J75" s="2289">
        <f t="shared" si="22"/>
        <v>0</v>
      </c>
      <c r="K75" s="2289">
        <f t="shared" si="23"/>
        <v>0</v>
      </c>
      <c r="L75" s="2289">
        <v>0</v>
      </c>
      <c r="M75" s="2289">
        <f t="shared" si="24"/>
        <v>0</v>
      </c>
      <c r="N75" s="2289">
        <f t="shared" si="24"/>
        <v>0</v>
      </c>
      <c r="O75" s="1623"/>
      <c r="P75" s="1623"/>
      <c r="Q75" s="3048"/>
      <c r="R75" s="3048"/>
      <c r="S75" s="3048"/>
      <c r="T75" s="3048"/>
      <c r="U75" s="3048"/>
      <c r="V75" s="3048"/>
      <c r="W75" s="3048"/>
      <c r="X75" s="1623"/>
      <c r="Y75" s="1623"/>
      <c r="Z75" s="1623"/>
      <c r="AA75" s="1623"/>
      <c r="AB75" s="1623"/>
      <c r="AC75" s="1623"/>
      <c r="AD75" s="1623"/>
      <c r="AE75" s="1623"/>
      <c r="AF75" s="1623"/>
      <c r="AG75" s="1623"/>
    </row>
    <row r="76" spans="1:33" ht="24">
      <c r="A76" s="2278" t="s">
        <v>2657</v>
      </c>
      <c r="B76" s="2293" t="s">
        <v>2658</v>
      </c>
      <c r="C76" s="2166"/>
      <c r="D76" s="2283">
        <f t="shared" si="20"/>
        <v>0</v>
      </c>
      <c r="E76" s="2291"/>
      <c r="F76" s="2285"/>
      <c r="G76" s="2286"/>
      <c r="H76" s="2287">
        <f t="shared" si="21"/>
        <v>0</v>
      </c>
      <c r="I76" s="2288">
        <v>0.05</v>
      </c>
      <c r="J76" s="2289">
        <f t="shared" si="22"/>
        <v>0</v>
      </c>
      <c r="K76" s="2289">
        <f t="shared" si="23"/>
        <v>0</v>
      </c>
      <c r="L76" s="2289">
        <v>0</v>
      </c>
      <c r="M76" s="2289">
        <f t="shared" si="24"/>
        <v>0</v>
      </c>
      <c r="N76" s="2289">
        <f t="shared" si="24"/>
        <v>0</v>
      </c>
      <c r="Q76" s="3056"/>
      <c r="R76" s="3056"/>
      <c r="S76" s="3056"/>
      <c r="T76" s="3056"/>
      <c r="U76" s="3056"/>
      <c r="V76" s="3056"/>
      <c r="W76" s="3056"/>
      <c r="AA76" s="1624"/>
      <c r="AG76" s="2265"/>
    </row>
    <row r="77" spans="1:33" ht="38.25">
      <c r="A77" s="2278" t="s">
        <v>2661</v>
      </c>
      <c r="B77" s="2282" t="str">
        <f>估价对象房地状况!C20</f>
        <v>区域自然环境：；人文环境；综合评价环境状况一般</v>
      </c>
      <c r="C77" s="2166"/>
      <c r="D77" s="2283">
        <f t="shared" si="20"/>
        <v>0</v>
      </c>
      <c r="E77" s="2291"/>
      <c r="F77" s="2285"/>
      <c r="G77" s="2286"/>
      <c r="H77" s="2287">
        <f t="shared" si="21"/>
        <v>0</v>
      </c>
      <c r="I77" s="2288">
        <v>0.15</v>
      </c>
      <c r="J77" s="2289">
        <f t="shared" si="22"/>
        <v>0</v>
      </c>
      <c r="K77" s="2289">
        <f t="shared" si="23"/>
        <v>0</v>
      </c>
      <c r="L77" s="2289">
        <v>0</v>
      </c>
      <c r="M77" s="2289">
        <f t="shared" si="24"/>
        <v>0</v>
      </c>
      <c r="N77" s="2289">
        <f t="shared" si="24"/>
        <v>0</v>
      </c>
      <c r="Q77" s="3056"/>
      <c r="R77" s="3056"/>
      <c r="S77" s="3056"/>
      <c r="T77" s="3056"/>
      <c r="U77" s="3056"/>
      <c r="V77" s="3056"/>
      <c r="W77" s="3056"/>
      <c r="AA77" s="1624"/>
      <c r="AG77" s="2265"/>
    </row>
    <row r="78" spans="1:33" ht="24.75" thickBot="1">
      <c r="A78" s="2296" t="s">
        <v>2670</v>
      </c>
      <c r="B78" s="2302"/>
      <c r="C78" s="2166"/>
      <c r="D78" s="2283">
        <f t="shared" si="20"/>
        <v>0</v>
      </c>
      <c r="E78" s="2298"/>
      <c r="F78" s="2285"/>
      <c r="G78" s="2286"/>
      <c r="H78" s="2287">
        <f t="shared" si="21"/>
        <v>0</v>
      </c>
      <c r="I78" s="2299">
        <v>0.04</v>
      </c>
      <c r="J78" s="2289">
        <f t="shared" si="22"/>
        <v>0</v>
      </c>
      <c r="K78" s="2289">
        <f t="shared" si="23"/>
        <v>0</v>
      </c>
      <c r="L78" s="2289">
        <v>0</v>
      </c>
      <c r="M78" s="2289">
        <f t="shared" si="24"/>
        <v>0</v>
      </c>
      <c r="N78" s="2289">
        <f t="shared" si="24"/>
        <v>0</v>
      </c>
      <c r="Q78" s="3056"/>
      <c r="R78" s="3056"/>
      <c r="S78" s="3056"/>
      <c r="T78" s="3056"/>
      <c r="U78" s="3056"/>
      <c r="V78" s="3056"/>
      <c r="W78" s="3056"/>
      <c r="AA78" s="1624"/>
      <c r="AG78" s="2265"/>
    </row>
    <row r="79" spans="1:33" ht="15">
      <c r="A79" s="2271" t="s">
        <v>2671</v>
      </c>
      <c r="B79" s="2300">
        <f>1+E81</f>
        <v>1</v>
      </c>
      <c r="C79" s="2274"/>
      <c r="D79" s="2274"/>
      <c r="E79" s="2275"/>
      <c r="F79" s="2276"/>
      <c r="G79" s="608"/>
      <c r="H79" s="608"/>
      <c r="I79" s="608"/>
      <c r="J79" s="608"/>
      <c r="K79" s="608"/>
      <c r="L79" s="608"/>
      <c r="M79" s="608"/>
      <c r="N79" s="608"/>
      <c r="Q79" s="3056"/>
      <c r="R79" s="3056"/>
      <c r="S79" s="3056"/>
      <c r="T79" s="3056"/>
      <c r="U79" s="3056"/>
      <c r="V79" s="3056"/>
      <c r="W79" s="3056"/>
      <c r="AA79" s="1624"/>
      <c r="AG79" s="2265"/>
    </row>
    <row r="80" spans="1:33" ht="24.75">
      <c r="A80" s="2278" t="s">
        <v>2637</v>
      </c>
      <c r="B80" s="2290"/>
      <c r="C80" s="2279" t="s">
        <v>2639</v>
      </c>
      <c r="D80" s="2279" t="s">
        <v>2640</v>
      </c>
      <c r="E80" s="2280" t="s">
        <v>2641</v>
      </c>
      <c r="F80" s="2230" t="s">
        <v>2642</v>
      </c>
      <c r="G80" s="2279" t="s">
        <v>2663</v>
      </c>
      <c r="H80" s="2281" t="s">
        <v>2664</v>
      </c>
      <c r="I80" s="2279" t="s">
        <v>2665</v>
      </c>
      <c r="J80" s="1906" t="s">
        <v>2305</v>
      </c>
      <c r="K80" s="1906" t="s">
        <v>2306</v>
      </c>
      <c r="L80" s="1906" t="s">
        <v>2307</v>
      </c>
      <c r="M80" s="1906" t="s">
        <v>2308</v>
      </c>
      <c r="N80" s="1906" t="s">
        <v>2309</v>
      </c>
      <c r="Q80" s="3056"/>
      <c r="R80" s="3056"/>
      <c r="S80" s="3056"/>
      <c r="T80" s="3056"/>
      <c r="U80" s="3056"/>
      <c r="V80" s="3056"/>
      <c r="W80" s="3056"/>
      <c r="AA80" s="1624"/>
      <c r="AG80" s="2265"/>
    </row>
    <row r="81" spans="1:33" ht="38.25">
      <c r="A81" s="2278" t="s">
        <v>2672</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6"/>
      <c r="R81" s="3056"/>
      <c r="S81" s="3056"/>
      <c r="T81" s="3056"/>
      <c r="U81" s="3056"/>
      <c r="V81" s="3056"/>
      <c r="W81" s="3056"/>
      <c r="AA81" s="1624"/>
      <c r="AG81" s="2265"/>
    </row>
    <row r="82" spans="1:33" ht="51">
      <c r="A82" s="2278" t="s">
        <v>2652</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6"/>
      <c r="R82" s="3056"/>
      <c r="S82" s="3056"/>
      <c r="T82" s="3056"/>
      <c r="U82" s="3056"/>
      <c r="V82" s="3056"/>
      <c r="W82" s="3056"/>
      <c r="AA82" s="1624"/>
      <c r="AG82" s="2265"/>
    </row>
    <row r="83" spans="1:33" ht="24">
      <c r="A83" s="2278" t="s">
        <v>2653</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6"/>
      <c r="R83" s="3056"/>
      <c r="S83" s="3056"/>
      <c r="T83" s="3056"/>
      <c r="U83" s="3056"/>
      <c r="V83" s="3056"/>
      <c r="W83" s="3056"/>
      <c r="AA83" s="1624"/>
      <c r="AG83" s="2265"/>
    </row>
    <row r="84" spans="1:33" ht="14.25">
      <c r="A84" s="2278" t="s">
        <v>2669</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6"/>
      <c r="R84" s="3056"/>
      <c r="S84" s="3056"/>
      <c r="T84" s="3056"/>
      <c r="U84" s="3056"/>
      <c r="V84" s="3056"/>
      <c r="W84" s="3056"/>
      <c r="AA84" s="1624"/>
      <c r="AG84" s="2265"/>
    </row>
    <row r="85" spans="1:33" ht="25.5">
      <c r="A85" s="2278" t="s">
        <v>2659</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6"/>
      <c r="R85" s="3056"/>
      <c r="S85" s="3056"/>
      <c r="T85" s="3056"/>
      <c r="U85" s="3056"/>
      <c r="V85" s="3056"/>
      <c r="W85" s="3056"/>
      <c r="AA85" s="1624"/>
      <c r="AG85" s="2265"/>
    </row>
    <row r="86" spans="1:33" ht="25.5">
      <c r="A86" s="2278" t="s">
        <v>2660</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6"/>
      <c r="R86" s="3056"/>
      <c r="S86" s="3056"/>
      <c r="T86" s="3056"/>
      <c r="U86" s="3056"/>
      <c r="V86" s="3056"/>
      <c r="W86" s="3056"/>
      <c r="AA86" s="1624"/>
      <c r="AG86" s="2265"/>
    </row>
    <row r="87" spans="1:33" ht="24">
      <c r="A87" s="2278" t="s">
        <v>2657</v>
      </c>
      <c r="B87" s="2293" t="s">
        <v>2658</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6"/>
      <c r="R87" s="3056"/>
      <c r="S87" s="3056"/>
      <c r="T87" s="3056"/>
      <c r="U87" s="3056"/>
      <c r="V87" s="3056"/>
      <c r="W87" s="3056"/>
      <c r="AA87" s="1624"/>
      <c r="AG87" s="2265"/>
    </row>
    <row r="88" spans="1:33" ht="39" thickBot="1">
      <c r="A88" s="2296" t="s">
        <v>2673</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6"/>
      <c r="R88" s="3056"/>
      <c r="S88" s="3056"/>
      <c r="T88" s="3056"/>
      <c r="U88" s="3056"/>
      <c r="V88" s="3056"/>
      <c r="W88" s="3056"/>
      <c r="AA88" s="1624"/>
      <c r="AG88" s="2265"/>
    </row>
    <row r="89" spans="1:33">
      <c r="Q89" s="3056"/>
      <c r="R89" s="3056"/>
      <c r="S89" s="3056"/>
      <c r="T89" s="3056"/>
      <c r="U89" s="3056"/>
      <c r="V89" s="3056"/>
      <c r="W89" s="3056"/>
    </row>
    <row r="90" spans="1:33">
      <c r="A90" s="3550" t="s">
        <v>2674</v>
      </c>
      <c r="B90" s="3550"/>
      <c r="C90" s="3550"/>
      <c r="D90" s="3550"/>
      <c r="E90" s="3550"/>
      <c r="F90" s="3550"/>
      <c r="G90" s="3550"/>
      <c r="H90" s="3550"/>
      <c r="I90" s="3550"/>
      <c r="J90" s="3550"/>
      <c r="K90" s="2306"/>
      <c r="L90" s="2306"/>
      <c r="M90" s="2306"/>
      <c r="N90" s="2306"/>
      <c r="Q90" s="3056"/>
      <c r="R90" s="3056"/>
      <c r="S90" s="3056"/>
      <c r="T90" s="3056"/>
      <c r="U90" s="3056"/>
      <c r="V90" s="3056"/>
      <c r="W90" s="3056"/>
    </row>
    <row r="91" spans="1:33">
      <c r="A91" s="3552" t="s">
        <v>2675</v>
      </c>
      <c r="B91" s="3552" t="s">
        <v>2676</v>
      </c>
      <c r="C91" s="2245" t="s">
        <v>2677</v>
      </c>
      <c r="D91" s="2246"/>
      <c r="E91" s="2246"/>
      <c r="F91" s="2246"/>
      <c r="G91" s="2246"/>
      <c r="H91" s="2246"/>
      <c r="I91" s="2246"/>
      <c r="J91" s="2308"/>
      <c r="K91" s="2068"/>
      <c r="L91" s="2068"/>
      <c r="M91" s="2068"/>
      <c r="N91" s="2068"/>
      <c r="Q91" s="3056"/>
      <c r="R91" s="3056"/>
      <c r="S91" s="3056"/>
      <c r="T91" s="3056"/>
      <c r="U91" s="3056"/>
      <c r="V91" s="3056"/>
      <c r="W91" s="3056"/>
    </row>
    <row r="92" spans="1:33">
      <c r="A92" s="3552"/>
      <c r="B92" s="3552"/>
      <c r="C92" s="2031" t="s">
        <v>2530</v>
      </c>
      <c r="D92" s="2031" t="s">
        <v>2531</v>
      </c>
      <c r="E92" s="2031" t="s">
        <v>2532</v>
      </c>
      <c r="F92" s="2031" t="s">
        <v>2533</v>
      </c>
      <c r="G92" s="2031" t="s">
        <v>2534</v>
      </c>
      <c r="H92" s="2031" t="s">
        <v>2535</v>
      </c>
      <c r="I92" s="2031" t="s">
        <v>2536</v>
      </c>
      <c r="J92" s="2031" t="s">
        <v>2537</v>
      </c>
      <c r="K92" s="2031" t="s">
        <v>2538</v>
      </c>
      <c r="L92" s="2031" t="s">
        <v>2539</v>
      </c>
      <c r="M92" s="2031" t="s">
        <v>2540</v>
      </c>
      <c r="N92" s="2031" t="s">
        <v>2541</v>
      </c>
      <c r="Q92" s="3056"/>
      <c r="R92" s="3056"/>
      <c r="S92" s="3056"/>
      <c r="T92" s="3056"/>
      <c r="U92" s="3056"/>
      <c r="V92" s="3056"/>
      <c r="W92" s="3056"/>
    </row>
    <row r="93" spans="1:33">
      <c r="A93" s="3553" t="s">
        <v>2678</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6"/>
      <c r="R93" s="3056"/>
      <c r="S93" s="3056"/>
      <c r="T93" s="3056"/>
      <c r="U93" s="3056"/>
      <c r="V93" s="3056"/>
      <c r="W93" s="3056"/>
    </row>
    <row r="94" spans="1:33">
      <c r="A94" s="3554"/>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6"/>
      <c r="R94" s="3056"/>
      <c r="S94" s="3056"/>
      <c r="T94" s="3056"/>
      <c r="U94" s="3056"/>
      <c r="V94" s="3056"/>
      <c r="W94" s="3056"/>
    </row>
    <row r="95" spans="1:33">
      <c r="A95" s="3554"/>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6"/>
      <c r="R95" s="3056"/>
      <c r="S95" s="3056"/>
      <c r="T95" s="3056"/>
      <c r="U95" s="3056"/>
      <c r="V95" s="3056"/>
      <c r="W95" s="3056"/>
    </row>
    <row r="96" spans="1:33">
      <c r="A96" s="3554"/>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6"/>
      <c r="R96" s="3056"/>
      <c r="S96" s="3056"/>
      <c r="T96" s="3056"/>
      <c r="U96" s="3056"/>
      <c r="V96" s="3056"/>
      <c r="W96" s="3056"/>
    </row>
    <row r="97" spans="1:23">
      <c r="A97" s="3554"/>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6"/>
      <c r="R97" s="3056"/>
      <c r="S97" s="3056"/>
      <c r="T97" s="3056"/>
      <c r="U97" s="3056"/>
      <c r="V97" s="3056"/>
      <c r="W97" s="3056"/>
    </row>
    <row r="98" spans="1:23">
      <c r="A98" s="3554"/>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6"/>
      <c r="R98" s="3056"/>
      <c r="S98" s="3056"/>
      <c r="T98" s="3056"/>
      <c r="U98" s="3056"/>
      <c r="V98" s="3056"/>
      <c r="W98" s="3056"/>
    </row>
    <row r="99" spans="1:23">
      <c r="A99" s="3554"/>
      <c r="B99" s="2309" t="s">
        <v>2546</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6"/>
      <c r="R99" s="3056"/>
      <c r="S99" s="3056"/>
      <c r="T99" s="3056"/>
      <c r="U99" s="3056"/>
      <c r="V99" s="3056"/>
      <c r="W99" s="3056"/>
    </row>
    <row r="100" spans="1:23">
      <c r="A100" s="3555"/>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6"/>
      <c r="R100" s="3056"/>
      <c r="S100" s="3056"/>
      <c r="T100" s="3056"/>
      <c r="U100" s="3056"/>
      <c r="V100" s="3056"/>
      <c r="W100" s="3056"/>
    </row>
    <row r="101" spans="1:23">
      <c r="A101" s="3553" t="s">
        <v>2679</v>
      </c>
      <c r="B101" s="2313" t="s">
        <v>2680</v>
      </c>
      <c r="C101" s="2314">
        <f>$G$3</f>
        <v>0</v>
      </c>
      <c r="D101" s="2314">
        <f t="shared" ref="D101:N101" si="31">$G$3</f>
        <v>0</v>
      </c>
      <c r="E101" s="2314">
        <f t="shared" si="31"/>
        <v>0</v>
      </c>
      <c r="F101" s="2314">
        <f t="shared" si="31"/>
        <v>0</v>
      </c>
      <c r="G101" s="2314">
        <f t="shared" si="31"/>
        <v>0</v>
      </c>
      <c r="H101" s="2314">
        <f t="shared" si="31"/>
        <v>0</v>
      </c>
      <c r="I101" s="2314">
        <f t="shared" si="31"/>
        <v>0</v>
      </c>
      <c r="J101" s="2314">
        <f t="shared" si="31"/>
        <v>0</v>
      </c>
      <c r="K101" s="2314">
        <f t="shared" si="31"/>
        <v>0</v>
      </c>
      <c r="L101" s="2314">
        <f t="shared" si="31"/>
        <v>0</v>
      </c>
      <c r="M101" s="2314">
        <f t="shared" si="31"/>
        <v>0</v>
      </c>
      <c r="N101" s="2314">
        <f t="shared" si="31"/>
        <v>0</v>
      </c>
      <c r="Q101" s="3056"/>
      <c r="R101" s="3056"/>
      <c r="S101" s="3056"/>
      <c r="T101" s="3056"/>
      <c r="U101" s="3056"/>
      <c r="V101" s="3056"/>
      <c r="W101" s="3056"/>
    </row>
    <row r="102" spans="1:23">
      <c r="A102" s="3554"/>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6"/>
      <c r="R102" s="3056"/>
      <c r="S102" s="3056"/>
      <c r="T102" s="3056"/>
      <c r="U102" s="3056"/>
      <c r="V102" s="3056"/>
      <c r="W102" s="3056"/>
    </row>
    <row r="103" spans="1:23">
      <c r="A103" s="3554"/>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6"/>
      <c r="R103" s="3056"/>
      <c r="S103" s="3056"/>
      <c r="T103" s="3056"/>
      <c r="U103" s="3056"/>
      <c r="V103" s="3056"/>
      <c r="W103" s="3056"/>
    </row>
    <row r="104" spans="1:23">
      <c r="A104" s="3554"/>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6"/>
      <c r="R104" s="3056"/>
      <c r="S104" s="3056"/>
      <c r="T104" s="3056"/>
      <c r="U104" s="3056"/>
      <c r="V104" s="3056"/>
      <c r="W104" s="3056"/>
    </row>
    <row r="105" spans="1:23">
      <c r="A105" s="3554"/>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6"/>
      <c r="R105" s="3056"/>
      <c r="S105" s="3056"/>
      <c r="T105" s="3056"/>
      <c r="U105" s="3056"/>
      <c r="V105" s="3056"/>
      <c r="W105" s="3056"/>
    </row>
    <row r="106" spans="1:23">
      <c r="A106" s="3554"/>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6"/>
      <c r="R106" s="3056"/>
      <c r="S106" s="3056"/>
      <c r="T106" s="3056"/>
      <c r="U106" s="3056"/>
      <c r="V106" s="3056"/>
      <c r="W106" s="3056"/>
    </row>
    <row r="107" spans="1:23">
      <c r="A107" s="3554"/>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6"/>
      <c r="R107" s="3056"/>
      <c r="S107" s="3056"/>
      <c r="T107" s="3056"/>
      <c r="U107" s="3056"/>
      <c r="V107" s="3056"/>
      <c r="W107" s="3056"/>
    </row>
    <row r="108" spans="1:23">
      <c r="A108" s="3554"/>
      <c r="B108" s="3556" t="s">
        <v>2681</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6"/>
      <c r="R108" s="3056"/>
      <c r="S108" s="3056"/>
      <c r="T108" s="3056"/>
      <c r="U108" s="3056"/>
      <c r="V108" s="3056"/>
      <c r="W108" s="3056"/>
    </row>
    <row r="109" spans="1:23">
      <c r="A109" s="3555"/>
      <c r="B109" s="3557"/>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6"/>
      <c r="R109" s="3056"/>
      <c r="S109" s="3056"/>
      <c r="T109" s="3056"/>
      <c r="U109" s="3056"/>
      <c r="V109" s="3056"/>
      <c r="W109" s="3056"/>
    </row>
    <row r="110" spans="1:23">
      <c r="A110" s="3551" t="s">
        <v>2682</v>
      </c>
      <c r="B110" s="3551"/>
      <c r="C110" s="3551"/>
      <c r="D110" s="3551"/>
      <c r="E110" s="3551"/>
      <c r="F110" s="3551"/>
      <c r="G110" s="3551"/>
      <c r="H110" s="3551"/>
      <c r="I110" s="3551"/>
      <c r="J110" s="3551"/>
      <c r="K110" s="2080"/>
      <c r="L110" s="2080"/>
      <c r="M110" s="2080"/>
      <c r="N110" s="2080"/>
      <c r="Q110" s="3056"/>
      <c r="R110" s="3056"/>
      <c r="S110" s="3056"/>
      <c r="T110" s="3056"/>
      <c r="U110" s="3056"/>
      <c r="V110" s="3056"/>
      <c r="W110" s="3056"/>
    </row>
    <row r="112" spans="1:23" ht="13.5" thickBot="1"/>
    <row r="113" spans="1:13" ht="25.5" thickBot="1">
      <c r="A113" s="2315" t="s">
        <v>2683</v>
      </c>
      <c r="B113" s="2316">
        <f>G3</f>
        <v>0</v>
      </c>
      <c r="C113" s="2317" t="s">
        <v>2684</v>
      </c>
      <c r="D113" s="2318">
        <f>SUMPRODUCT((A115:A118=F113)*(B114:M114=H113)*B115:M118)</f>
        <v>0</v>
      </c>
      <c r="E113" s="1602" t="s">
        <v>2570</v>
      </c>
      <c r="F113" s="2319" t="str">
        <f>E2</f>
        <v>住宅</v>
      </c>
      <c r="G113" s="1602" t="s">
        <v>2504</v>
      </c>
      <c r="H113" s="2319">
        <f>G2</f>
        <v>0</v>
      </c>
      <c r="I113" s="1602"/>
      <c r="J113" s="2320"/>
      <c r="K113" s="2320"/>
      <c r="L113" s="2320"/>
      <c r="M113" s="2320"/>
    </row>
    <row r="114" spans="1:13">
      <c r="A114" s="2321"/>
      <c r="B114" s="2322" t="s">
        <v>2685</v>
      </c>
      <c r="C114" s="2322" t="s">
        <v>2686</v>
      </c>
      <c r="D114" s="2322" t="s">
        <v>2687</v>
      </c>
      <c r="E114" s="2323" t="s">
        <v>2688</v>
      </c>
      <c r="F114" s="2323" t="s">
        <v>2689</v>
      </c>
      <c r="G114" s="2323" t="s">
        <v>2690</v>
      </c>
      <c r="H114" s="2324" t="s">
        <v>2691</v>
      </c>
      <c r="I114" s="2324" t="s">
        <v>2692</v>
      </c>
      <c r="J114" s="2325" t="s">
        <v>2693</v>
      </c>
      <c r="K114" s="2325" t="s">
        <v>2694</v>
      </c>
      <c r="L114" s="2325" t="s">
        <v>2695</v>
      </c>
      <c r="M114" s="2326" t="s">
        <v>2696</v>
      </c>
    </row>
    <row r="115" spans="1:13">
      <c r="A115" s="2327" t="s">
        <v>2571</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3">I115</f>
        <v>0.68899999999999995</v>
      </c>
      <c r="K115" s="2328">
        <f t="shared" si="33"/>
        <v>0.68899999999999995</v>
      </c>
      <c r="L115" s="2328">
        <f t="shared" si="33"/>
        <v>0.68899999999999995</v>
      </c>
      <c r="M115" s="2329">
        <f t="shared" si="33"/>
        <v>0.68899999999999995</v>
      </c>
    </row>
    <row r="116" spans="1:13">
      <c r="A116" s="2327" t="s">
        <v>2572</v>
      </c>
      <c r="B116" s="2328">
        <f>ROUND(0.949-0.012*B113,4)</f>
        <v>0.94899999999999995</v>
      </c>
      <c r="C116" s="2328">
        <f>B116</f>
        <v>0.94899999999999995</v>
      </c>
      <c r="D116" s="2328">
        <f>ROUND(0.8567-0.013*B113,4)</f>
        <v>0.85670000000000002</v>
      </c>
      <c r="E116" s="2328">
        <f t="shared" ref="E116:H117" si="34">D116</f>
        <v>0.85670000000000002</v>
      </c>
      <c r="F116" s="2328">
        <f t="shared" si="34"/>
        <v>0.85670000000000002</v>
      </c>
      <c r="G116" s="2328">
        <f t="shared" si="34"/>
        <v>0.85670000000000002</v>
      </c>
      <c r="H116" s="2328">
        <f t="shared" si="34"/>
        <v>0.85670000000000002</v>
      </c>
      <c r="I116" s="2328">
        <f>ROUND(0.7694-0.014*B113,4)</f>
        <v>0.76939999999999997</v>
      </c>
      <c r="J116" s="2328">
        <f t="shared" si="33"/>
        <v>0.76939999999999997</v>
      </c>
      <c r="K116" s="2328">
        <f t="shared" si="33"/>
        <v>0.76939999999999997</v>
      </c>
      <c r="L116" s="2328">
        <f t="shared" si="33"/>
        <v>0.76939999999999997</v>
      </c>
      <c r="M116" s="2329">
        <f t="shared" si="33"/>
        <v>0.76939999999999997</v>
      </c>
    </row>
    <row r="117" spans="1:13">
      <c r="A117" s="2327" t="s">
        <v>2573</v>
      </c>
      <c r="B117" s="2328">
        <f>ROUND(0.8808-0.006*B113,4)</f>
        <v>0.88080000000000003</v>
      </c>
      <c r="C117" s="2328">
        <f>B117</f>
        <v>0.88080000000000003</v>
      </c>
      <c r="D117" s="2328">
        <f>ROUND(0.8748-0.008*B113,4)</f>
        <v>0.87480000000000002</v>
      </c>
      <c r="E117" s="2328">
        <f t="shared" si="34"/>
        <v>0.87480000000000002</v>
      </c>
      <c r="F117" s="2328">
        <f t="shared" si="34"/>
        <v>0.87480000000000002</v>
      </c>
      <c r="G117" s="2328">
        <f t="shared" si="34"/>
        <v>0.87480000000000002</v>
      </c>
      <c r="H117" s="2328">
        <f t="shared" si="34"/>
        <v>0.87480000000000002</v>
      </c>
      <c r="I117" s="2328">
        <f>ROUND(0.7412-0.0095*B113,4)</f>
        <v>0.74119999999999997</v>
      </c>
      <c r="J117" s="2328">
        <f t="shared" si="33"/>
        <v>0.74119999999999997</v>
      </c>
      <c r="K117" s="2328">
        <f t="shared" si="33"/>
        <v>0.74119999999999997</v>
      </c>
      <c r="L117" s="2328">
        <f t="shared" si="33"/>
        <v>0.74119999999999997</v>
      </c>
      <c r="M117" s="2329">
        <f t="shared" si="33"/>
        <v>0.74119999999999997</v>
      </c>
    </row>
    <row r="118" spans="1:13" ht="13.5" thickBot="1">
      <c r="A118" s="2330" t="s">
        <v>2574</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3"/>
        <v>0.56669999999999998</v>
      </c>
      <c r="K118" s="2331">
        <f t="shared" si="33"/>
        <v>0.56669999999999998</v>
      </c>
      <c r="L118" s="2331">
        <f t="shared" si="33"/>
        <v>0.56669999999999998</v>
      </c>
      <c r="M118" s="2332">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3" t="s">
        <v>779</v>
      </c>
      <c r="B1" s="356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12" priority="4" stopIfTrue="1" operator="notEqual">
      <formula>"——"</formula>
    </cfRule>
  </conditionalFormatting>
  <conditionalFormatting sqref="G15">
    <cfRule type="cellIs" dxfId="11" priority="3" stopIfTrue="1" operator="notEqual">
      <formula>"——"</formula>
    </cfRule>
  </conditionalFormatting>
  <conditionalFormatting sqref="G26">
    <cfRule type="cellIs" dxfId="10" priority="2" stopIfTrue="1" operator="notEqual">
      <formula>"——"</formula>
    </cfRule>
  </conditionalFormatting>
  <conditionalFormatting sqref="G37">
    <cfRule type="cellIs" dxfId="9"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3" t="s">
        <v>105</v>
      </c>
      <c r="B1" s="3563"/>
      <c r="C1" s="3563"/>
      <c r="D1" s="3563"/>
      <c r="E1" s="3563"/>
      <c r="F1" s="356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4" t="s">
        <v>118</v>
      </c>
      <c r="B2" s="3564"/>
      <c r="C2" s="3564"/>
      <c r="D2" s="3564"/>
      <c r="E2" s="3564"/>
      <c r="F2" s="356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7" t="s">
        <v>132</v>
      </c>
      <c r="B18" s="768" t="s">
        <v>517</v>
      </c>
      <c r="C18" s="769" t="s">
        <v>518</v>
      </c>
      <c r="D18" s="770"/>
      <c r="E18" s="768">
        <v>1</v>
      </c>
      <c r="F18" s="771" t="s">
        <v>519</v>
      </c>
      <c r="G18" s="772"/>
      <c r="H18" s="764"/>
      <c r="I18" s="764"/>
    </row>
    <row r="19" spans="1:9" s="773" customFormat="1" ht="19.5" customHeight="1">
      <c r="A19" s="3567"/>
      <c r="B19" s="3567" t="s">
        <v>520</v>
      </c>
      <c r="C19" s="769" t="s">
        <v>521</v>
      </c>
      <c r="D19" s="770"/>
      <c r="E19" s="768">
        <v>0.9</v>
      </c>
      <c r="F19" s="771" t="s">
        <v>522</v>
      </c>
      <c r="G19" s="772"/>
      <c r="H19" s="764"/>
      <c r="I19" s="764"/>
    </row>
    <row r="20" spans="1:9" s="773" customFormat="1" ht="19.5" customHeight="1">
      <c r="A20" s="3567"/>
      <c r="B20" s="3567"/>
      <c r="C20" s="769" t="s">
        <v>523</v>
      </c>
      <c r="D20" s="770"/>
      <c r="E20" s="768">
        <v>1.1000000000000001</v>
      </c>
      <c r="F20" s="771" t="s">
        <v>524</v>
      </c>
      <c r="G20" s="772"/>
      <c r="H20" s="764"/>
      <c r="I20" s="764"/>
    </row>
    <row r="21" spans="1:9" s="773" customFormat="1" ht="19.5" customHeight="1">
      <c r="A21" s="3567"/>
      <c r="B21" s="3567"/>
      <c r="C21" s="769" t="s">
        <v>525</v>
      </c>
      <c r="D21" s="770"/>
      <c r="E21" s="768">
        <v>0.8</v>
      </c>
      <c r="F21" s="771" t="s">
        <v>526</v>
      </c>
      <c r="G21" s="772"/>
      <c r="H21" s="764"/>
      <c r="I21" s="764"/>
    </row>
    <row r="22" spans="1:9" s="773" customFormat="1" ht="19.5" customHeight="1">
      <c r="A22" s="3567"/>
      <c r="B22" s="3567"/>
      <c r="C22" s="769" t="s">
        <v>527</v>
      </c>
      <c r="D22" s="770"/>
      <c r="E22" s="768">
        <v>0.5</v>
      </c>
      <c r="F22" s="771"/>
      <c r="G22" s="772"/>
      <c r="H22" s="764"/>
      <c r="I22" s="764"/>
    </row>
    <row r="23" spans="1:9" s="773" customFormat="1" ht="19.5" customHeight="1">
      <c r="A23" s="3567" t="s">
        <v>133</v>
      </c>
      <c r="B23" s="768" t="s">
        <v>517</v>
      </c>
      <c r="C23" s="769" t="s">
        <v>528</v>
      </c>
      <c r="D23" s="770"/>
      <c r="E23" s="768">
        <v>1</v>
      </c>
      <c r="F23" s="771" t="s">
        <v>529</v>
      </c>
      <c r="G23" s="772"/>
      <c r="H23" s="764"/>
      <c r="I23" s="764"/>
    </row>
    <row r="24" spans="1:9" s="773" customFormat="1" ht="19.5" customHeight="1">
      <c r="A24" s="3567"/>
      <c r="B24" s="3567" t="s">
        <v>520</v>
      </c>
      <c r="C24" s="769" t="s">
        <v>530</v>
      </c>
      <c r="D24" s="770"/>
      <c r="E24" s="768">
        <v>0.5</v>
      </c>
      <c r="F24" s="771"/>
      <c r="G24" s="772"/>
      <c r="H24" s="764"/>
      <c r="I24" s="764"/>
    </row>
    <row r="25" spans="1:9" s="773" customFormat="1" ht="19.5" customHeight="1">
      <c r="A25" s="3567"/>
      <c r="B25" s="3567"/>
      <c r="C25" s="769" t="s">
        <v>531</v>
      </c>
      <c r="D25" s="770"/>
      <c r="E25" s="768">
        <v>1.1000000000000001</v>
      </c>
      <c r="F25" s="771"/>
      <c r="G25" s="772"/>
      <c r="H25" s="764"/>
      <c r="I25" s="764"/>
    </row>
    <row r="26" spans="1:9" s="773" customFormat="1" ht="19.5" customHeight="1">
      <c r="A26" s="3567"/>
      <c r="B26" s="3567"/>
      <c r="C26" s="769" t="s">
        <v>532</v>
      </c>
      <c r="D26" s="770"/>
      <c r="E26" s="768">
        <v>1.1000000000000001</v>
      </c>
      <c r="F26" s="771"/>
      <c r="G26" s="772"/>
      <c r="H26" s="764"/>
      <c r="I26" s="764"/>
    </row>
    <row r="27" spans="1:9" s="773" customFormat="1" ht="19.5" customHeight="1">
      <c r="A27" s="3567"/>
      <c r="B27" s="3567"/>
      <c r="C27" s="769" t="s">
        <v>533</v>
      </c>
      <c r="D27" s="770"/>
      <c r="E27" s="768">
        <v>0.9</v>
      </c>
      <c r="F27" s="771" t="s">
        <v>534</v>
      </c>
      <c r="G27" s="772"/>
      <c r="H27" s="764"/>
      <c r="I27" s="764"/>
    </row>
    <row r="28" spans="1:9" s="773" customFormat="1" ht="19.5" customHeight="1">
      <c r="A28" s="3567"/>
      <c r="B28" s="3567"/>
      <c r="C28" s="769" t="s">
        <v>535</v>
      </c>
      <c r="D28" s="770"/>
      <c r="E28" s="768">
        <v>0.9</v>
      </c>
      <c r="F28" s="771" t="s">
        <v>536</v>
      </c>
      <c r="G28" s="772"/>
      <c r="H28" s="764"/>
      <c r="I28" s="764"/>
    </row>
    <row r="29" spans="1:9" s="773" customFormat="1" ht="19.5" customHeight="1">
      <c r="A29" s="3567"/>
      <c r="B29" s="3567"/>
      <c r="C29" s="769" t="s">
        <v>537</v>
      </c>
      <c r="D29" s="770"/>
      <c r="E29" s="768">
        <v>0.9</v>
      </c>
      <c r="F29" s="771" t="s">
        <v>538</v>
      </c>
      <c r="G29" s="772"/>
      <c r="H29" s="764"/>
      <c r="I29" s="764"/>
    </row>
    <row r="30" spans="1:9" s="773" customFormat="1" ht="19.5" customHeight="1">
      <c r="A30" s="3567"/>
      <c r="B30" s="3567"/>
      <c r="C30" s="769" t="s">
        <v>539</v>
      </c>
      <c r="D30" s="770"/>
      <c r="E30" s="768">
        <v>0.9</v>
      </c>
      <c r="F30" s="771" t="s">
        <v>540</v>
      </c>
      <c r="G30" s="772"/>
      <c r="H30" s="764"/>
      <c r="I30" s="764"/>
    </row>
    <row r="31" spans="1:9" s="773" customFormat="1" ht="19.5" customHeight="1">
      <c r="A31" s="3567"/>
      <c r="B31" s="3567"/>
      <c r="C31" s="769" t="s">
        <v>541</v>
      </c>
      <c r="D31" s="770"/>
      <c r="E31" s="768">
        <v>0.8</v>
      </c>
      <c r="F31" s="771" t="s">
        <v>542</v>
      </c>
      <c r="G31" s="772"/>
      <c r="H31" s="764"/>
      <c r="I31" s="764"/>
    </row>
    <row r="32" spans="1:9" s="773" customFormat="1" ht="19.5" customHeight="1">
      <c r="A32" s="3567"/>
      <c r="B32" s="3567"/>
      <c r="C32" s="769" t="s">
        <v>543</v>
      </c>
      <c r="D32" s="770"/>
      <c r="E32" s="768">
        <v>0.8</v>
      </c>
      <c r="F32" s="771" t="s">
        <v>544</v>
      </c>
      <c r="G32" s="772"/>
      <c r="H32" s="764"/>
      <c r="I32" s="764"/>
    </row>
    <row r="33" spans="1:9" s="773" customFormat="1" ht="19.5" customHeight="1">
      <c r="A33" s="3567" t="s">
        <v>134</v>
      </c>
      <c r="B33" s="768" t="s">
        <v>517</v>
      </c>
      <c r="C33" s="769" t="s">
        <v>545</v>
      </c>
      <c r="D33" s="770"/>
      <c r="E33" s="768">
        <v>1</v>
      </c>
      <c r="F33" s="771" t="s">
        <v>546</v>
      </c>
      <c r="G33" s="772"/>
      <c r="H33" s="764"/>
      <c r="I33" s="764"/>
    </row>
    <row r="34" spans="1:9" s="773" customFormat="1" ht="19.5" customHeight="1">
      <c r="A34" s="3567"/>
      <c r="B34" s="768" t="s">
        <v>520</v>
      </c>
      <c r="C34" s="769" t="s">
        <v>547</v>
      </c>
      <c r="D34" s="770"/>
      <c r="E34" s="768">
        <v>1.5</v>
      </c>
      <c r="F34" s="771" t="s">
        <v>548</v>
      </c>
      <c r="G34" s="772"/>
      <c r="H34" s="764"/>
      <c r="I34" s="764"/>
    </row>
    <row r="35" spans="1:9" s="773" customFormat="1" ht="19.5" customHeight="1">
      <c r="A35" s="3567" t="s">
        <v>135</v>
      </c>
      <c r="B35" s="768" t="s">
        <v>517</v>
      </c>
      <c r="C35" s="769" t="s">
        <v>549</v>
      </c>
      <c r="D35" s="770"/>
      <c r="E35" s="768">
        <v>1</v>
      </c>
      <c r="F35" s="771" t="s">
        <v>550</v>
      </c>
      <c r="G35" s="772"/>
      <c r="H35" s="764"/>
      <c r="I35" s="764"/>
    </row>
    <row r="36" spans="1:9" s="773" customFormat="1" ht="19.5" customHeight="1">
      <c r="A36" s="3567"/>
      <c r="B36" s="3567" t="s">
        <v>520</v>
      </c>
      <c r="C36" s="769" t="s">
        <v>551</v>
      </c>
      <c r="D36" s="770"/>
      <c r="E36" s="768">
        <v>1</v>
      </c>
      <c r="F36" s="771" t="s">
        <v>552</v>
      </c>
      <c r="G36" s="772"/>
      <c r="H36" s="764"/>
      <c r="I36" s="764"/>
    </row>
    <row r="37" spans="1:9" s="773" customFormat="1" ht="19.5" customHeight="1">
      <c r="A37" s="3567"/>
      <c r="B37" s="3567"/>
      <c r="C37" s="769" t="s">
        <v>553</v>
      </c>
      <c r="D37" s="770"/>
      <c r="E37" s="768">
        <v>1.5</v>
      </c>
      <c r="F37" s="771" t="s">
        <v>554</v>
      </c>
      <c r="G37" s="772"/>
      <c r="H37" s="764"/>
      <c r="I37" s="764"/>
    </row>
    <row r="38" spans="1:9" s="773" customFormat="1" ht="19.5" customHeight="1">
      <c r="A38" s="3567"/>
      <c r="B38" s="3567"/>
      <c r="C38" s="769" t="s">
        <v>555</v>
      </c>
      <c r="D38" s="770"/>
      <c r="E38" s="768">
        <v>1</v>
      </c>
      <c r="F38" s="771" t="s">
        <v>556</v>
      </c>
      <c r="G38" s="772"/>
      <c r="H38" s="764"/>
      <c r="I38" s="764"/>
    </row>
    <row r="39" spans="1:9" s="773" customFormat="1" ht="19.5" customHeight="1">
      <c r="A39" s="3567"/>
      <c r="B39" s="356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7" t="s">
        <v>571</v>
      </c>
      <c r="C61" s="682" t="s">
        <v>572</v>
      </c>
      <c r="D61" s="682" t="s">
        <v>573</v>
      </c>
      <c r="E61" s="781">
        <v>0.5</v>
      </c>
      <c r="F61" s="768">
        <v>80</v>
      </c>
    </row>
    <row r="62" spans="1:8" s="764" customFormat="1" ht="24">
      <c r="A62" s="768">
        <v>2</v>
      </c>
      <c r="B62" s="3567"/>
      <c r="C62" s="682" t="s">
        <v>574</v>
      </c>
      <c r="D62" s="682" t="s">
        <v>575</v>
      </c>
      <c r="E62" s="781">
        <v>0.5</v>
      </c>
      <c r="F62" s="768">
        <v>80</v>
      </c>
    </row>
    <row r="63" spans="1:8" s="764" customFormat="1" ht="36">
      <c r="A63" s="768">
        <v>3</v>
      </c>
      <c r="B63" s="3567"/>
      <c r="C63" s="682" t="s">
        <v>576</v>
      </c>
      <c r="D63" s="682" t="s">
        <v>577</v>
      </c>
      <c r="E63" s="781">
        <v>0.5</v>
      </c>
      <c r="F63" s="768">
        <v>80</v>
      </c>
    </row>
    <row r="64" spans="1:8" s="764" customFormat="1" ht="36">
      <c r="A64" s="768">
        <v>4</v>
      </c>
      <c r="B64" s="3567"/>
      <c r="C64" s="682" t="s">
        <v>578</v>
      </c>
      <c r="D64" s="682" t="s">
        <v>579</v>
      </c>
      <c r="E64" s="781">
        <v>0.4</v>
      </c>
      <c r="F64" s="768">
        <v>60</v>
      </c>
    </row>
    <row r="65" spans="1:6" s="764" customFormat="1" ht="36">
      <c r="A65" s="768">
        <v>5</v>
      </c>
      <c r="B65" s="3567"/>
      <c r="C65" s="682" t="s">
        <v>580</v>
      </c>
      <c r="D65" s="682" t="s">
        <v>581</v>
      </c>
      <c r="E65" s="781">
        <v>0.2</v>
      </c>
      <c r="F65" s="768">
        <v>30</v>
      </c>
    </row>
    <row r="66" spans="1:6" s="764" customFormat="1" ht="36">
      <c r="A66" s="768">
        <v>6</v>
      </c>
      <c r="B66" s="3567"/>
      <c r="C66" s="682" t="s">
        <v>582</v>
      </c>
      <c r="D66" s="682" t="s">
        <v>583</v>
      </c>
      <c r="E66" s="781">
        <v>0.3</v>
      </c>
      <c r="F66" s="768">
        <v>50</v>
      </c>
    </row>
    <row r="67" spans="1:6" s="764" customFormat="1" ht="36">
      <c r="A67" s="768">
        <v>7</v>
      </c>
      <c r="B67" s="3567"/>
      <c r="C67" s="682" t="s">
        <v>584</v>
      </c>
      <c r="D67" s="682" t="s">
        <v>585</v>
      </c>
      <c r="E67" s="781">
        <v>0.2</v>
      </c>
      <c r="F67" s="768">
        <v>30</v>
      </c>
    </row>
    <row r="68" spans="1:6" s="764" customFormat="1" ht="36">
      <c r="A68" s="768">
        <v>8</v>
      </c>
      <c r="B68" s="3567"/>
      <c r="C68" s="682" t="s">
        <v>586</v>
      </c>
      <c r="D68" s="682" t="s">
        <v>587</v>
      </c>
      <c r="E68" s="781">
        <v>0.2</v>
      </c>
      <c r="F68" s="768">
        <v>30</v>
      </c>
    </row>
    <row r="69" spans="1:6" s="764" customFormat="1" ht="36">
      <c r="A69" s="768">
        <v>9</v>
      </c>
      <c r="B69" s="3567"/>
      <c r="C69" s="682" t="s">
        <v>588</v>
      </c>
      <c r="D69" s="682" t="s">
        <v>589</v>
      </c>
      <c r="E69" s="781">
        <v>0.2</v>
      </c>
      <c r="F69" s="768">
        <v>30</v>
      </c>
    </row>
    <row r="70" spans="1:6" s="764" customFormat="1" ht="48">
      <c r="A70" s="768">
        <v>10</v>
      </c>
      <c r="B70" s="3567"/>
      <c r="C70" s="682" t="s">
        <v>590</v>
      </c>
      <c r="D70" s="682" t="s">
        <v>591</v>
      </c>
      <c r="E70" s="781">
        <v>0.2</v>
      </c>
      <c r="F70" s="768">
        <v>30</v>
      </c>
    </row>
    <row r="71" spans="1:6" s="764" customFormat="1" ht="48">
      <c r="A71" s="768">
        <v>11</v>
      </c>
      <c r="B71" s="3567"/>
      <c r="C71" s="682" t="s">
        <v>592</v>
      </c>
      <c r="D71" s="682" t="s">
        <v>593</v>
      </c>
      <c r="E71" s="781">
        <v>0.2</v>
      </c>
      <c r="F71" s="768">
        <v>30</v>
      </c>
    </row>
    <row r="72" spans="1:6" s="764" customFormat="1" ht="36">
      <c r="A72" s="768">
        <v>12</v>
      </c>
      <c r="B72" s="3567"/>
      <c r="C72" s="682" t="s">
        <v>594</v>
      </c>
      <c r="D72" s="682" t="s">
        <v>595</v>
      </c>
      <c r="E72" s="781">
        <v>0.5</v>
      </c>
      <c r="F72" s="768">
        <v>80</v>
      </c>
    </row>
    <row r="73" spans="1:6" s="764" customFormat="1" ht="24">
      <c r="A73" s="768">
        <v>13</v>
      </c>
      <c r="B73" s="3567"/>
      <c r="C73" s="682" t="s">
        <v>596</v>
      </c>
      <c r="D73" s="682" t="s">
        <v>597</v>
      </c>
      <c r="E73" s="781">
        <v>0.4</v>
      </c>
      <c r="F73" s="768">
        <v>60</v>
      </c>
    </row>
    <row r="74" spans="1:6" s="764" customFormat="1" ht="24">
      <c r="A74" s="768">
        <v>14</v>
      </c>
      <c r="B74" s="3567"/>
      <c r="C74" s="682" t="s">
        <v>598</v>
      </c>
      <c r="D74" s="682" t="s">
        <v>599</v>
      </c>
      <c r="E74" s="781">
        <v>0.2</v>
      </c>
      <c r="F74" s="768">
        <v>30</v>
      </c>
    </row>
    <row r="75" spans="1:6" s="764" customFormat="1" ht="24">
      <c r="A75" s="768">
        <v>15</v>
      </c>
      <c r="B75" s="3567"/>
      <c r="C75" s="682" t="s">
        <v>600</v>
      </c>
      <c r="D75" s="682" t="s">
        <v>601</v>
      </c>
      <c r="E75" s="781">
        <v>0.2</v>
      </c>
      <c r="F75" s="768">
        <v>30</v>
      </c>
    </row>
    <row r="76" spans="1:6" s="764" customFormat="1" ht="24">
      <c r="A76" s="768">
        <v>16</v>
      </c>
      <c r="B76" s="3567" t="s">
        <v>602</v>
      </c>
      <c r="C76" s="682" t="s">
        <v>603</v>
      </c>
      <c r="D76" s="682" t="s">
        <v>604</v>
      </c>
      <c r="E76" s="781">
        <v>0.5</v>
      </c>
      <c r="F76" s="768">
        <v>80</v>
      </c>
    </row>
    <row r="77" spans="1:6" s="764" customFormat="1" ht="24">
      <c r="A77" s="768">
        <v>17</v>
      </c>
      <c r="B77" s="3567"/>
      <c r="C77" s="682" t="s">
        <v>605</v>
      </c>
      <c r="D77" s="682" t="s">
        <v>606</v>
      </c>
      <c r="E77" s="781">
        <v>0.5</v>
      </c>
      <c r="F77" s="768">
        <v>80</v>
      </c>
    </row>
    <row r="78" spans="1:6" s="764" customFormat="1" ht="24">
      <c r="A78" s="768">
        <v>18</v>
      </c>
      <c r="B78" s="3567"/>
      <c r="C78" s="682" t="s">
        <v>607</v>
      </c>
      <c r="D78" s="682" t="s">
        <v>608</v>
      </c>
      <c r="E78" s="781">
        <v>0.2</v>
      </c>
      <c r="F78" s="768">
        <v>30</v>
      </c>
    </row>
    <row r="79" spans="1:6" s="764" customFormat="1" ht="24">
      <c r="A79" s="768">
        <v>19</v>
      </c>
      <c r="B79" s="3567"/>
      <c r="C79" s="682" t="s">
        <v>609</v>
      </c>
      <c r="D79" s="682" t="s">
        <v>610</v>
      </c>
      <c r="E79" s="781">
        <v>0.5</v>
      </c>
      <c r="F79" s="768">
        <v>80</v>
      </c>
    </row>
    <row r="80" spans="1:6" s="764" customFormat="1" ht="36">
      <c r="A80" s="768">
        <v>20</v>
      </c>
      <c r="B80" s="3567"/>
      <c r="C80" s="682" t="s">
        <v>611</v>
      </c>
      <c r="D80" s="682" t="s">
        <v>612</v>
      </c>
      <c r="E80" s="781">
        <v>0.2</v>
      </c>
      <c r="F80" s="768">
        <v>30</v>
      </c>
    </row>
    <row r="81" spans="1:6" s="764" customFormat="1" ht="36">
      <c r="A81" s="768">
        <v>21</v>
      </c>
      <c r="B81" s="3567"/>
      <c r="C81" s="682" t="s">
        <v>613</v>
      </c>
      <c r="D81" s="682" t="s">
        <v>614</v>
      </c>
      <c r="E81" s="781">
        <v>0.2</v>
      </c>
      <c r="F81" s="768">
        <v>30</v>
      </c>
    </row>
    <row r="82" spans="1:6" s="764" customFormat="1" ht="48">
      <c r="A82" s="768">
        <v>22</v>
      </c>
      <c r="B82" s="3567"/>
      <c r="C82" s="682" t="s">
        <v>615</v>
      </c>
      <c r="D82" s="682" t="s">
        <v>616</v>
      </c>
      <c r="E82" s="781">
        <v>0.2</v>
      </c>
      <c r="F82" s="768">
        <v>30</v>
      </c>
    </row>
    <row r="83" spans="1:6" s="764" customFormat="1" ht="48">
      <c r="A83" s="768">
        <v>23</v>
      </c>
      <c r="B83" s="3567"/>
      <c r="C83" s="682" t="s">
        <v>617</v>
      </c>
      <c r="D83" s="682" t="s">
        <v>618</v>
      </c>
      <c r="E83" s="781">
        <v>0.2</v>
      </c>
      <c r="F83" s="768">
        <v>30</v>
      </c>
    </row>
    <row r="84" spans="1:6" s="764" customFormat="1" ht="36">
      <c r="A84" s="768">
        <v>24</v>
      </c>
      <c r="B84" s="3567"/>
      <c r="C84" s="682" t="s">
        <v>619</v>
      </c>
      <c r="D84" s="682" t="s">
        <v>620</v>
      </c>
      <c r="E84" s="781">
        <v>0.2</v>
      </c>
      <c r="F84" s="768">
        <v>30</v>
      </c>
    </row>
    <row r="85" spans="1:6" s="764" customFormat="1" ht="36">
      <c r="A85" s="768">
        <v>25</v>
      </c>
      <c r="B85" s="3567"/>
      <c r="C85" s="682" t="s">
        <v>621</v>
      </c>
      <c r="D85" s="682" t="s">
        <v>622</v>
      </c>
      <c r="E85" s="781">
        <v>0.5</v>
      </c>
      <c r="F85" s="768">
        <v>80</v>
      </c>
    </row>
    <row r="86" spans="1:6" s="764" customFormat="1" ht="36">
      <c r="A86" s="768">
        <v>26</v>
      </c>
      <c r="B86" s="3567"/>
      <c r="C86" s="682" t="s">
        <v>623</v>
      </c>
      <c r="D86" s="682" t="s">
        <v>624</v>
      </c>
      <c r="E86" s="781">
        <v>0.2</v>
      </c>
      <c r="F86" s="768">
        <v>30</v>
      </c>
    </row>
    <row r="87" spans="1:6" s="764" customFormat="1" ht="36">
      <c r="A87" s="768">
        <v>27</v>
      </c>
      <c r="B87" s="3567"/>
      <c r="C87" s="682" t="s">
        <v>625</v>
      </c>
      <c r="D87" s="682" t="s">
        <v>626</v>
      </c>
      <c r="E87" s="781">
        <v>0.2</v>
      </c>
      <c r="F87" s="768">
        <v>30</v>
      </c>
    </row>
    <row r="88" spans="1:6" s="764" customFormat="1" ht="36">
      <c r="A88" s="768">
        <v>28</v>
      </c>
      <c r="B88" s="3567"/>
      <c r="C88" s="682" t="s">
        <v>627</v>
      </c>
      <c r="D88" s="682" t="s">
        <v>628</v>
      </c>
      <c r="E88" s="781">
        <v>0.2</v>
      </c>
      <c r="F88" s="768">
        <v>30</v>
      </c>
    </row>
    <row r="89" spans="1:6" s="764" customFormat="1" ht="24">
      <c r="A89" s="768">
        <v>29</v>
      </c>
      <c r="B89" s="3567"/>
      <c r="C89" s="682" t="s">
        <v>629</v>
      </c>
      <c r="D89" s="682" t="s">
        <v>630</v>
      </c>
      <c r="E89" s="781">
        <v>0.2</v>
      </c>
      <c r="F89" s="768">
        <v>30</v>
      </c>
    </row>
    <row r="90" spans="1:6" s="764" customFormat="1" ht="24">
      <c r="A90" s="768">
        <v>30</v>
      </c>
      <c r="B90" s="3567"/>
      <c r="C90" s="682" t="s">
        <v>631</v>
      </c>
      <c r="D90" s="682" t="s">
        <v>632</v>
      </c>
      <c r="E90" s="781">
        <v>0.2</v>
      </c>
      <c r="F90" s="768">
        <v>30</v>
      </c>
    </row>
    <row r="91" spans="1:6" s="764" customFormat="1" ht="36">
      <c r="A91" s="768">
        <v>31</v>
      </c>
      <c r="B91" s="3567"/>
      <c r="C91" s="682" t="s">
        <v>633</v>
      </c>
      <c r="D91" s="682" t="s">
        <v>634</v>
      </c>
      <c r="E91" s="781">
        <v>0.2</v>
      </c>
      <c r="F91" s="768">
        <v>30</v>
      </c>
    </row>
    <row r="92" spans="1:6" s="764" customFormat="1" ht="24">
      <c r="A92" s="768">
        <v>32</v>
      </c>
      <c r="B92" s="3567" t="s">
        <v>635</v>
      </c>
      <c r="C92" s="768" t="s">
        <v>636</v>
      </c>
      <c r="D92" s="682" t="s">
        <v>637</v>
      </c>
      <c r="E92" s="781">
        <v>0.2</v>
      </c>
      <c r="F92" s="768">
        <v>30</v>
      </c>
    </row>
    <row r="93" spans="1:6" s="764" customFormat="1" ht="36">
      <c r="A93" s="768">
        <v>33</v>
      </c>
      <c r="B93" s="3567"/>
      <c r="C93" s="768" t="s">
        <v>638</v>
      </c>
      <c r="D93" s="682" t="s">
        <v>639</v>
      </c>
      <c r="E93" s="781">
        <v>0.2</v>
      </c>
      <c r="F93" s="768">
        <v>30</v>
      </c>
    </row>
    <row r="94" spans="1:6" s="764" customFormat="1" ht="48">
      <c r="A94" s="768">
        <v>34</v>
      </c>
      <c r="B94" s="3567"/>
      <c r="C94" s="768" t="s">
        <v>640</v>
      </c>
      <c r="D94" s="682" t="s">
        <v>641</v>
      </c>
      <c r="E94" s="781">
        <v>0.2</v>
      </c>
      <c r="F94" s="768">
        <v>30</v>
      </c>
    </row>
    <row r="95" spans="1:6" s="764" customFormat="1" ht="36">
      <c r="A95" s="768">
        <v>35</v>
      </c>
      <c r="B95" s="3567"/>
      <c r="C95" s="768" t="s">
        <v>642</v>
      </c>
      <c r="D95" s="682" t="s">
        <v>643</v>
      </c>
      <c r="E95" s="781">
        <v>0.2</v>
      </c>
      <c r="F95" s="768">
        <v>30</v>
      </c>
    </row>
    <row r="96" spans="1:6" s="764" customFormat="1" ht="48">
      <c r="A96" s="768">
        <v>36</v>
      </c>
      <c r="B96" s="3567"/>
      <c r="C96" s="682" t="s">
        <v>644</v>
      </c>
      <c r="D96" s="682" t="s">
        <v>645</v>
      </c>
      <c r="E96" s="781">
        <v>0.2</v>
      </c>
      <c r="F96" s="768">
        <v>30</v>
      </c>
    </row>
    <row r="97" spans="1:6" s="764" customFormat="1" ht="36">
      <c r="A97" s="768">
        <v>37</v>
      </c>
      <c r="B97" s="3567"/>
      <c r="C97" s="768" t="s">
        <v>646</v>
      </c>
      <c r="D97" s="682" t="s">
        <v>647</v>
      </c>
      <c r="E97" s="781">
        <v>0.2</v>
      </c>
      <c r="F97" s="768">
        <v>30</v>
      </c>
    </row>
    <row r="98" spans="1:6" s="764" customFormat="1" ht="36">
      <c r="A98" s="768">
        <v>38</v>
      </c>
      <c r="B98" s="3567"/>
      <c r="C98" s="768" t="s">
        <v>648</v>
      </c>
      <c r="D98" s="682" t="s">
        <v>649</v>
      </c>
      <c r="E98" s="781">
        <v>0.2</v>
      </c>
      <c r="F98" s="768">
        <v>30</v>
      </c>
    </row>
    <row r="99" spans="1:6" s="764" customFormat="1" ht="36">
      <c r="A99" s="768">
        <v>39</v>
      </c>
      <c r="B99" s="3567" t="s">
        <v>650</v>
      </c>
      <c r="C99" s="768" t="s">
        <v>651</v>
      </c>
      <c r="D99" s="682" t="s">
        <v>652</v>
      </c>
      <c r="E99" s="781">
        <v>0.3</v>
      </c>
      <c r="F99" s="768">
        <v>50</v>
      </c>
    </row>
    <row r="100" spans="1:6" s="764" customFormat="1" ht="24">
      <c r="A100" s="768">
        <v>40</v>
      </c>
      <c r="B100" s="3567"/>
      <c r="C100" s="768" t="s">
        <v>653</v>
      </c>
      <c r="D100" s="682" t="s">
        <v>654</v>
      </c>
      <c r="E100" s="781">
        <v>0.2</v>
      </c>
      <c r="F100" s="768">
        <v>30</v>
      </c>
    </row>
    <row r="101" spans="1:6" s="764" customFormat="1" ht="36">
      <c r="A101" s="768">
        <v>41</v>
      </c>
      <c r="B101" s="356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7" t="s">
        <v>665</v>
      </c>
      <c r="C105" s="768" t="s">
        <v>666</v>
      </c>
      <c r="D105" s="682" t="s">
        <v>667</v>
      </c>
      <c r="E105" s="781">
        <v>0.2</v>
      </c>
      <c r="F105" s="768">
        <v>30</v>
      </c>
    </row>
    <row r="106" spans="1:6" s="764" customFormat="1" ht="36">
      <c r="A106" s="768">
        <v>46</v>
      </c>
      <c r="B106" s="3567"/>
      <c r="C106" s="768" t="s">
        <v>668</v>
      </c>
      <c r="D106" s="682" t="s">
        <v>669</v>
      </c>
      <c r="E106" s="781">
        <v>0.2</v>
      </c>
      <c r="F106" s="768">
        <v>30</v>
      </c>
    </row>
    <row r="107" spans="1:6" s="764" customFormat="1" ht="36">
      <c r="A107" s="768">
        <v>47</v>
      </c>
      <c r="B107" s="3567" t="s">
        <v>670</v>
      </c>
      <c r="C107" s="768" t="s">
        <v>671</v>
      </c>
      <c r="D107" s="682" t="s">
        <v>672</v>
      </c>
      <c r="E107" s="781">
        <v>0.3</v>
      </c>
      <c r="F107" s="768">
        <v>50</v>
      </c>
    </row>
    <row r="108" spans="1:6" s="764" customFormat="1" ht="36">
      <c r="A108" s="768">
        <v>48</v>
      </c>
      <c r="B108" s="356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7" t="s">
        <v>681</v>
      </c>
      <c r="C111" s="768" t="s">
        <v>682</v>
      </c>
      <c r="D111" s="682" t="s">
        <v>683</v>
      </c>
      <c r="E111" s="781">
        <v>0.2</v>
      </c>
      <c r="F111" s="768">
        <v>30</v>
      </c>
    </row>
    <row r="112" spans="1:6" s="764" customFormat="1" ht="24">
      <c r="A112" s="768">
        <v>52</v>
      </c>
      <c r="B112" s="3567"/>
      <c r="C112" s="768" t="s">
        <v>684</v>
      </c>
      <c r="D112" s="682" t="s">
        <v>685</v>
      </c>
      <c r="E112" s="781">
        <v>0.2</v>
      </c>
      <c r="F112" s="768">
        <v>30</v>
      </c>
    </row>
    <row r="113" spans="1:6" s="764" customFormat="1" ht="24">
      <c r="A113" s="768">
        <v>53</v>
      </c>
      <c r="B113" s="356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7" t="s">
        <v>694</v>
      </c>
      <c r="C116" s="768" t="s">
        <v>695</v>
      </c>
      <c r="D116" s="682" t="s">
        <v>696</v>
      </c>
      <c r="E116" s="781">
        <v>0.2</v>
      </c>
      <c r="F116" s="768">
        <v>30</v>
      </c>
    </row>
    <row r="117" spans="1:6" ht="36">
      <c r="A117" s="768">
        <v>57</v>
      </c>
      <c r="B117" s="356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73" t="s">
        <v>1020</v>
      </c>
      <c r="C1" s="3573"/>
      <c r="D1" s="3573"/>
      <c r="E1" s="3573"/>
      <c r="F1" s="3573"/>
      <c r="G1" s="3569" t="s">
        <v>1021</v>
      </c>
      <c r="H1" s="3569"/>
      <c r="I1" s="3569"/>
      <c r="J1" s="3569"/>
      <c r="K1" s="3569"/>
      <c r="L1" s="3569"/>
      <c r="N1" s="3569" t="s">
        <v>1022</v>
      </c>
      <c r="O1" s="3569"/>
      <c r="P1" s="3569"/>
      <c r="Q1" s="3569"/>
      <c r="S1" s="3569" t="s">
        <v>1023</v>
      </c>
      <c r="T1" s="3569"/>
      <c r="U1" s="3569"/>
      <c r="V1" s="3569"/>
      <c r="X1" s="3568" t="s">
        <v>1024</v>
      </c>
      <c r="Y1" s="3569"/>
      <c r="Z1" s="3569"/>
      <c r="AA1" s="3569"/>
      <c r="AB1" s="3569"/>
      <c r="AD1" s="3568" t="s">
        <v>1025</v>
      </c>
      <c r="AE1" s="3569"/>
      <c r="AF1" s="3569"/>
      <c r="AG1" s="3569"/>
      <c r="AH1" s="3569"/>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2702</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2889</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1">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2701</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5" customHeight="1">
      <c r="A6" s="2369" t="s">
        <v>2890</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1">
        <v>2021</v>
      </c>
      <c r="H6" s="2371">
        <v>3</v>
      </c>
      <c r="I6" s="3159">
        <v>0.47</v>
      </c>
      <c r="J6" s="3159">
        <v>0.41</v>
      </c>
      <c r="K6" s="3159">
        <v>0.48</v>
      </c>
      <c r="L6" s="3160">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5" customHeight="1">
      <c r="A7" s="2369" t="s">
        <v>2888</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58">
        <v>2021</v>
      </c>
      <c r="H7" s="2371">
        <v>2</v>
      </c>
      <c r="I7" s="3159">
        <v>0.92</v>
      </c>
      <c r="J7" s="3159">
        <v>0.72</v>
      </c>
      <c r="K7" s="3159">
        <v>0.95</v>
      </c>
      <c r="L7" s="3160">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5" customHeight="1">
      <c r="A8" s="2369" t="s">
        <v>2887</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7">
        <v>2021</v>
      </c>
      <c r="H8" s="2371">
        <v>1</v>
      </c>
      <c r="I8" s="3159">
        <v>0.97</v>
      </c>
      <c r="J8" s="3159">
        <v>0.16</v>
      </c>
      <c r="K8" s="3159">
        <v>1.1100000000000001</v>
      </c>
      <c r="L8" s="3160">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5" customHeight="1">
      <c r="A9" s="2369" t="s">
        <v>2881</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48">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5" customHeight="1">
      <c r="A10" s="2369" t="s">
        <v>2880</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7">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5" customHeight="1">
      <c r="A11" s="2369" t="s">
        <v>2734</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5" customHeight="1">
      <c r="A12" s="2369" t="s">
        <v>2731</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5" customHeight="1">
      <c r="A13" s="2369" t="s">
        <v>2729</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5" customHeight="1" thickBot="1">
      <c r="A14" s="2369" t="s">
        <v>2726</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5" customHeight="1">
      <c r="A15" s="2369" t="s">
        <v>2720</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5" customHeight="1" thickBot="1">
      <c r="A16" s="2369" t="s">
        <v>2721</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2715</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71">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5" customHeight="1">
      <c r="A18" s="2369" t="s">
        <v>2710</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71"/>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5" customHeight="1">
      <c r="A19" s="2369" t="s">
        <v>2709</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71"/>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2706</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78"/>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2703</v>
      </c>
      <c r="B21" s="2379">
        <v>439</v>
      </c>
      <c r="C21" s="2379">
        <v>327</v>
      </c>
      <c r="D21" s="2379">
        <f t="shared" si="158"/>
        <v>327</v>
      </c>
      <c r="E21" s="2379">
        <v>627</v>
      </c>
      <c r="F21" s="2380">
        <v>283</v>
      </c>
      <c r="G21" s="3574">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5" customHeight="1">
      <c r="A22" s="2369" t="s">
        <v>2700</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71"/>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5" customHeight="1">
      <c r="A23" s="2369" t="s">
        <v>1246</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71"/>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78"/>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74">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71"/>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71"/>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5"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72"/>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5" thickBot="1">
      <c r="A29" s="2369" t="s">
        <v>101</v>
      </c>
      <c r="B29" s="2379">
        <v>333</v>
      </c>
      <c r="C29" s="2379">
        <v>277</v>
      </c>
      <c r="D29" s="2379">
        <f t="shared" si="183"/>
        <v>277</v>
      </c>
      <c r="E29" s="2379">
        <v>459</v>
      </c>
      <c r="F29" s="2380">
        <v>249</v>
      </c>
      <c r="G29" s="3570">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71"/>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71"/>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72"/>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5" thickBot="1">
      <c r="A33" s="2369" t="s">
        <v>97</v>
      </c>
      <c r="B33" s="2401">
        <v>318</v>
      </c>
      <c r="C33" s="2401">
        <v>268</v>
      </c>
      <c r="D33" s="2401">
        <f t="shared" si="183"/>
        <v>268</v>
      </c>
      <c r="E33" s="2401">
        <v>437</v>
      </c>
      <c r="F33" s="2402">
        <v>237</v>
      </c>
      <c r="G33" s="3570">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71"/>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5"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71"/>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5"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72"/>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5" thickBot="1">
      <c r="A37" s="2369" t="s">
        <v>1038</v>
      </c>
      <c r="B37" s="2379">
        <v>299</v>
      </c>
      <c r="C37" s="2379">
        <v>252</v>
      </c>
      <c r="D37" s="2379">
        <f t="shared" si="183"/>
        <v>252</v>
      </c>
      <c r="E37" s="2379">
        <v>409</v>
      </c>
      <c r="F37" s="2380">
        <v>227</v>
      </c>
      <c r="G37" s="3575">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76"/>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76"/>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77"/>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5" thickBot="1">
      <c r="A41" s="2369" t="s">
        <v>1042</v>
      </c>
      <c r="B41" s="2422">
        <v>278</v>
      </c>
      <c r="C41" s="2422">
        <v>234</v>
      </c>
      <c r="D41" s="2422">
        <f t="shared" si="183"/>
        <v>234</v>
      </c>
      <c r="E41" s="2422">
        <v>379</v>
      </c>
      <c r="F41" s="2423">
        <v>220</v>
      </c>
      <c r="G41" s="3570">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71"/>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71"/>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5" thickBot="1">
      <c r="A44" s="2369" t="s">
        <v>1045</v>
      </c>
      <c r="B44" s="2386">
        <f>B43/(1+N43)</f>
        <v>275.19025476197027</v>
      </c>
      <c r="C44" s="2424">
        <v>232</v>
      </c>
      <c r="D44" s="2424">
        <f t="shared" si="183"/>
        <v>232</v>
      </c>
      <c r="E44" s="2386">
        <f t="shared" si="194"/>
        <v>375.65990977608692</v>
      </c>
      <c r="F44" s="2386">
        <f t="shared" si="194"/>
        <v>214.12518283971252</v>
      </c>
      <c r="G44" s="3572"/>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5" thickBot="1">
      <c r="A45" s="2369" t="s">
        <v>1046</v>
      </c>
      <c r="B45" s="2379">
        <v>275</v>
      </c>
      <c r="C45" s="2379">
        <v>232</v>
      </c>
      <c r="D45" s="2379">
        <f t="shared" si="183"/>
        <v>232</v>
      </c>
      <c r="E45" s="2379">
        <v>376</v>
      </c>
      <c r="F45" s="2380">
        <v>213</v>
      </c>
      <c r="G45" s="3570">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71">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71">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5"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72">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5" thickBot="1">
      <c r="A49" s="2369" t="s">
        <v>1050</v>
      </c>
      <c r="B49" s="2379">
        <v>269</v>
      </c>
      <c r="C49" s="2379">
        <v>221</v>
      </c>
      <c r="D49" s="2379">
        <f t="shared" si="183"/>
        <v>221</v>
      </c>
      <c r="E49" s="2379">
        <v>373</v>
      </c>
      <c r="F49" s="2380">
        <v>196</v>
      </c>
      <c r="G49" s="3570">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71">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71">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5"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72">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5" thickBot="1">
      <c r="A53" s="2369" t="s">
        <v>1054</v>
      </c>
      <c r="B53" s="2379">
        <v>220</v>
      </c>
      <c r="C53" s="2379">
        <v>187</v>
      </c>
      <c r="D53" s="2379">
        <f t="shared" si="183"/>
        <v>187</v>
      </c>
      <c r="E53" s="2379">
        <v>301</v>
      </c>
      <c r="F53" s="2380">
        <v>168</v>
      </c>
      <c r="G53" s="3570">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71">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71">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72">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5" thickBot="1">
      <c r="A57" s="2369" t="s">
        <v>1058</v>
      </c>
      <c r="B57" s="2422">
        <v>214</v>
      </c>
      <c r="C57" s="2422">
        <v>188</v>
      </c>
      <c r="D57" s="2422">
        <f t="shared" si="183"/>
        <v>188</v>
      </c>
      <c r="E57" s="2422">
        <v>289</v>
      </c>
      <c r="F57" s="2423">
        <v>166</v>
      </c>
      <c r="G57" s="3570">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71">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71">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5"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72">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5" thickBot="1">
      <c r="A61" s="2369" t="s">
        <v>1062</v>
      </c>
      <c r="B61" s="2379">
        <v>188</v>
      </c>
      <c r="C61" s="2379">
        <v>165</v>
      </c>
      <c r="D61" s="2379">
        <f t="shared" si="183"/>
        <v>165</v>
      </c>
      <c r="E61" s="2379">
        <v>254</v>
      </c>
      <c r="F61" s="2380">
        <v>148</v>
      </c>
      <c r="G61" s="3570">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71">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71">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72">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5" thickBot="1">
      <c r="A65" s="2369" t="s">
        <v>1066</v>
      </c>
      <c r="B65" s="2401">
        <v>159</v>
      </c>
      <c r="C65" s="2401">
        <v>141</v>
      </c>
      <c r="D65" s="2401">
        <f t="shared" si="183"/>
        <v>141</v>
      </c>
      <c r="E65" s="2401">
        <v>195</v>
      </c>
      <c r="F65" s="2402">
        <v>122</v>
      </c>
      <c r="G65" s="3570">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71">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71">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72">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5" thickBot="1">
      <c r="A69" s="2369" t="s">
        <v>1070</v>
      </c>
      <c r="B69" s="2401">
        <v>138</v>
      </c>
      <c r="C69" s="2401">
        <v>131</v>
      </c>
      <c r="D69" s="2401">
        <f t="shared" si="183"/>
        <v>131</v>
      </c>
      <c r="E69" s="2401">
        <v>155</v>
      </c>
      <c r="F69" s="2402">
        <v>114</v>
      </c>
      <c r="G69" s="3570">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71">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71">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72">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5" thickBot="1">
      <c r="A73" s="2369" t="s">
        <v>1074</v>
      </c>
      <c r="B73" s="2422">
        <v>121</v>
      </c>
      <c r="C73" s="2422">
        <v>122</v>
      </c>
      <c r="D73" s="2422">
        <f t="shared" si="183"/>
        <v>122</v>
      </c>
      <c r="E73" s="2422">
        <v>124</v>
      </c>
      <c r="F73" s="2423">
        <v>107</v>
      </c>
      <c r="G73" s="3570">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71">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71">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5"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72">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5" thickBot="1">
      <c r="A77" s="2369" t="s">
        <v>1078</v>
      </c>
      <c r="B77" s="2442">
        <v>111</v>
      </c>
      <c r="C77" s="2442">
        <v>114</v>
      </c>
      <c r="D77" s="2442">
        <f t="shared" si="183"/>
        <v>114</v>
      </c>
      <c r="E77" s="2442">
        <v>108</v>
      </c>
      <c r="F77" s="2443">
        <v>104</v>
      </c>
      <c r="G77" s="3570">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71">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71">
        <v>2003</v>
      </c>
      <c r="H79" s="2389">
        <v>2</v>
      </c>
      <c r="I79" s="2444"/>
      <c r="J79" s="2444"/>
      <c r="K79" s="2444"/>
      <c r="L79" s="2444"/>
      <c r="X79" s="2436"/>
      <c r="Y79" s="2436"/>
      <c r="Z79" s="2436"/>
    </row>
    <row r="80" spans="1:26" ht="13.5" thickBot="1">
      <c r="A80" s="2369" t="s">
        <v>1081</v>
      </c>
      <c r="B80" s="2446">
        <f t="shared" si="219"/>
        <v>107.25</v>
      </c>
      <c r="C80" s="2446">
        <f t="shared" si="219"/>
        <v>108.75</v>
      </c>
      <c r="D80" s="2446">
        <f t="shared" si="183"/>
        <v>108.75</v>
      </c>
      <c r="E80" s="2446">
        <f t="shared" si="220"/>
        <v>105.75</v>
      </c>
      <c r="F80" s="2446">
        <f t="shared" si="220"/>
        <v>102.5</v>
      </c>
      <c r="G80" s="3572">
        <v>2003</v>
      </c>
      <c r="H80" s="2447">
        <v>1</v>
      </c>
      <c r="I80" s="2444"/>
      <c r="J80" s="2444"/>
      <c r="K80" s="2444"/>
      <c r="L80" s="2444"/>
      <c r="S80" s="2387"/>
      <c r="T80" s="2356"/>
      <c r="U80" s="2356"/>
      <c r="X80" s="2436"/>
      <c r="Y80" s="2436"/>
      <c r="Z80" s="2436"/>
    </row>
    <row r="81" spans="1:26" ht="13.5" thickBot="1">
      <c r="A81" s="2369" t="s">
        <v>1082</v>
      </c>
      <c r="B81" s="2448">
        <v>106</v>
      </c>
      <c r="C81" s="2448">
        <v>107</v>
      </c>
      <c r="D81" s="2448">
        <f t="shared" si="183"/>
        <v>107</v>
      </c>
      <c r="E81" s="2448">
        <v>105</v>
      </c>
      <c r="F81" s="2449">
        <v>102</v>
      </c>
      <c r="G81" s="3570">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71">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71">
        <v>2002</v>
      </c>
      <c r="H83" s="2389">
        <v>2</v>
      </c>
      <c r="I83" s="2444"/>
      <c r="J83" s="2444"/>
      <c r="K83" s="2444"/>
      <c r="L83" s="2444"/>
      <c r="X83" s="2436"/>
      <c r="Y83" s="2436"/>
      <c r="Z83" s="2436"/>
    </row>
    <row r="84" spans="1:26" s="2409" customFormat="1" ht="13.5" thickBot="1">
      <c r="A84" s="2405" t="s">
        <v>1085</v>
      </c>
      <c r="B84" s="2412">
        <f t="shared" si="221"/>
        <v>103</v>
      </c>
      <c r="C84" s="2412">
        <f t="shared" si="221"/>
        <v>104</v>
      </c>
      <c r="D84" s="2412">
        <f t="shared" si="183"/>
        <v>104</v>
      </c>
      <c r="E84" s="2412">
        <f t="shared" si="222"/>
        <v>103.5</v>
      </c>
      <c r="F84" s="2412">
        <f t="shared" si="222"/>
        <v>100.5</v>
      </c>
      <c r="G84" s="3572">
        <v>2002</v>
      </c>
      <c r="H84" s="2450">
        <v>1</v>
      </c>
      <c r="I84" s="2451"/>
      <c r="J84" s="2451"/>
      <c r="K84" s="2451"/>
      <c r="L84" s="2451"/>
      <c r="N84" s="2452"/>
      <c r="S84" s="2452"/>
      <c r="X84" s="2453"/>
      <c r="Y84" s="2453"/>
      <c r="Z84" s="2453"/>
    </row>
    <row r="85" spans="1:26" ht="13.5"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5"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5"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44547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2" customFormat="1" ht="14.25">
      <c r="A17" s="3149"/>
      <c r="B17" s="1280" t="s">
        <v>2882</v>
      </c>
      <c r="C17" s="1289">
        <v>43697</v>
      </c>
      <c r="D17" s="3150">
        <v>4.25</v>
      </c>
      <c r="E17" s="3150">
        <f>D17</f>
        <v>4.25</v>
      </c>
      <c r="F17" s="3150">
        <f>D17</f>
        <v>4.25</v>
      </c>
      <c r="G17" s="3150">
        <f>D17</f>
        <v>4.25</v>
      </c>
      <c r="H17" s="3150">
        <v>4.8499999999999996</v>
      </c>
      <c r="I17" s="3150"/>
      <c r="J17" s="3150"/>
      <c r="K17" s="3149"/>
      <c r="L17" s="1286"/>
      <c r="M17" s="1287">
        <v>42135</v>
      </c>
      <c r="N17" s="1286">
        <v>0.35</v>
      </c>
      <c r="O17" s="1286">
        <v>1.85</v>
      </c>
      <c r="P17" s="1286">
        <v>2.0499999999999998</v>
      </c>
      <c r="Q17" s="1286">
        <v>2.25</v>
      </c>
      <c r="R17" s="1286">
        <v>2.85</v>
      </c>
      <c r="S17" s="1286">
        <v>3.5</v>
      </c>
      <c r="T17" s="1286"/>
      <c r="U17" s="1286"/>
      <c r="V17" s="1286"/>
      <c r="W17" s="1286"/>
      <c r="X17" s="1286"/>
      <c r="Y17" s="1286"/>
      <c r="Z17" s="1286"/>
      <c r="AA17" s="3151"/>
      <c r="AB17" s="3151"/>
      <c r="AC17" s="3151"/>
      <c r="AD17" s="3151"/>
      <c r="AE17" s="3151"/>
      <c r="AF17" s="3151"/>
      <c r="AG17" s="3151"/>
      <c r="AH17" s="3151"/>
      <c r="AI17" s="3151"/>
      <c r="AJ17" s="3151"/>
      <c r="AK17" s="3151"/>
      <c r="AL17" s="3151"/>
      <c r="AM17" s="3151"/>
      <c r="AN17" s="3151"/>
      <c r="AO17" s="3151"/>
      <c r="AP17" s="3151"/>
      <c r="AQ17" s="3151"/>
      <c r="AR17" s="3151"/>
      <c r="AS17" s="3151"/>
      <c r="AT17" s="3151"/>
      <c r="AU17" s="3151"/>
      <c r="AV17" s="3151"/>
      <c r="AW17" s="3151"/>
      <c r="AX17" s="3151"/>
      <c r="AY17" s="3151"/>
      <c r="AZ17" s="3151"/>
      <c r="BA17" s="3151"/>
      <c r="BB17" s="3151"/>
      <c r="BC17" s="3151"/>
      <c r="BD17" s="3151"/>
      <c r="BE17" s="3151"/>
      <c r="BF17" s="3151"/>
      <c r="BG17" s="3151"/>
      <c r="BH17" s="3151"/>
      <c r="BI17" s="3151"/>
      <c r="BJ17" s="3151"/>
      <c r="BK17" s="3151"/>
      <c r="BL17" s="3151"/>
      <c r="BM17" s="3151"/>
      <c r="BN17" s="3151"/>
      <c r="BO17" s="3151"/>
      <c r="BP17" s="3151"/>
      <c r="BQ17" s="3151"/>
      <c r="BR17" s="3151"/>
      <c r="BS17" s="3151"/>
      <c r="BT17" s="3151"/>
      <c r="BU17" s="3151"/>
      <c r="BV17" s="3151"/>
      <c r="BW17" s="3151"/>
      <c r="BX17" s="3151"/>
      <c r="BY17" s="3151"/>
      <c r="BZ17" s="3151"/>
      <c r="CA17" s="3151"/>
      <c r="CB17" s="3151"/>
      <c r="CC17" s="3151"/>
      <c r="CD17" s="3151"/>
      <c r="CE17" s="3151"/>
      <c r="CF17" s="3151"/>
      <c r="CG17" s="3151"/>
      <c r="CH17" s="3151"/>
      <c r="CI17" s="3151"/>
      <c r="CJ17" s="3151"/>
      <c r="CK17" s="3151"/>
      <c r="CL17" s="3151"/>
      <c r="CM17" s="3151"/>
      <c r="CN17" s="3151"/>
      <c r="CO17" s="3151"/>
      <c r="CP17" s="3151"/>
      <c r="CQ17" s="3151"/>
      <c r="CR17" s="3151"/>
      <c r="CS17" s="3151"/>
      <c r="CT17" s="3151"/>
      <c r="CU17" s="3151"/>
      <c r="CV17" s="3151"/>
      <c r="CW17" s="3151"/>
      <c r="CX17" s="3151"/>
      <c r="CY17" s="3151"/>
      <c r="CZ17" s="3151"/>
      <c r="DA17" s="3151"/>
      <c r="DB17" s="3151"/>
      <c r="DC17" s="3151"/>
      <c r="DD17" s="3151"/>
      <c r="DE17" s="3151"/>
      <c r="DF17" s="3151"/>
      <c r="DG17" s="3151"/>
      <c r="DH17" s="3151"/>
      <c r="DI17" s="3151"/>
      <c r="DJ17" s="3151"/>
      <c r="DK17" s="3151"/>
      <c r="DL17" s="3151"/>
      <c r="DM17" s="3151"/>
      <c r="DN17" s="3151"/>
      <c r="DO17" s="3151"/>
      <c r="DP17" s="3151"/>
      <c r="DQ17" s="3151"/>
      <c r="DR17" s="3151"/>
      <c r="DS17" s="3151"/>
      <c r="DT17" s="3151"/>
      <c r="DU17" s="3151"/>
      <c r="DV17" s="3151"/>
      <c r="DW17" s="3151"/>
      <c r="DX17" s="3151"/>
      <c r="DY17" s="3151"/>
      <c r="DZ17" s="3151"/>
      <c r="EA17" s="3151"/>
      <c r="EB17" s="3151"/>
      <c r="EC17" s="3151"/>
      <c r="ED17" s="3151"/>
      <c r="EE17" s="3151"/>
      <c r="EF17" s="3151"/>
      <c r="EG17" s="3151"/>
      <c r="EH17" s="3151"/>
      <c r="EI17" s="3151"/>
      <c r="EJ17" s="3151"/>
      <c r="EK17" s="3151"/>
      <c r="EL17" s="3151"/>
      <c r="EM17" s="3151"/>
      <c r="EN17" s="3151"/>
      <c r="EO17" s="3151"/>
      <c r="EP17" s="3151"/>
      <c r="EQ17" s="3151"/>
      <c r="ER17" s="3151"/>
      <c r="ES17" s="3151"/>
      <c r="ET17" s="3151"/>
      <c r="EU17" s="3151"/>
      <c r="EV17" s="3151"/>
      <c r="EW17" s="3151"/>
      <c r="EX17" s="3151"/>
      <c r="EY17" s="3151"/>
      <c r="EZ17" s="3151"/>
      <c r="FA17" s="3151"/>
      <c r="FB17" s="3151"/>
      <c r="FC17" s="3151"/>
      <c r="FD17" s="3151"/>
      <c r="FE17" s="3151"/>
      <c r="FF17" s="3151"/>
      <c r="FG17" s="3151"/>
      <c r="FH17" s="3151"/>
      <c r="FI17" s="3151"/>
      <c r="FJ17" s="3151"/>
      <c r="FK17" s="3151"/>
      <c r="FL17" s="3151"/>
      <c r="FM17" s="3151"/>
      <c r="FN17" s="3151"/>
      <c r="FO17" s="3151"/>
      <c r="FP17" s="3151"/>
      <c r="FQ17" s="3151"/>
      <c r="FR17" s="3151"/>
      <c r="FS17" s="3151"/>
      <c r="FT17" s="3151"/>
      <c r="FU17" s="3151"/>
      <c r="FV17" s="3151"/>
      <c r="FW17" s="3151"/>
      <c r="FX17" s="3151"/>
      <c r="FY17" s="3151"/>
      <c r="FZ17" s="3151"/>
      <c r="GA17" s="3151"/>
      <c r="GB17" s="3151"/>
      <c r="GC17" s="3151"/>
      <c r="GD17" s="3151"/>
      <c r="GE17" s="3151"/>
      <c r="GF17" s="3151"/>
      <c r="GG17" s="3151"/>
      <c r="GH17" s="3151"/>
      <c r="GI17" s="3151"/>
      <c r="GJ17" s="3151"/>
      <c r="GK17" s="3151"/>
      <c r="GL17" s="3151"/>
      <c r="GM17" s="3151"/>
      <c r="GN17" s="3151"/>
      <c r="GO17" s="3151"/>
      <c r="GP17" s="3151"/>
      <c r="GQ17" s="3151"/>
      <c r="GR17" s="3151"/>
      <c r="GS17" s="3151"/>
      <c r="GT17" s="3151"/>
      <c r="GU17" s="3151"/>
      <c r="GV17" s="3151"/>
      <c r="GW17" s="3151"/>
      <c r="GX17" s="3151"/>
      <c r="GY17" s="3151"/>
      <c r="GZ17" s="3151"/>
      <c r="HA17" s="3151"/>
      <c r="HB17" s="3151"/>
      <c r="HC17" s="3151"/>
      <c r="HD17" s="3151"/>
      <c r="HE17" s="3151"/>
      <c r="HF17" s="3151"/>
      <c r="HG17" s="3151"/>
      <c r="HH17" s="3151"/>
      <c r="HI17" s="3151"/>
      <c r="HJ17" s="3151"/>
      <c r="HK17" s="3151"/>
      <c r="HL17" s="3151"/>
      <c r="HM17" s="3151"/>
      <c r="HN17" s="3151"/>
      <c r="HO17" s="3151"/>
      <c r="HP17" s="3151"/>
      <c r="HQ17" s="3151"/>
      <c r="HR17" s="3151"/>
      <c r="HS17" s="3151"/>
      <c r="HT17" s="3151"/>
      <c r="HU17" s="3151"/>
      <c r="HV17" s="3151"/>
      <c r="HW17" s="3151"/>
      <c r="HX17" s="3151"/>
      <c r="HY17" s="3151"/>
      <c r="HZ17" s="3151"/>
      <c r="IA17" s="3151"/>
      <c r="IB17" s="3151"/>
      <c r="IC17" s="3151"/>
      <c r="ID17" s="3151"/>
      <c r="IE17" s="3151"/>
      <c r="IF17" s="3151"/>
      <c r="IG17" s="3151"/>
      <c r="IH17" s="3151"/>
      <c r="II17" s="3151"/>
      <c r="IJ17" s="3151"/>
      <c r="IK17" s="3151"/>
      <c r="IL17" s="3151"/>
      <c r="IM17" s="3151"/>
      <c r="IN17" s="3151"/>
      <c r="IO17" s="3151"/>
      <c r="IP17" s="3151"/>
      <c r="IQ17" s="3151"/>
      <c r="IR17" s="3151"/>
      <c r="IS17" s="3151"/>
      <c r="IT17" s="3151"/>
      <c r="IU17" s="3151"/>
      <c r="IV17" s="3151"/>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0" zoomScaleNormal="60" workbookViewId="0">
      <selection activeCell="S1" sqref="S1"/>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J34"/>
  <sheetViews>
    <sheetView topLeftCell="C1" workbookViewId="0">
      <selection activeCell="L19" sqref="L19"/>
    </sheetView>
  </sheetViews>
  <sheetFormatPr defaultRowHeight="12.75"/>
  <cols>
    <col min="1" max="3" width="9" style="3181"/>
    <col min="4" max="4" width="34.375" style="3181" bestFit="1" customWidth="1"/>
    <col min="5" max="6" width="13.125" style="3181" bestFit="1" customWidth="1"/>
    <col min="7" max="7" width="11.125" style="3181" customWidth="1"/>
    <col min="8" max="16384" width="9" style="3181"/>
  </cols>
  <sheetData>
    <row r="3" spans="4:9">
      <c r="F3" s="3182">
        <v>5.0000000000000001E-4</v>
      </c>
    </row>
    <row r="4" spans="4:9">
      <c r="D4" s="3183" t="s">
        <v>2965</v>
      </c>
      <c r="E4" s="3184" t="s">
        <v>2967</v>
      </c>
      <c r="F4" s="3184" t="s">
        <v>2969</v>
      </c>
      <c r="G4" s="3184" t="s">
        <v>2968</v>
      </c>
      <c r="H4" s="3185" t="s">
        <v>2982</v>
      </c>
      <c r="I4" s="3185" t="s">
        <v>2985</v>
      </c>
    </row>
    <row r="5" spans="4:9">
      <c r="D5" s="3183" t="str">
        <f>面积清单!H3</f>
        <v>北京市昌平区回南路9号院28号楼9层901号</v>
      </c>
      <c r="E5" s="3183">
        <f ca="1">ROUND(典型户型修正!R27*典型户型修正!B27/10000,2)</f>
        <v>648.54</v>
      </c>
      <c r="F5" s="3183">
        <f ca="1">ROUND(E5*$F$3,2)</f>
        <v>0.32</v>
      </c>
      <c r="G5" s="3183">
        <f ca="1">E5-F5</f>
        <v>648.21999999999991</v>
      </c>
      <c r="H5" s="3181">
        <f ca="1">ROUND(G5/典型户型修正!B27*10000,0)</f>
        <v>28241</v>
      </c>
      <c r="I5" s="3181">
        <f ca="1">ROUND(E5/典型户型修正!B27*10000,0)</f>
        <v>28255</v>
      </c>
    </row>
    <row r="6" spans="4:9">
      <c r="D6" s="3183" t="str">
        <f>面积清单!H4</f>
        <v>北京市昌平区回南路9号院28号楼9层902号</v>
      </c>
      <c r="E6" s="3183">
        <f ca="1">ROUND(典型户型修正!R28*典型户型修正!B28/10000,2)</f>
        <v>256.58999999999997</v>
      </c>
      <c r="F6" s="3183">
        <f t="shared" ref="F6:F20" ca="1" si="0">ROUND(E6*$F$3,2)</f>
        <v>0.13</v>
      </c>
      <c r="G6" s="3183">
        <f t="shared" ref="G6:G20" ca="1" si="1">E6-F6</f>
        <v>256.45999999999998</v>
      </c>
      <c r="H6" s="3181">
        <f ca="1">ROUND(G6/典型户型修正!B28*10000,0)</f>
        <v>28524</v>
      </c>
      <c r="I6" s="3181">
        <f ca="1">ROUND(E6/典型户型修正!B28*10000,0)</f>
        <v>28539</v>
      </c>
    </row>
    <row r="7" spans="4:9">
      <c r="D7" s="3183" t="str">
        <f>面积清单!H5</f>
        <v>北京市昌平区回南路9号院28号楼9层903号</v>
      </c>
      <c r="E7" s="3183">
        <f ca="1">ROUND(典型户型修正!R29*典型户型修正!B29/10000,2)</f>
        <v>317.69</v>
      </c>
      <c r="F7" s="3183">
        <f t="shared" ca="1" si="0"/>
        <v>0.16</v>
      </c>
      <c r="G7" s="3183">
        <f t="shared" ca="1" si="1"/>
        <v>317.52999999999997</v>
      </c>
      <c r="H7" s="3181">
        <f ca="1">ROUND(G7/典型户型修正!B29*10000,0)</f>
        <v>28524</v>
      </c>
      <c r="I7" s="3181">
        <f ca="1">ROUND(E7/典型户型修正!B29*10000,0)</f>
        <v>28538</v>
      </c>
    </row>
    <row r="8" spans="4:9">
      <c r="D8" s="3183" t="str">
        <f>面积清单!H6</f>
        <v>北京市昌平区回南路9号院28号楼9层904号</v>
      </c>
      <c r="E8" s="3183">
        <f ca="1">ROUND(典型户型修正!R30*典型户型修正!B30/10000,2)</f>
        <v>264.72000000000003</v>
      </c>
      <c r="F8" s="3183">
        <f t="shared" ca="1" si="0"/>
        <v>0.13</v>
      </c>
      <c r="G8" s="3183">
        <f t="shared" ca="1" si="1"/>
        <v>264.59000000000003</v>
      </c>
      <c r="H8" s="3181">
        <f ca="1">ROUND(G8/典型户型修正!B30*10000,0)</f>
        <v>28524</v>
      </c>
      <c r="I8" s="3181">
        <f ca="1">ROUND(E8/典型户型修正!B30*10000,0)</f>
        <v>28538</v>
      </c>
    </row>
    <row r="9" spans="4:9">
      <c r="D9" s="3183" t="str">
        <f>面积清单!H7</f>
        <v>北京市昌平区回南路9号院28号楼9层905号</v>
      </c>
      <c r="E9" s="3183">
        <f ca="1">ROUND(典型户型修正!R31*典型户型修正!B31/10000,2)</f>
        <v>318.02999999999997</v>
      </c>
      <c r="F9" s="3183">
        <f t="shared" ca="1" si="0"/>
        <v>0.16</v>
      </c>
      <c r="G9" s="3183">
        <f t="shared" ca="1" si="1"/>
        <v>317.86999999999995</v>
      </c>
      <c r="H9" s="3181">
        <f ca="1">ROUND(G9/典型户型修正!B31*10000,0)</f>
        <v>28524</v>
      </c>
      <c r="I9" s="3181">
        <f ca="1">ROUND(E9/典型户型修正!B31*10000,0)</f>
        <v>28538</v>
      </c>
    </row>
    <row r="10" spans="4:9">
      <c r="D10" s="3183" t="str">
        <f>面积清单!H8</f>
        <v>北京市昌平区回南路9号院28号楼9层906号</v>
      </c>
      <c r="E10" s="3183">
        <f ca="1">ROUND(典型户型修正!R32*典型户型修正!B32/10000,2)</f>
        <v>260.18</v>
      </c>
      <c r="F10" s="3183">
        <f t="shared" ca="1" si="0"/>
        <v>0.13</v>
      </c>
      <c r="G10" s="3183">
        <f t="shared" ca="1" si="1"/>
        <v>260.05</v>
      </c>
      <c r="H10" s="3181">
        <f ca="1">ROUND(G10/典型户型修正!B32*10000,0)</f>
        <v>28524</v>
      </c>
      <c r="I10" s="3181">
        <f ca="1">ROUND(E10/典型户型修正!B32*10000,0)</f>
        <v>28538</v>
      </c>
    </row>
    <row r="11" spans="4:9">
      <c r="D11" s="3183" t="str">
        <f>面积清单!H9</f>
        <v>北京市昌平区回南路9号院28号楼9层907号</v>
      </c>
      <c r="E11" s="3183">
        <f ca="1">ROUND(典型户型修正!R33*典型户型修正!B33/10000,2)</f>
        <v>316.91000000000003</v>
      </c>
      <c r="F11" s="3183">
        <f t="shared" ca="1" si="0"/>
        <v>0.16</v>
      </c>
      <c r="G11" s="3183">
        <f t="shared" ca="1" si="1"/>
        <v>316.75</v>
      </c>
      <c r="H11" s="3181">
        <f ca="1">ROUND(G11/典型户型修正!B33*10000,0)</f>
        <v>28523</v>
      </c>
      <c r="I11" s="3181">
        <f ca="1">ROUND(E11/典型户型修正!B33*10000,0)</f>
        <v>28538</v>
      </c>
    </row>
    <row r="12" spans="4:9">
      <c r="D12" s="3183" t="str">
        <f>面积清单!H10</f>
        <v>北京市昌平区回南路9号院28号楼9层908号</v>
      </c>
      <c r="E12" s="3183">
        <f ca="1">ROUND(典型户型修正!R34*典型户型修正!B34/10000,2)</f>
        <v>262.45999999999998</v>
      </c>
      <c r="F12" s="3183">
        <f t="shared" ca="1" si="0"/>
        <v>0.13</v>
      </c>
      <c r="G12" s="3183">
        <f t="shared" ca="1" si="1"/>
        <v>262.33</v>
      </c>
      <c r="H12" s="3181">
        <f ca="1">ROUND(G12/典型户型修正!B34*10000,0)</f>
        <v>28523</v>
      </c>
      <c r="I12" s="3181">
        <f ca="1">ROUND(E12/典型户型修正!B34*10000,0)</f>
        <v>28538</v>
      </c>
    </row>
    <row r="13" spans="4:9">
      <c r="D13" s="3183" t="str">
        <f>面积清单!H11</f>
        <v>北京市昌平区回南路9号院28号楼9层909号</v>
      </c>
      <c r="E13" s="3183">
        <f ca="1">ROUND(典型户型修正!R35*典型户型修正!B35/10000,2)</f>
        <v>324.27999999999997</v>
      </c>
      <c r="F13" s="3183">
        <f t="shared" ca="1" si="0"/>
        <v>0.16</v>
      </c>
      <c r="G13" s="3183">
        <f t="shared" ca="1" si="1"/>
        <v>324.11999999999995</v>
      </c>
      <c r="H13" s="3181">
        <f ca="1">ROUND(G13/典型户型修正!B35*10000,0)</f>
        <v>28524</v>
      </c>
      <c r="I13" s="3181">
        <f ca="1">ROUND(E13/典型户型修正!B35*10000,0)</f>
        <v>28538</v>
      </c>
    </row>
    <row r="14" spans="4:9">
      <c r="D14" s="3183" t="str">
        <f>面积清单!H12</f>
        <v>北京市昌平区回南路9号院28号楼9层910号</v>
      </c>
      <c r="E14" s="3183">
        <f ca="1">ROUND(典型户型修正!R36*典型户型修正!B36/10000,2)</f>
        <v>262.45999999999998</v>
      </c>
      <c r="F14" s="3183">
        <f t="shared" ca="1" si="0"/>
        <v>0.13</v>
      </c>
      <c r="G14" s="3183">
        <f t="shared" ca="1" si="1"/>
        <v>262.33</v>
      </c>
      <c r="H14" s="3181">
        <f ca="1">ROUND(G14/典型户型修正!B36*10000,0)</f>
        <v>28523</v>
      </c>
      <c r="I14" s="3181">
        <f ca="1">ROUND(E14/典型户型修正!B36*10000,0)</f>
        <v>28538</v>
      </c>
    </row>
    <row r="15" spans="4:9">
      <c r="D15" s="3183" t="str">
        <f>面积清单!H13</f>
        <v>北京市昌平区回南路9号院28号楼9层911号</v>
      </c>
      <c r="E15" s="3183">
        <f ca="1">ROUND(典型户型修正!R37*典型户型修正!B37/10000,2)</f>
        <v>299.51</v>
      </c>
      <c r="F15" s="3183">
        <f t="shared" ca="1" si="0"/>
        <v>0.15</v>
      </c>
      <c r="G15" s="3183">
        <f t="shared" ca="1" si="1"/>
        <v>299.36</v>
      </c>
      <c r="H15" s="3181">
        <f ca="1">ROUND(G15/典型户型修正!B37*10000,0)</f>
        <v>28524</v>
      </c>
      <c r="I15" s="3181">
        <f ca="1">ROUND(E15/典型户型修正!B37*10000,0)</f>
        <v>28538</v>
      </c>
    </row>
    <row r="16" spans="4:9">
      <c r="D16" s="3183" t="str">
        <f>面积清单!H14</f>
        <v>北京市昌平区回南路9号院28号楼9层912号</v>
      </c>
      <c r="E16" s="3183">
        <f ca="1">ROUND(典型户型修正!R38*典型户型修正!B38/10000,2)</f>
        <v>253.39</v>
      </c>
      <c r="F16" s="3183">
        <f t="shared" ca="1" si="0"/>
        <v>0.13</v>
      </c>
      <c r="G16" s="3183">
        <f t="shared" ca="1" si="1"/>
        <v>253.26</v>
      </c>
      <c r="H16" s="3181">
        <f ca="1">ROUND(G16/典型户型修正!B38*10000,0)</f>
        <v>28523</v>
      </c>
      <c r="I16" s="3181">
        <f ca="1">ROUND(E16/典型户型修正!B38*10000,0)</f>
        <v>28538</v>
      </c>
    </row>
    <row r="17" spans="4:10">
      <c r="D17" s="3183" t="str">
        <f>面积清单!H15</f>
        <v>北京市昌平区回南路9号院28号楼9层913号</v>
      </c>
      <c r="E17" s="3183">
        <f ca="1">ROUND(典型户型修正!R39*典型户型修正!B39/10000,2)</f>
        <v>241.86</v>
      </c>
      <c r="F17" s="3183">
        <f t="shared" ca="1" si="0"/>
        <v>0.12</v>
      </c>
      <c r="G17" s="3183">
        <f t="shared" ca="1" si="1"/>
        <v>241.74</v>
      </c>
      <c r="H17" s="3181">
        <f ca="1">ROUND(G17/典型户型修正!B39*10000,0)</f>
        <v>28524</v>
      </c>
      <c r="I17" s="3181">
        <f ca="1">ROUND(E17/典型户型修正!B39*10000,0)</f>
        <v>28538</v>
      </c>
    </row>
    <row r="18" spans="4:10">
      <c r="D18" s="3183" t="str">
        <f>面积清单!H16</f>
        <v>北京市昌平区回南路9号院28号楼9层914号</v>
      </c>
      <c r="E18" s="3183">
        <f ca="1">ROUND(典型户型修正!R40*典型户型修正!B40/10000,2)</f>
        <v>222.4</v>
      </c>
      <c r="F18" s="3183">
        <f t="shared" ca="1" si="0"/>
        <v>0.11</v>
      </c>
      <c r="G18" s="3183">
        <f t="shared" ca="1" si="1"/>
        <v>222.29</v>
      </c>
      <c r="H18" s="3181">
        <f ca="1">ROUND(G18/典型户型修正!B40*10000,0)</f>
        <v>28805</v>
      </c>
      <c r="I18" s="3181">
        <f ca="1">ROUND(E18/典型户型修正!B40*10000,0)</f>
        <v>28819</v>
      </c>
    </row>
    <row r="19" spans="4:10">
      <c r="D19" s="3183" t="str">
        <f>面积清单!H17</f>
        <v>北京市昌平区回南路9号院28号楼9层915号</v>
      </c>
      <c r="E19" s="3183">
        <f ca="1">ROUND(典型户型修正!R41*典型户型修正!B41/10000,2)</f>
        <v>240.03</v>
      </c>
      <c r="F19" s="3183">
        <f t="shared" ca="1" si="0"/>
        <v>0.12</v>
      </c>
      <c r="G19" s="3183">
        <f t="shared" ca="1" si="1"/>
        <v>239.91</v>
      </c>
      <c r="H19" s="3181">
        <f ca="1">ROUND(G19/典型户型修正!B41*10000,0)</f>
        <v>28523</v>
      </c>
      <c r="I19" s="3181">
        <f ca="1">ROUND(E19/典型户型修正!B41*10000,0)</f>
        <v>28538</v>
      </c>
    </row>
    <row r="20" spans="4:10">
      <c r="D20" s="3183" t="str">
        <f>面积清单!H18</f>
        <v>北京市昌平区回南路9号院28号楼9层916号</v>
      </c>
      <c r="E20" s="3183">
        <f ca="1">ROUND(典型户型修正!R42*典型户型修正!B42/10000,2)</f>
        <v>194.51</v>
      </c>
      <c r="F20" s="3183">
        <f t="shared" ca="1" si="0"/>
        <v>0.1</v>
      </c>
      <c r="G20" s="3183">
        <f t="shared" ca="1" si="1"/>
        <v>194.41</v>
      </c>
      <c r="H20" s="3181">
        <f ca="1">ROUND(G20/典型户型修正!B42*10000,0)</f>
        <v>28806</v>
      </c>
      <c r="I20" s="3181">
        <f ca="1">ROUND(E20/典型户型修正!B42*10000,0)</f>
        <v>28821</v>
      </c>
    </row>
    <row r="21" spans="4:10">
      <c r="D21" s="3183" t="s">
        <v>2966</v>
      </c>
      <c r="E21" s="3183">
        <f t="shared" ref="E21:F21" ca="1" si="2">SUM(E5:E20)</f>
        <v>4683.5599999999995</v>
      </c>
      <c r="F21" s="3183">
        <f t="shared" ca="1" si="2"/>
        <v>2.34</v>
      </c>
      <c r="G21" s="3183">
        <f ca="1">SUM(G5:G20)</f>
        <v>4681.2199999999993</v>
      </c>
      <c r="H21" s="3185">
        <f ca="1">ROUND(G21/J26*10000,0)</f>
        <v>28509</v>
      </c>
      <c r="I21" s="3181">
        <f ca="1">ROUND(E21/J26*10000,0)</f>
        <v>28523</v>
      </c>
    </row>
    <row r="23" spans="4:10">
      <c r="H23" s="3185" t="s">
        <v>2979</v>
      </c>
      <c r="I23" s="3185" t="s">
        <v>2980</v>
      </c>
      <c r="J23" s="3185" t="s">
        <v>2981</v>
      </c>
    </row>
    <row r="24" spans="4:10">
      <c r="G24" s="3187">
        <v>901</v>
      </c>
      <c r="H24" s="3181">
        <f ca="1">E5</f>
        <v>648.54</v>
      </c>
      <c r="I24" s="3181">
        <f ca="1">ROUND(H24/J24*10000,0)</f>
        <v>28255</v>
      </c>
      <c r="J24" s="3181">
        <f>典型户型修正!B27</f>
        <v>229.53</v>
      </c>
    </row>
    <row r="25" spans="4:10">
      <c r="G25" s="3186" t="s">
        <v>2977</v>
      </c>
      <c r="H25" s="3181">
        <f ca="1">E21-E5</f>
        <v>4035.0199999999995</v>
      </c>
      <c r="I25" s="3181">
        <f t="shared" ref="I25:I26" ca="1" si="3">ROUND(H25/J25*10000,0)</f>
        <v>28567</v>
      </c>
      <c r="J25" s="3181">
        <f>J26-J24</f>
        <v>1412.48</v>
      </c>
    </row>
    <row r="26" spans="4:10">
      <c r="G26" s="3186" t="s">
        <v>2978</v>
      </c>
      <c r="H26" s="3181">
        <f ca="1">H24+H25</f>
        <v>4683.5599999999995</v>
      </c>
      <c r="I26" s="3181">
        <f t="shared" ca="1" si="3"/>
        <v>28523</v>
      </c>
      <c r="J26" s="3181">
        <f>典型户型修正!B25</f>
        <v>1642.01</v>
      </c>
    </row>
    <row r="31" spans="4:10">
      <c r="E31" s="3185" t="s">
        <v>2973</v>
      </c>
      <c r="F31" s="3185" t="s">
        <v>2974</v>
      </c>
      <c r="G31" s="3185" t="s">
        <v>2976</v>
      </c>
    </row>
    <row r="32" spans="4:10">
      <c r="D32" s="3186" t="s">
        <v>2971</v>
      </c>
      <c r="E32" s="3181">
        <v>32620</v>
      </c>
      <c r="F32" s="3181">
        <f>ROUND(E32*典型户型修正!B27/10000,2)</f>
        <v>748.73</v>
      </c>
      <c r="G32" s="3181">
        <v>0.7</v>
      </c>
    </row>
    <row r="33" spans="4:7">
      <c r="D33" s="3186" t="s">
        <v>2972</v>
      </c>
      <c r="E33" s="3181">
        <v>18070</v>
      </c>
      <c r="F33" s="3181">
        <f>ROUND(E33*典型户型修正!B27/10000,2)</f>
        <v>414.76</v>
      </c>
      <c r="G33" s="3181">
        <v>0.3</v>
      </c>
    </row>
    <row r="34" spans="4:7">
      <c r="D34" s="3186" t="s">
        <v>2975</v>
      </c>
      <c r="F34" s="3181">
        <f>F32*G32+F33*G33</f>
        <v>648.53899999999999</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1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12"/>
      <c r="C2" s="3212"/>
      <c r="D2" s="3212"/>
      <c r="E2" s="3212"/>
    </row>
    <row r="3" spans="1:5" ht="13.5" customHeight="1">
      <c r="A3" s="1362"/>
      <c r="B3" s="1362"/>
      <c r="C3" s="1362"/>
      <c r="D3" s="1362"/>
      <c r="E3" s="1362"/>
    </row>
    <row r="4" spans="1:5" ht="19.5" thickBot="1">
      <c r="A4" s="3213" t="str">
        <f>IF(项目基本情况!D5="房地产市场价值","估价结果一览表（市场价值不需本页表格)","估价结果一览表")</f>
        <v>估价结果一览表</v>
      </c>
      <c r="B4" s="3213"/>
      <c r="C4" s="3213"/>
      <c r="D4" s="3213"/>
      <c r="E4" s="3213"/>
    </row>
    <row r="5" spans="1:5" ht="14.25" customHeight="1" thickTop="1">
      <c r="A5" s="1359"/>
      <c r="B5" s="1363" t="s">
        <v>742</v>
      </c>
      <c r="C5" s="3214" t="s">
        <v>775</v>
      </c>
      <c r="D5" s="3215"/>
      <c r="E5" s="1359"/>
    </row>
    <row r="6" spans="1:5" ht="14.25">
      <c r="A6" s="1359"/>
      <c r="B6" s="1364" t="str">
        <f>项目基本情况!I1</f>
        <v>北京市房地产</v>
      </c>
      <c r="C6" s="3216">
        <f>项目基本情况!C12</f>
        <v>1642.01</v>
      </c>
      <c r="D6" s="3216"/>
      <c r="E6" s="1359"/>
    </row>
    <row r="7" spans="1:5" ht="14.25">
      <c r="A7" s="1359"/>
      <c r="B7" s="3210" t="s">
        <v>776</v>
      </c>
      <c r="C7" s="1365" t="str">
        <f>IF('数据-取费表'!B3="万元","总价（万元）","总价（元）")</f>
        <v>总价（万元）</v>
      </c>
      <c r="D7" s="1366">
        <f ca="1">IF('数据-取费表'!E3="否",结果表!I102,'结果表 (1修多)'!I104)</f>
        <v>4684</v>
      </c>
      <c r="E7" s="1359"/>
    </row>
    <row r="8" spans="1:5" ht="14.25">
      <c r="A8" s="1359"/>
      <c r="B8" s="3210"/>
      <c r="C8" s="1367" t="s">
        <v>1162</v>
      </c>
      <c r="D8" s="1368" t="str">
        <f ca="1">IF('数据-取费表'!B3="万元",NUMBERSTRING(INT(D7*10000),2)&amp;"元整",NUMBERSTRING(INT(D7),2)&amp;"元整")</f>
        <v>肆仟陆佰捌拾肆万元整</v>
      </c>
      <c r="E8" s="1359"/>
    </row>
    <row r="9" spans="1:5" ht="14.25">
      <c r="A9" s="1359"/>
      <c r="B9" s="3210"/>
      <c r="C9" s="1369" t="s">
        <v>1260</v>
      </c>
      <c r="D9" s="1366">
        <f ca="1">IF('数据-取费表'!E3="否",结果表!I103,'结果表 (1修多)'!I105)</f>
        <v>28526</v>
      </c>
      <c r="E9" s="1359"/>
    </row>
    <row r="10" spans="1:5" ht="14.25">
      <c r="A10" s="1359"/>
      <c r="B10" s="3217"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217"/>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217" t="str">
        <f>IF('数据-取费表'!E3="否",结果表!F110,'结果表 (1修多)'!F112)</f>
        <v>3.房地产抵押价值</v>
      </c>
      <c r="C15" s="1360" t="str">
        <f>C7</f>
        <v>总价（万元）</v>
      </c>
      <c r="D15" s="1366">
        <f ca="1">IF('数据-取费表'!E3="否",结果表!I110,'结果表 (1修多)'!I112)</f>
        <v>4684</v>
      </c>
      <c r="E15" s="1359"/>
    </row>
    <row r="16" spans="1:5" ht="14.25">
      <c r="A16" s="1359"/>
      <c r="B16" s="3217"/>
      <c r="C16" s="1367" t="s">
        <v>1162</v>
      </c>
      <c r="D16" s="1366" t="str">
        <f ca="1">IF('数据-取费表'!B3="万元",NUMBERSTRING(INT(D15*10000),2)&amp;"元整",NUMBERSTRING(INT(D15),2)&amp;"元整")</f>
        <v>肆仟陆佰捌拾肆万元整</v>
      </c>
      <c r="E16" s="1359"/>
    </row>
    <row r="17" spans="1:5" ht="14.25">
      <c r="A17" s="1359"/>
      <c r="B17" s="3217"/>
      <c r="C17" s="1369" t="s">
        <v>1260</v>
      </c>
      <c r="D17" s="1366">
        <f ca="1">IF('数据-取费表'!E3="否",结果表!I111,'结果表 (1修多)'!I113)</f>
        <v>28526</v>
      </c>
      <c r="E17" s="1359"/>
    </row>
    <row r="18" spans="1:5" ht="14.25">
      <c r="A18" s="1359"/>
      <c r="B18" s="3217" t="str">
        <f>IF('数据-取费表'!E3="否",结果表!F112,'结果表 (1修多)'!F114)</f>
        <v>——</v>
      </c>
      <c r="C18" s="1360" t="str">
        <f>C7</f>
        <v>总价（万元）</v>
      </c>
      <c r="D18" s="1366" t="str">
        <f>IF('数据-取费表'!E3="否",结果表!I112,'结果表 (1修多)'!I114)</f>
        <v>——</v>
      </c>
      <c r="E18" s="1359"/>
    </row>
    <row r="19" spans="1:5" ht="14.25">
      <c r="A19" s="1359"/>
      <c r="B19" s="3217"/>
      <c r="C19" s="1367" t="s">
        <v>1162</v>
      </c>
      <c r="D19" s="1366" t="e">
        <f>IF('数据-取费表'!B3="万元",NUMBERSTRING(INT(D18*10000),2)&amp;"元整",NUMBERSTRING(INT(D18),2)&amp;"元整")</f>
        <v>#VALUE!</v>
      </c>
      <c r="E19" s="1359"/>
    </row>
    <row r="20" spans="1:5" ht="14.25">
      <c r="A20" s="1359"/>
      <c r="B20" s="3217"/>
      <c r="C20" s="1369" t="s">
        <v>1260</v>
      </c>
      <c r="D20" s="1366" t="str">
        <f>IF('数据-取费表'!E3="否",结果表!I113,'结果表 (1修多)'!I115)</f>
        <v>——</v>
      </c>
      <c r="E20" s="1359"/>
    </row>
    <row r="21" spans="1:5" ht="14.25">
      <c r="A21" s="1359"/>
      <c r="B21" s="3210" t="str">
        <f>IF('数据-取费表'!E3="否",结果表!F114,'结果表 (1修多)'!F116)</f>
        <v>4.抵押净值</v>
      </c>
      <c r="C21" s="1365" t="str">
        <f>C7</f>
        <v>总价（万元）</v>
      </c>
      <c r="D21" s="1366">
        <f ca="1">IF('数据-取费表'!E3="否",结果表!I114,'结果表 (1修多)'!I116)</f>
        <v>4682</v>
      </c>
      <c r="E21" s="1359"/>
    </row>
    <row r="22" spans="1:5" ht="14.25">
      <c r="A22" s="1359"/>
      <c r="B22" s="3210"/>
      <c r="C22" s="1367" t="s">
        <v>1162</v>
      </c>
      <c r="D22" s="1368" t="str">
        <f ca="1">IF('数据-取费表'!B3="万元",NUMBERSTRING(INT(D21*10000),2)&amp;"元整",NUMBERSTRING(INT(D21),2)&amp;"元整")</f>
        <v>肆仟陆佰捌拾贰万元整</v>
      </c>
      <c r="E22" s="1359"/>
    </row>
    <row r="23" spans="1:5" ht="15" thickBot="1">
      <c r="A23" s="1359"/>
      <c r="B23" s="3211"/>
      <c r="C23" s="1374" t="s">
        <v>1260</v>
      </c>
      <c r="D23" s="1375">
        <f ca="1">IF('数据-取费表'!E3="否",结果表!I115,'结果表 (1修多)'!I117)</f>
        <v>28514</v>
      </c>
      <c r="E23" s="1359"/>
    </row>
    <row r="24" spans="1:5" ht="14.25" thickTop="1">
      <c r="A24" s="1359"/>
      <c r="B24" s="1359"/>
      <c r="C24" s="1359"/>
      <c r="D24" s="1359"/>
      <c r="E24" s="1359"/>
    </row>
    <row r="25" spans="1:5" ht="18.75" customHeight="1" thickBot="1">
      <c r="A25" s="1359"/>
      <c r="B25" s="3202" t="s">
        <v>1261</v>
      </c>
      <c r="C25" s="3202"/>
      <c r="D25" s="3202"/>
      <c r="E25" s="1359"/>
    </row>
    <row r="26" spans="1:5" ht="18.75" customHeight="1" thickTop="1">
      <c r="A26" s="1359"/>
      <c r="B26" s="3205" t="s">
        <v>1161</v>
      </c>
      <c r="C26" s="3206"/>
      <c r="D26" s="3203" t="s">
        <v>1160</v>
      </c>
      <c r="E26" s="1359"/>
    </row>
    <row r="27" spans="1:5" ht="18.75" customHeight="1">
      <c r="A27" s="1359"/>
      <c r="B27" s="3207"/>
      <c r="C27" s="3208"/>
      <c r="D27" s="3204"/>
      <c r="E27" s="1359"/>
    </row>
    <row r="28" spans="1:5" ht="14.25">
      <c r="A28" s="1359"/>
      <c r="B28" s="3195" t="s">
        <v>776</v>
      </c>
      <c r="C28" s="1376" t="s">
        <v>1163</v>
      </c>
      <c r="D28" s="1377">
        <f ca="1">IF('数据-取费表'!E3="否",结果表!I102,'结果表 (1修多)'!I104)</f>
        <v>4684</v>
      </c>
      <c r="E28" s="1359"/>
    </row>
    <row r="29" spans="1:5" ht="14.25">
      <c r="A29" s="1359"/>
      <c r="B29" s="3196"/>
      <c r="C29" s="1378" t="s">
        <v>1162</v>
      </c>
      <c r="D29" s="1379" t="str">
        <f ca="1">IF('数据-取费表'!B3="万元",NUMBERSTRING(INT(D28*10000),2)&amp;"元整",NUMBERSTRING(INT(D28),2)&amp;"元整")</f>
        <v>肆仟陆佰捌拾肆万元整</v>
      </c>
      <c r="E29" s="1359"/>
    </row>
    <row r="30" spans="1:5" ht="14.25">
      <c r="A30" s="1359"/>
      <c r="B30" s="3197"/>
      <c r="C30" s="1369" t="s">
        <v>1165</v>
      </c>
      <c r="D30" s="1380">
        <f ca="1">IF('数据-取费表'!E3="否",结果表!I103,'结果表 (1修多)'!I105)</f>
        <v>28526</v>
      </c>
      <c r="E30" s="1359"/>
    </row>
    <row r="31" spans="1:5" ht="14.25">
      <c r="A31" s="1359"/>
      <c r="B31" s="3200" t="str">
        <f>B10</f>
        <v>2.估价师所知悉的法定优先受偿款</v>
      </c>
      <c r="C31" s="1381" t="s">
        <v>1164</v>
      </c>
      <c r="D31" s="1382">
        <f>IF('数据-取费表'!E3="否",结果表!I105,'结果表 (1修多)'!I107)</f>
        <v>0</v>
      </c>
      <c r="E31" s="1359"/>
    </row>
    <row r="32" spans="1:5" ht="14.25">
      <c r="A32" s="1359"/>
      <c r="B32" s="320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98" t="str">
        <f>B15</f>
        <v>3.房地产抵押价值</v>
      </c>
      <c r="C36" s="1381" t="str">
        <f>C28</f>
        <v>总价</v>
      </c>
      <c r="D36" s="1382">
        <f ca="1">IF('数据-取费表'!E3="否",结果表!I110,'结果表 (1修多)'!I112)</f>
        <v>4684</v>
      </c>
      <c r="E36" s="1359"/>
    </row>
    <row r="37" spans="1:5" ht="14.25">
      <c r="A37" s="1359"/>
      <c r="B37" s="3198"/>
      <c r="C37" s="1378" t="s">
        <v>1162</v>
      </c>
      <c r="D37" s="1383" t="str">
        <f ca="1">IF('数据-取费表'!B3="万元",NUMBERSTRING(INT(D36*10000),2)&amp;"元整",NUMBERSTRING(INT(D36),2)&amp;"元整")</f>
        <v>肆仟陆佰捌拾肆万元整</v>
      </c>
      <c r="E37" s="1359"/>
    </row>
    <row r="38" spans="1:5" ht="14.25">
      <c r="A38" s="1359"/>
      <c r="B38" s="3198"/>
      <c r="C38" s="1369" t="s">
        <v>1166</v>
      </c>
      <c r="D38" s="1380">
        <f ca="1">IF('数据-取费表'!E3="否",结果表!D113,'结果表 (1修多)'!D117)</f>
        <v>28526</v>
      </c>
      <c r="E38" s="1359"/>
    </row>
    <row r="39" spans="1:5" ht="14.25">
      <c r="A39" s="1359"/>
      <c r="B39" s="3199" t="str">
        <f>B18</f>
        <v>——</v>
      </c>
      <c r="C39" s="1381" t="str">
        <f>C28</f>
        <v>总价</v>
      </c>
      <c r="D39" s="1382" t="str">
        <f>IF('数据-取费表'!E3="否",结果表!I112,'结果表 (1修多)'!I114)</f>
        <v>——</v>
      </c>
      <c r="E39" s="1359"/>
    </row>
    <row r="40" spans="1:5" ht="14.25">
      <c r="A40" s="1359"/>
      <c r="B40" s="3199"/>
      <c r="C40" s="1378" t="s">
        <v>1162</v>
      </c>
      <c r="D40" s="1383" t="e">
        <f>IF('数据-取费表'!B3="万元",NUMBERSTRING(INT(D39*10000),2)&amp;"元整",NUMBERSTRING(INT(D39),2)&amp;"元整")</f>
        <v>#VALUE!</v>
      </c>
      <c r="E40" s="1359"/>
    </row>
    <row r="41" spans="1:5" ht="14.25">
      <c r="A41" s="1359"/>
      <c r="B41" s="3199"/>
      <c r="C41" s="1369" t="s">
        <v>1166</v>
      </c>
      <c r="D41" s="1380" t="str">
        <f>IF('数据-取费表'!E3="否",结果表!D115,'结果表 (1修多)'!D119)</f>
        <v>——</v>
      </c>
      <c r="E41" s="1359"/>
    </row>
    <row r="42" spans="1:5" ht="14.25">
      <c r="A42" s="1359"/>
      <c r="B42" s="3198" t="str">
        <f>B21</f>
        <v>4.抵押净值</v>
      </c>
      <c r="C42" s="1381" t="str">
        <f>C28</f>
        <v>总价</v>
      </c>
      <c r="D42" s="1382">
        <f ca="1">IF('数据-取费表'!E3="否",结果表!I114,'结果表 (1修多)'!I116)</f>
        <v>4682</v>
      </c>
      <c r="E42" s="1359"/>
    </row>
    <row r="43" spans="1:5" ht="14.25">
      <c r="A43" s="1359"/>
      <c r="B43" s="3200"/>
      <c r="C43" s="1378" t="s">
        <v>1162</v>
      </c>
      <c r="D43" s="1384" t="str">
        <f ca="1">IF('数据-取费表'!B3="万元",NUMBERSTRING(INT(D42*10000),2)&amp;"元整",NUMBERSTRING(INT(D42),2)&amp;"元整")</f>
        <v>肆仟陆佰捌拾贰万元整</v>
      </c>
      <c r="E43" s="1359"/>
    </row>
    <row r="44" spans="1:5" ht="15" thickBot="1">
      <c r="A44" s="1359"/>
      <c r="B44" s="3201"/>
      <c r="C44" s="1374" t="s">
        <v>1166</v>
      </c>
      <c r="D44" s="1385">
        <f ca="1">IF('数据-取费表'!E3="否",结果表!D117,'结果表 (1修多)'!D121)</f>
        <v>28514</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52" zoomScale="80" zoomScaleNormal="100" zoomScaleSheetLayoutView="80" zoomScalePageLayoutView="80" workbookViewId="0">
      <selection activeCell="A71" sqref="A71:H81"/>
    </sheetView>
  </sheetViews>
  <sheetFormatPr defaultColWidth="12.625" defaultRowHeight="21.75" customHeight="1"/>
  <cols>
    <col min="1" max="2" width="12.625" style="1462"/>
    <col min="3" max="4" width="12.625" style="1462" customWidth="1"/>
    <col min="5" max="9" width="12.625" style="1462"/>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581" t="str">
        <f>项目基本情况!B1</f>
        <v>北京市房地产抵押价值预评估</v>
      </c>
      <c r="B2" s="3581"/>
      <c r="C2" s="3581"/>
      <c r="D2" s="3581"/>
      <c r="E2" s="3581"/>
      <c r="F2" s="3581"/>
      <c r="G2" s="3581"/>
      <c r="H2" s="3581"/>
      <c r="I2" s="3581"/>
      <c r="J2" s="2842"/>
    </row>
    <row r="3" spans="1:15" ht="12.75">
      <c r="A3" s="3384" t="s">
        <v>1711</v>
      </c>
      <c r="B3" s="3385"/>
      <c r="C3" s="3385"/>
      <c r="D3" s="3385"/>
      <c r="E3" s="3385"/>
      <c r="F3" s="3385"/>
      <c r="G3" s="3385"/>
      <c r="H3" s="3385"/>
      <c r="I3" s="3385"/>
      <c r="J3" s="2843"/>
    </row>
    <row r="4" spans="1:15" ht="14.25">
      <c r="A4" s="2711" t="s">
        <v>1712</v>
      </c>
      <c r="B4" s="2711" t="s">
        <v>1713</v>
      </c>
      <c r="C4" s="2712" t="s">
        <v>2911</v>
      </c>
      <c r="D4" s="2712" t="s">
        <v>2912</v>
      </c>
      <c r="E4" s="3302" t="s">
        <v>1714</v>
      </c>
      <c r="F4" s="3307"/>
      <c r="G4" s="3307"/>
      <c r="H4" s="3307"/>
      <c r="I4" s="3308"/>
      <c r="J4" s="2844"/>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86" t="s">
        <v>1715</v>
      </c>
      <c r="B5" s="3386">
        <v>25</v>
      </c>
      <c r="C5" s="3387"/>
      <c r="D5" s="3390"/>
      <c r="E5" s="12" t="s">
        <v>1716</v>
      </c>
      <c r="F5" s="2089"/>
      <c r="G5" s="2089"/>
      <c r="H5" s="2089"/>
      <c r="I5" s="2084"/>
      <c r="J5" s="2844"/>
    </row>
    <row r="6" spans="1:15" ht="12.75">
      <c r="A6" s="3386"/>
      <c r="B6" s="3386"/>
      <c r="C6" s="3388"/>
      <c r="D6" s="3390"/>
      <c r="E6" s="12" t="s">
        <v>1717</v>
      </c>
      <c r="F6" s="2089"/>
      <c r="G6" s="2089"/>
      <c r="H6" s="2089"/>
      <c r="I6" s="2084"/>
      <c r="J6" s="2844"/>
    </row>
    <row r="7" spans="1:15" ht="12.75">
      <c r="A7" s="3386"/>
      <c r="B7" s="3386"/>
      <c r="C7" s="3389"/>
      <c r="D7" s="3390"/>
      <c r="E7" s="12" t="s">
        <v>1718</v>
      </c>
      <c r="F7" s="2089"/>
      <c r="G7" s="2089"/>
      <c r="H7" s="2089"/>
      <c r="I7" s="2084"/>
      <c r="J7" s="2844"/>
    </row>
    <row r="8" spans="1:15" ht="12.75">
      <c r="A8" s="3386" t="s">
        <v>1719</v>
      </c>
      <c r="B8" s="3386">
        <v>15</v>
      </c>
      <c r="C8" s="3387"/>
      <c r="D8" s="3390"/>
      <c r="E8" s="12" t="s">
        <v>1720</v>
      </c>
      <c r="F8" s="2089"/>
      <c r="G8" s="2089"/>
      <c r="H8" s="2089"/>
      <c r="I8" s="2084"/>
      <c r="J8" s="2844"/>
    </row>
    <row r="9" spans="1:15" ht="12.75">
      <c r="A9" s="3386"/>
      <c r="B9" s="3386"/>
      <c r="C9" s="3389"/>
      <c r="D9" s="3390"/>
      <c r="E9" s="12" t="s">
        <v>1721</v>
      </c>
      <c r="F9" s="2089"/>
      <c r="G9" s="2089"/>
      <c r="H9" s="2089"/>
      <c r="I9" s="2084"/>
      <c r="J9" s="2844"/>
    </row>
    <row r="10" spans="1:15" ht="12.75">
      <c r="A10" s="3386" t="s">
        <v>1722</v>
      </c>
      <c r="B10" s="3386">
        <v>15</v>
      </c>
      <c r="C10" s="3387"/>
      <c r="D10" s="3390"/>
      <c r="E10" s="12" t="s">
        <v>1723</v>
      </c>
      <c r="F10" s="2089"/>
      <c r="G10" s="2089"/>
      <c r="H10" s="2089"/>
      <c r="I10" s="2084"/>
      <c r="J10" s="2844"/>
    </row>
    <row r="11" spans="1:15" ht="12.75">
      <c r="A11" s="3386"/>
      <c r="B11" s="3386"/>
      <c r="C11" s="3389"/>
      <c r="D11" s="3390"/>
      <c r="E11" s="12" t="s">
        <v>1724</v>
      </c>
      <c r="F11" s="2089"/>
      <c r="G11" s="2089"/>
      <c r="H11" s="2089"/>
      <c r="I11" s="2084"/>
      <c r="J11" s="2844"/>
    </row>
    <row r="12" spans="1:15" ht="12.75">
      <c r="A12" s="3386" t="s">
        <v>1725</v>
      </c>
      <c r="B12" s="3386">
        <v>15</v>
      </c>
      <c r="C12" s="3387"/>
      <c r="D12" s="3390"/>
      <c r="E12" s="12" t="s">
        <v>1726</v>
      </c>
      <c r="F12" s="2089"/>
      <c r="G12" s="2089"/>
      <c r="H12" s="2089"/>
      <c r="I12" s="2084"/>
      <c r="J12" s="2844"/>
    </row>
    <row r="13" spans="1:15" ht="12.75">
      <c r="A13" s="3386"/>
      <c r="B13" s="3386"/>
      <c r="C13" s="3389"/>
      <c r="D13" s="3390"/>
      <c r="E13" s="12" t="s">
        <v>1727</v>
      </c>
      <c r="F13" s="2089"/>
      <c r="G13" s="2089"/>
      <c r="H13" s="2089"/>
      <c r="I13" s="2084"/>
      <c r="J13" s="2844"/>
    </row>
    <row r="14" spans="1:15" ht="12.75">
      <c r="A14" s="3386" t="s">
        <v>1728</v>
      </c>
      <c r="B14" s="3386">
        <v>30</v>
      </c>
      <c r="C14" s="3387">
        <v>7</v>
      </c>
      <c r="D14" s="3390">
        <v>3</v>
      </c>
      <c r="E14" s="12" t="s">
        <v>1729</v>
      </c>
      <c r="F14" s="2089"/>
      <c r="G14" s="2089"/>
      <c r="H14" s="2089"/>
      <c r="I14" s="2084"/>
      <c r="J14" s="2844"/>
    </row>
    <row r="15" spans="1:15" ht="12.75">
      <c r="A15" s="3386"/>
      <c r="B15" s="3386"/>
      <c r="C15" s="3388"/>
      <c r="D15" s="3390"/>
      <c r="E15" s="12" t="s">
        <v>1730</v>
      </c>
      <c r="F15" s="2089"/>
      <c r="G15" s="2089"/>
      <c r="H15" s="2089"/>
      <c r="I15" s="2084"/>
      <c r="J15" s="2844"/>
    </row>
    <row r="16" spans="1:15" ht="12.75">
      <c r="A16" s="3386"/>
      <c r="B16" s="3386"/>
      <c r="C16" s="3389"/>
      <c r="D16" s="3390"/>
      <c r="E16" s="12" t="s">
        <v>1731</v>
      </c>
      <c r="F16" s="2089"/>
      <c r="G16" s="2089"/>
      <c r="H16" s="2089"/>
      <c r="I16" s="2084"/>
      <c r="J16" s="2844"/>
    </row>
    <row r="17" spans="1:36" ht="15">
      <c r="A17" s="2713" t="s">
        <v>1732</v>
      </c>
      <c r="B17" s="2094"/>
      <c r="C17" s="2714">
        <f>SUM(C5:C16)</f>
        <v>7</v>
      </c>
      <c r="D17" s="2714">
        <f>SUM(D5:D16)</f>
        <v>3</v>
      </c>
      <c r="E17" s="2563"/>
      <c r="F17" s="2563"/>
      <c r="G17" s="2563"/>
      <c r="H17" s="2563"/>
      <c r="I17" s="2563"/>
      <c r="J17" s="2845"/>
    </row>
    <row r="18" spans="1:36" ht="30" customHeight="1" thickBot="1">
      <c r="A18" s="2715" t="s">
        <v>1733</v>
      </c>
      <c r="B18" s="2716"/>
      <c r="C18" s="2717">
        <f>ROUND(C17/SUM(C17:D17),2)</f>
        <v>0.7</v>
      </c>
      <c r="D18" s="2717">
        <f>1-C18</f>
        <v>0.30000000000000004</v>
      </c>
      <c r="E18" s="3399" t="s">
        <v>2813</v>
      </c>
      <c r="F18" s="3400"/>
      <c r="G18" s="3400"/>
      <c r="H18" s="3400"/>
      <c r="I18" s="3400"/>
      <c r="J18" s="2845"/>
    </row>
    <row r="19" spans="1:36" ht="15">
      <c r="A19" s="2718" t="s">
        <v>1734</v>
      </c>
      <c r="B19" s="2719" t="s">
        <v>1735</v>
      </c>
      <c r="C19" s="2720">
        <f ca="1">SUMIF(INDIRECT("'"&amp;C4&amp;"'"&amp;"!A:A"),结果表!B19,INDIRECT("'"&amp;C4&amp;"'"&amp;"!B:B"))</f>
        <v>749</v>
      </c>
      <c r="D19" s="2721">
        <f ca="1">SUMIF(INDIRECT("'"&amp;D4&amp;"'"&amp;"!A:A"),结果表!B19,INDIRECT("'"&amp;D4&amp;"'"&amp;"!B:B"))</f>
        <v>415</v>
      </c>
      <c r="E19" s="2718" t="s">
        <v>1736</v>
      </c>
      <c r="F19" s="2719" t="s">
        <v>1735</v>
      </c>
      <c r="G19" s="2722">
        <f ca="1">ROUND(C19*$C$18+D19*$D$18,0)</f>
        <v>649</v>
      </c>
      <c r="H19" s="2723" t="str">
        <f>'数据-取费表'!B3</f>
        <v>万元</v>
      </c>
      <c r="I19" s="2771"/>
      <c r="J19" s="2846"/>
    </row>
    <row r="20" spans="1:36" ht="15">
      <c r="A20" s="2724"/>
      <c r="B20" s="1694" t="s">
        <v>1737</v>
      </c>
      <c r="C20" s="1919">
        <f ca="1">SUMIF(INDIRECT("'"&amp;C4&amp;"'"&amp;"!A:A"),结果表!B20,INDIRECT("'"&amp;C4&amp;"'"&amp;"!B:B"))</f>
        <v>32620</v>
      </c>
      <c r="D20" s="1922">
        <f ca="1">SUMIF(INDIRECT("'"&amp;D4&amp;"'"&amp;"!A:A"),结果表!B20,INDIRECT("'"&amp;D4&amp;"'"&amp;"!B:B"))</f>
        <v>18070</v>
      </c>
      <c r="E20" s="2724"/>
      <c r="F20" s="1694" t="s">
        <v>1737</v>
      </c>
      <c r="G20" s="2093">
        <f ca="1">ROUND(C20*$C$18+D20*$D$18,0)</f>
        <v>28255</v>
      </c>
      <c r="H20" s="2725" t="s">
        <v>1738</v>
      </c>
      <c r="I20" s="2563"/>
      <c r="J20" s="2845"/>
    </row>
    <row r="21" spans="1:36" ht="15" customHeight="1" thickBot="1">
      <c r="A21" s="2726"/>
      <c r="B21" s="2727"/>
      <c r="C21" s="2727"/>
      <c r="D21" s="2728"/>
      <c r="E21" s="2726"/>
      <c r="F21" s="2727"/>
      <c r="G21" s="2729"/>
      <c r="H21" s="2730"/>
      <c r="I21" s="2563"/>
      <c r="J21" s="2845"/>
    </row>
    <row r="22" spans="1:36" ht="15" thickBot="1">
      <c r="A22" s="2731" t="s">
        <v>1739</v>
      </c>
      <c r="B22" s="2732"/>
      <c r="C22" s="2647"/>
      <c r="D22" s="2733">
        <f ca="1">IF(C19&lt;D19,D19/C19-1,C19/D19-1)</f>
        <v>0.80481927710843371</v>
      </c>
      <c r="E22" s="947"/>
      <c r="F22" s="947"/>
      <c r="G22" s="947"/>
      <c r="H22" s="947"/>
      <c r="I22" s="947"/>
      <c r="J22" s="2845"/>
    </row>
    <row r="23" spans="1:36" ht="13.5" thickBot="1">
      <c r="A23" s="2563"/>
      <c r="B23" s="2563"/>
      <c r="C23" s="2563"/>
      <c r="D23" s="2563"/>
      <c r="E23" s="947"/>
      <c r="F23" s="947"/>
      <c r="G23" s="947"/>
      <c r="H23" s="947"/>
      <c r="I23" s="947"/>
      <c r="J23" s="2845"/>
    </row>
    <row r="24" spans="1:36" ht="21.75" customHeight="1">
      <c r="A24" s="3391" t="s">
        <v>1740</v>
      </c>
      <c r="B24" s="2719" t="s">
        <v>1735</v>
      </c>
      <c r="C24" s="2722">
        <f>D30</f>
        <v>0</v>
      </c>
      <c r="D24" s="2674"/>
      <c r="E24" s="947"/>
      <c r="F24" s="947"/>
      <c r="G24" s="947"/>
      <c r="H24" s="947"/>
      <c r="I24" s="947"/>
      <c r="J24" s="2845"/>
    </row>
    <row r="25" spans="1:36" ht="21.75" customHeight="1">
      <c r="A25" s="3392"/>
      <c r="B25" s="1694" t="s">
        <v>1737</v>
      </c>
      <c r="C25" s="2734">
        <f>IF(B30=0,0,C30)</f>
        <v>0</v>
      </c>
      <c r="D25" s="2735"/>
      <c r="E25" s="947"/>
      <c r="F25" s="947"/>
      <c r="G25" s="947"/>
      <c r="H25" s="947"/>
      <c r="I25" s="947"/>
      <c r="J25" s="2845"/>
    </row>
    <row r="26" spans="1:36" ht="13.5" customHeight="1">
      <c r="A26" s="2736" t="s">
        <v>1741</v>
      </c>
      <c r="B26" s="2737" t="s">
        <v>1742</v>
      </c>
      <c r="C26" s="2737" t="s">
        <v>1743</v>
      </c>
      <c r="D26" s="2738" t="s">
        <v>1744</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1745</v>
      </c>
      <c r="B30" s="2773"/>
      <c r="C30" s="2773"/>
      <c r="D30" s="2773"/>
      <c r="E30" s="2740" t="s">
        <v>2817</v>
      </c>
      <c r="F30" s="2563"/>
      <c r="G30" s="2563"/>
      <c r="H30" s="2563"/>
      <c r="I30" s="2563"/>
      <c r="J30" s="2845"/>
    </row>
    <row r="31" spans="1:36" s="2838" customFormat="1" ht="26.45" customHeight="1" thickTop="1" thickBot="1">
      <c r="A31" s="2833"/>
      <c r="B31" s="2834"/>
      <c r="C31" s="2834"/>
      <c r="D31" s="2834"/>
      <c r="E31" s="2834"/>
      <c r="F31" s="2834"/>
      <c r="G31" s="2834"/>
      <c r="H31" s="2834"/>
      <c r="I31" s="2835" t="s">
        <v>2818</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1746</v>
      </c>
      <c r="B32" s="2827" t="str">
        <f>'数据-取费表'!B4</f>
        <v>总价</v>
      </c>
      <c r="C32" s="2828">
        <f ca="1">IF(B32="总价",G19-C24,G20-C25)</f>
        <v>649</v>
      </c>
      <c r="D32" s="2829" t="str">
        <f>IF(B32="楼面单价","元/平方米",H19)</f>
        <v>万元</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1747</v>
      </c>
      <c r="B33" s="255"/>
      <c r="C33" s="2742"/>
      <c r="D33" s="2743"/>
      <c r="E33" s="2744" t="s">
        <v>1748</v>
      </c>
      <c r="F33" s="2745" t="str">
        <f>IF(B32="楼面单价","取值（单价）","取值（总价）")</f>
        <v>取值（总价）</v>
      </c>
      <c r="G33" s="947"/>
      <c r="H33" s="947"/>
      <c r="I33" s="947"/>
      <c r="J33" s="2845"/>
    </row>
    <row r="34" spans="1:17" ht="15">
      <c r="A34" s="1466"/>
      <c r="B34" s="2746" t="s">
        <v>1749</v>
      </c>
      <c r="C34" s="2747">
        <f ca="1">IF(D33="自定义",F34,C32-C35)</f>
        <v>447</v>
      </c>
      <c r="D34" s="2748">
        <f ca="1">IF(D33="自定义",ROUND(C34/C32,3),1-D35)</f>
        <v>0.68900000000000006</v>
      </c>
      <c r="E34" s="1435" t="s">
        <v>1750</v>
      </c>
      <c r="F34" s="2749">
        <v>2000</v>
      </c>
      <c r="G34" s="947"/>
      <c r="H34" s="947"/>
      <c r="I34" s="947"/>
      <c r="J34" s="2845"/>
    </row>
    <row r="35" spans="1:17" ht="15.75" thickBot="1">
      <c r="A35" s="1467"/>
      <c r="B35" s="2750" t="s">
        <v>1751</v>
      </c>
      <c r="C35" s="2751">
        <f ca="1">IF(D33="自定义",F35,ROUND(C32*D35,0))</f>
        <v>202</v>
      </c>
      <c r="D35" s="2752">
        <f ca="1">IF(D33="自定义",ROUND(C35/C32,3),IF(D33="成本法成本比率",成本法!C56,IF(D33="收益法收益比率",收益法!J38,收益法!J41)))</f>
        <v>0.311</v>
      </c>
      <c r="E35" s="2753" t="s">
        <v>1752</v>
      </c>
      <c r="F35" s="2754">
        <v>4460</v>
      </c>
      <c r="G35" s="947"/>
      <c r="H35" s="947"/>
      <c r="I35" s="947"/>
      <c r="J35" s="2845"/>
    </row>
    <row r="36" spans="1:17" ht="15.75" thickBot="1">
      <c r="A36" s="3391" t="s">
        <v>1753</v>
      </c>
      <c r="B36" s="1468" t="s">
        <v>1754</v>
      </c>
      <c r="C36" s="2755">
        <v>0</v>
      </c>
      <c r="D36" s="2756"/>
      <c r="E36" s="1680"/>
      <c r="F36" s="1680"/>
      <c r="G36" s="947"/>
      <c r="H36" s="947"/>
      <c r="I36" s="947"/>
      <c r="J36" s="2845"/>
    </row>
    <row r="37" spans="1:17" ht="15.75" thickBot="1">
      <c r="A37" s="3393"/>
      <c r="B37" s="2094" t="s">
        <v>1755</v>
      </c>
      <c r="C37" s="2757">
        <v>0</v>
      </c>
      <c r="D37" s="1311"/>
      <c r="E37" s="1311"/>
      <c r="F37" s="1680"/>
      <c r="G37" s="1311"/>
      <c r="H37" s="1311"/>
      <c r="I37" s="1311"/>
      <c r="J37" s="2849"/>
    </row>
    <row r="38" spans="1:17" ht="15.75" thickBot="1">
      <c r="A38" s="3394"/>
      <c r="B38" s="1469" t="s">
        <v>1756</v>
      </c>
      <c r="C38" s="2758">
        <v>0</v>
      </c>
      <c r="D38" s="2759" t="s">
        <v>1757</v>
      </c>
      <c r="E38" s="1311"/>
      <c r="F38" s="1680"/>
      <c r="G38" s="1311"/>
      <c r="H38" s="1311"/>
      <c r="I38" s="1311"/>
      <c r="J38" s="2849"/>
    </row>
    <row r="39" spans="1:17" ht="15">
      <c r="A39" s="2724" t="s">
        <v>1758</v>
      </c>
      <c r="B39" s="2760" t="s">
        <v>1742</v>
      </c>
      <c r="C39" s="2761" t="s">
        <v>1743</v>
      </c>
      <c r="D39" s="2761" t="s">
        <v>1759</v>
      </c>
      <c r="E39" s="2762" t="s">
        <v>1744</v>
      </c>
      <c r="F39" s="1680"/>
      <c r="G39" s="1311"/>
      <c r="H39" s="1311"/>
      <c r="I39" s="1311"/>
      <c r="J39" s="2849"/>
    </row>
    <row r="40" spans="1:17" ht="14.25">
      <c r="A40" s="2763" t="s">
        <v>1760</v>
      </c>
      <c r="B40" s="2764"/>
      <c r="C40" s="2765"/>
      <c r="D40" s="2765"/>
      <c r="E40" s="2766"/>
      <c r="F40" s="1680"/>
      <c r="G40" s="1311"/>
      <c r="H40" s="1311"/>
      <c r="I40" s="1311"/>
      <c r="J40" s="2849"/>
    </row>
    <row r="41" spans="1:17" ht="14.25">
      <c r="A41" s="2763" t="s">
        <v>1761</v>
      </c>
      <c r="B41" s="2764"/>
      <c r="C41" s="2765"/>
      <c r="D41" s="2765"/>
      <c r="E41" s="2766"/>
      <c r="F41" s="1680"/>
      <c r="G41" s="1311"/>
      <c r="H41" s="1311"/>
      <c r="I41" s="1311"/>
      <c r="J41" s="2849"/>
    </row>
    <row r="42" spans="1:17" ht="15" thickBot="1">
      <c r="A42" s="2767"/>
      <c r="B42" s="2768"/>
      <c r="C42" s="2769"/>
      <c r="D42" s="2769"/>
      <c r="E42" s="2754"/>
      <c r="F42" s="1680"/>
      <c r="G42" s="1311"/>
      <c r="H42" s="1311"/>
      <c r="I42" s="1311"/>
      <c r="J42" s="2849"/>
    </row>
    <row r="43" spans="1:17" ht="12.75">
      <c r="A43" s="2975"/>
      <c r="B43" s="2975"/>
      <c r="C43" s="2975"/>
      <c r="D43" s="2975"/>
      <c r="E43" s="2975"/>
      <c r="F43" s="2974"/>
      <c r="G43" s="2974"/>
      <c r="H43" s="2974"/>
      <c r="I43" s="2662"/>
      <c r="J43" s="2850"/>
    </row>
    <row r="44" spans="1:17" ht="18.75">
      <c r="A44" s="1471" t="s">
        <v>1762</v>
      </c>
      <c r="B44" s="1472"/>
      <c r="C44" s="1472"/>
      <c r="D44" s="1473"/>
      <c r="E44" s="1473"/>
      <c r="F44" s="1474"/>
      <c r="G44" s="1474"/>
      <c r="H44" s="1474"/>
      <c r="I44" s="2839" t="s">
        <v>2812</v>
      </c>
      <c r="J44" s="2851"/>
      <c r="K44" s="1475" t="s">
        <v>1763</v>
      </c>
      <c r="L44" s="1476"/>
      <c r="M44" s="1476"/>
      <c r="N44" s="1476"/>
      <c r="O44" s="1476"/>
      <c r="P44" s="1476"/>
      <c r="Q44" s="1308"/>
    </row>
    <row r="45" spans="1:17" ht="14.25" customHeight="1" thickBot="1">
      <c r="A45" s="3297" t="s">
        <v>1764</v>
      </c>
      <c r="B45" s="3298"/>
      <c r="C45" s="3324"/>
      <c r="D45" s="246">
        <f ca="1">Sheet1!E5</f>
        <v>648.54</v>
      </c>
      <c r="E45" s="1542" t="s">
        <v>1765</v>
      </c>
      <c r="F45" s="2561">
        <v>1</v>
      </c>
      <c r="G45" s="2562" t="s">
        <v>1766</v>
      </c>
      <c r="H45" s="947"/>
      <c r="I45" s="947"/>
      <c r="J45" s="2845"/>
      <c r="K45" s="3595" t="s">
        <v>2742</v>
      </c>
      <c r="L45" s="3595"/>
      <c r="M45" s="3595"/>
      <c r="N45" s="3595"/>
      <c r="O45" s="3595"/>
      <c r="P45" s="3595"/>
      <c r="Q45" s="1308"/>
    </row>
    <row r="46" spans="1:17" ht="14.25" customHeight="1">
      <c r="A46" s="3403" t="s">
        <v>1768</v>
      </c>
      <c r="B46" s="3404"/>
      <c r="C46" s="3404"/>
      <c r="D46" s="3404"/>
      <c r="E46" s="3404"/>
      <c r="F46" s="3404"/>
      <c r="G46" s="3405"/>
      <c r="H46" s="2977"/>
      <c r="I46" s="947"/>
      <c r="J46" s="2845"/>
      <c r="K46" s="2536">
        <v>1</v>
      </c>
      <c r="L46" s="3596" t="s">
        <v>2743</v>
      </c>
      <c r="M46" s="3596"/>
      <c r="N46" s="3597" t="str">
        <f>项目基本情况!B1</f>
        <v>北京市房地产抵押价值预评估</v>
      </c>
      <c r="O46" s="3597"/>
      <c r="P46" s="3597"/>
      <c r="Q46" s="1308"/>
    </row>
    <row r="47" spans="1:17" ht="12" customHeight="1">
      <c r="A47" s="38" t="s">
        <v>1770</v>
      </c>
      <c r="B47" s="39"/>
      <c r="C47" s="40"/>
      <c r="D47" s="1099" t="s">
        <v>1771</v>
      </c>
      <c r="E47" s="235" t="s">
        <v>1772</v>
      </c>
      <c r="F47" s="41" t="s">
        <v>1773</v>
      </c>
      <c r="G47" s="2564" t="s">
        <v>1774</v>
      </c>
      <c r="H47" s="2977"/>
      <c r="I47" s="947"/>
      <c r="J47" s="2845"/>
      <c r="K47" s="2536">
        <v>2</v>
      </c>
      <c r="L47" s="3596" t="s">
        <v>2744</v>
      </c>
      <c r="M47" s="3596"/>
      <c r="N47" s="3598">
        <f>'数据-取费表'!B2</f>
        <v>44547</v>
      </c>
      <c r="O47" s="3598"/>
      <c r="P47" s="3598"/>
      <c r="Q47" s="1308"/>
    </row>
    <row r="48" spans="1:17" ht="25.5">
      <c r="A48" s="3408" t="s">
        <v>1776</v>
      </c>
      <c r="B48" s="3301"/>
      <c r="C48" s="3301"/>
      <c r="D48" s="12">
        <f ca="1">IF(H48="情况1",0,IF(H48="情况2",D52,IF(H48="情况3",D53,IF(H48="情况4",D54))))</f>
        <v>0</v>
      </c>
      <c r="E48" s="2092" t="str">
        <f>IF(H48="情况4","(销售额-原购置价)×税（费）率","销售额×税（费）率")</f>
        <v>(销售额-原购置价)×税（费）率</v>
      </c>
      <c r="F48" s="2565">
        <f>IF(H48="情况1","免征",'数据-取费表'!E29)</f>
        <v>5.5000000000000007E-2</v>
      </c>
      <c r="G48" s="2566" t="s">
        <v>1777</v>
      </c>
      <c r="H48" s="2567" t="s">
        <v>2914</v>
      </c>
      <c r="I48" s="2977"/>
      <c r="J48" s="2852"/>
      <c r="K48" s="2536">
        <v>3</v>
      </c>
      <c r="L48" s="3596" t="s">
        <v>2745</v>
      </c>
      <c r="M48" s="3596"/>
      <c r="N48" s="3597">
        <f ca="1">I102</f>
        <v>649</v>
      </c>
      <c r="O48" s="3597"/>
      <c r="P48" s="3597"/>
      <c r="Q48" s="1308"/>
    </row>
    <row r="49" spans="1:17" ht="25.5" customHeight="1">
      <c r="A49" s="2091" t="s">
        <v>1779</v>
      </c>
      <c r="B49" s="3307" t="s">
        <v>1780</v>
      </c>
      <c r="C49" s="3307"/>
      <c r="D49" s="2568">
        <v>0</v>
      </c>
      <c r="E49" s="261" t="s">
        <v>1781</v>
      </c>
      <c r="F49" s="2569" t="s">
        <v>48</v>
      </c>
      <c r="G49" s="3379"/>
      <c r="H49" s="2570" t="s">
        <v>2819</v>
      </c>
      <c r="I49" s="2571"/>
      <c r="J49" s="2853"/>
      <c r="K49" s="2536">
        <v>4</v>
      </c>
      <c r="L49" s="3596" t="str">
        <f>IF(项目基本情况!F5="房地产抵押价值","房地产抵押价值","抵押担保权已注销时的房地产抵押价值")</f>
        <v>房地产抵押价值</v>
      </c>
      <c r="M49" s="3596"/>
      <c r="N49" s="3597">
        <f ca="1">IF(项目基本情况!F5="房地产抵押价值",I110,I112)</f>
        <v>649</v>
      </c>
      <c r="O49" s="3597"/>
      <c r="P49" s="3597"/>
      <c r="Q49" s="1308"/>
    </row>
    <row r="50" spans="1:17" ht="25.5" customHeight="1">
      <c r="A50" s="2081"/>
      <c r="B50" s="3307" t="s">
        <v>1782</v>
      </c>
      <c r="C50" s="3307"/>
      <c r="D50" s="2572"/>
      <c r="E50" s="269"/>
      <c r="F50" s="2569"/>
      <c r="G50" s="3380"/>
      <c r="H50" s="2573" t="s">
        <v>2738</v>
      </c>
      <c r="I50" s="2571"/>
      <c r="J50" s="2853"/>
      <c r="K50" s="3596" t="s">
        <v>2746</v>
      </c>
      <c r="L50" s="3596"/>
      <c r="M50" s="3596"/>
      <c r="N50" s="3596"/>
      <c r="O50" s="3596"/>
      <c r="P50" s="3596"/>
      <c r="Q50" s="1308"/>
    </row>
    <row r="51" spans="1:17" ht="20.45" customHeight="1">
      <c r="A51" s="2574"/>
      <c r="B51" s="3307" t="s">
        <v>1784</v>
      </c>
      <c r="C51" s="3307"/>
      <c r="D51" s="1099"/>
      <c r="E51" s="264"/>
      <c r="F51" s="2569"/>
      <c r="G51" s="3381"/>
      <c r="H51" s="2573" t="s">
        <v>2739</v>
      </c>
      <c r="I51" s="2571"/>
      <c r="J51" s="2853"/>
      <c r="K51" s="2537" t="s">
        <v>2747</v>
      </c>
      <c r="L51" s="3596" t="s">
        <v>2748</v>
      </c>
      <c r="M51" s="3596"/>
      <c r="N51" s="2537" t="s">
        <v>2749</v>
      </c>
      <c r="O51" s="2537" t="s">
        <v>2750</v>
      </c>
      <c r="P51" s="2537" t="s">
        <v>2751</v>
      </c>
      <c r="Q51" s="1308"/>
    </row>
    <row r="52" spans="1:17" ht="24" customHeight="1">
      <c r="A52" s="2082" t="s">
        <v>1790</v>
      </c>
      <c r="B52" s="3307" t="s">
        <v>1791</v>
      </c>
      <c r="C52" s="3307"/>
      <c r="D52" s="1099">
        <f ca="1">ROUND(D45*'数据-取费表'!E29/(1+'数据-取费表'!F30),0)</f>
        <v>34</v>
      </c>
      <c r="E52" s="2092" t="s">
        <v>1792</v>
      </c>
      <c r="F52" s="2575">
        <f>'数据-取费表'!E29</f>
        <v>5.5000000000000007E-2</v>
      </c>
      <c r="G52" s="2576"/>
      <c r="H52" s="947"/>
      <c r="I52" s="2978"/>
      <c r="J52" s="2853"/>
      <c r="K52" s="2536">
        <v>1</v>
      </c>
      <c r="L52" s="3586" t="s">
        <v>2752</v>
      </c>
      <c r="M52" s="3586"/>
      <c r="N52" s="2538">
        <f ca="1">D48</f>
        <v>0</v>
      </c>
      <c r="O52" s="2536" t="str">
        <f>E48</f>
        <v>(销售额-原购置价)×税（费）率</v>
      </c>
      <c r="P52" s="2539">
        <f>F48</f>
        <v>5.5000000000000007E-2</v>
      </c>
      <c r="Q52" s="1308"/>
    </row>
    <row r="53" spans="1:17" ht="12" customHeight="1">
      <c r="A53" s="2082" t="s">
        <v>1794</v>
      </c>
      <c r="B53" s="3302" t="s">
        <v>2831</v>
      </c>
      <c r="C53" s="3308"/>
      <c r="D53" s="1099">
        <f ca="1">ROUND(D45*'数据-取费表'!E29/(1+'数据-取费表'!F30),0)</f>
        <v>34</v>
      </c>
      <c r="E53" s="2092" t="s">
        <v>1792</v>
      </c>
      <c r="F53" s="2575">
        <f>'数据-取费表'!E29</f>
        <v>5.5000000000000007E-2</v>
      </c>
      <c r="G53" s="2576"/>
      <c r="H53" s="947"/>
      <c r="I53" s="2978"/>
      <c r="J53" s="2853"/>
      <c r="K53" s="2536">
        <v>2</v>
      </c>
      <c r="L53" s="3586" t="s">
        <v>2753</v>
      </c>
      <c r="M53" s="3586"/>
      <c r="N53" s="2538">
        <f t="shared" ref="N53:P54" ca="1" si="1">D55</f>
        <v>0.32</v>
      </c>
      <c r="O53" s="2536" t="str">
        <f t="shared" si="1"/>
        <v>销售额×税（费）率</v>
      </c>
      <c r="P53" s="2539">
        <f t="shared" si="1"/>
        <v>5.0000000000000001E-4</v>
      </c>
      <c r="Q53" s="1308"/>
    </row>
    <row r="54" spans="1:17" ht="12" customHeight="1">
      <c r="A54" s="2082" t="s">
        <v>1796</v>
      </c>
      <c r="B54" s="3302" t="s">
        <v>2832</v>
      </c>
      <c r="C54" s="3308"/>
      <c r="D54" s="1099">
        <f ca="1">C68</f>
        <v>0</v>
      </c>
      <c r="E54" s="264" t="s">
        <v>1797</v>
      </c>
      <c r="F54" s="2575">
        <f>'数据-取费表'!E29</f>
        <v>5.5000000000000007E-2</v>
      </c>
      <c r="G54" s="2576"/>
      <c r="H54" s="2979"/>
      <c r="I54" s="2978"/>
      <c r="J54" s="2853"/>
      <c r="K54" s="2536">
        <v>3</v>
      </c>
      <c r="L54" s="3586" t="s">
        <v>2754</v>
      </c>
      <c r="M54" s="3586"/>
      <c r="N54" s="2538">
        <f t="shared" ca="1" si="1"/>
        <v>0</v>
      </c>
      <c r="O54" s="2536" t="str">
        <f t="shared" si="1"/>
        <v>增值额×税（费）率</v>
      </c>
      <c r="P54" s="2540" t="str">
        <f t="shared" si="1"/>
        <v>——</v>
      </c>
      <c r="Q54" s="1308"/>
    </row>
    <row r="55" spans="1:17" ht="24" customHeight="1">
      <c r="A55" s="3300" t="s">
        <v>1799</v>
      </c>
      <c r="B55" s="3301"/>
      <c r="C55" s="3301"/>
      <c r="D55" s="3193">
        <f ca="1">IF(H55="个人住宅",0,ROUND(D45*I55,2))</f>
        <v>0.32</v>
      </c>
      <c r="E55" s="2092" t="s">
        <v>1800</v>
      </c>
      <c r="F55" s="2575">
        <f>IF(H55="正常",I55,"免征")</f>
        <v>5.0000000000000001E-4</v>
      </c>
      <c r="G55" s="2576"/>
      <c r="H55" s="2567" t="s">
        <v>2879</v>
      </c>
      <c r="I55" s="74">
        <f>'数据-取费表'!E37</f>
        <v>5.0000000000000001E-4</v>
      </c>
      <c r="J55" s="2853"/>
      <c r="K55" s="2536" t="str">
        <f>IF(H59="非个人房产","",4)</f>
        <v/>
      </c>
      <c r="L55" s="3586" t="str">
        <f>IF(H59="非个人房产","——","个人所得税")</f>
        <v>——</v>
      </c>
      <c r="M55" s="3586"/>
      <c r="N55" s="2541" t="str">
        <f>D59</f>
        <v>——</v>
      </c>
      <c r="O55" s="2542" t="str">
        <f>E59</f>
        <v>——</v>
      </c>
      <c r="P55" s="2543" t="str">
        <f>F59</f>
        <v>——</v>
      </c>
      <c r="Q55" s="1308"/>
    </row>
    <row r="56" spans="1:17" ht="24.75">
      <c r="A56" s="3300" t="s">
        <v>1802</v>
      </c>
      <c r="B56" s="3301"/>
      <c r="C56" s="3301"/>
      <c r="D56" s="12">
        <f ca="1">IF(H56="个人住宅",D57,D58)</f>
        <v>0</v>
      </c>
      <c r="E56" s="2092" t="s">
        <v>1803</v>
      </c>
      <c r="F56" s="2575" t="str">
        <f>IF(H56="正常",F58,"免征")</f>
        <v>——</v>
      </c>
      <c r="G56" s="2577" t="s">
        <v>1804</v>
      </c>
      <c r="H56" s="2578" t="s">
        <v>2879</v>
      </c>
      <c r="I56" s="2980"/>
      <c r="J56" s="2853"/>
      <c r="K56" s="2536" t="str">
        <f>IF(项目基本情况!I6="上海银行",IF(K55="",4,K55+1),"")</f>
        <v/>
      </c>
      <c r="L56" s="3588" t="str">
        <f>IF(项目基本情况!I6="上海银行","其他处置费用","")</f>
        <v/>
      </c>
      <c r="M56" s="3589"/>
      <c r="N56" s="2538" t="str">
        <f>IF(项目基本情况!I6="上海银行",N69,"")</f>
        <v/>
      </c>
      <c r="O56" s="3588" t="str">
        <f>IF(项目基本情况!I6="上海银行","包含处置中涉及的律师、诉讼、拍卖、评估等费用","")</f>
        <v/>
      </c>
      <c r="P56" s="3594"/>
      <c r="Q56" s="1308"/>
    </row>
    <row r="57" spans="1:17" ht="12.75">
      <c r="A57" s="2082" t="s">
        <v>1779</v>
      </c>
      <c r="B57" s="3302" t="s">
        <v>1805</v>
      </c>
      <c r="C57" s="3308"/>
      <c r="D57" s="2568">
        <v>0</v>
      </c>
      <c r="E57" s="261" t="s">
        <v>1781</v>
      </c>
      <c r="F57" s="235"/>
      <c r="G57" s="2576"/>
      <c r="H57" s="2980"/>
      <c r="I57" s="2980"/>
      <c r="J57" s="2853"/>
      <c r="K57" s="3586">
        <f>IF(AND(K55="",K56=""),4,IF(项目基本情况!I6="上海银行",K56+1,K55+1))</f>
        <v>4</v>
      </c>
      <c r="L57" s="3586" t="s">
        <v>2755</v>
      </c>
      <c r="M57" s="2544" t="s">
        <v>2756</v>
      </c>
      <c r="N57" s="2545"/>
      <c r="O57" s="2546">
        <f ca="1">SUMIF(N52:N56,"&lt;9e307")</f>
        <v>0.32</v>
      </c>
      <c r="P57" s="2547"/>
      <c r="Q57" s="1306">
        <f ca="1">O57/N49</f>
        <v>4.9306625577812016E-4</v>
      </c>
    </row>
    <row r="58" spans="1:17" ht="24.75">
      <c r="A58" s="2082" t="s">
        <v>1790</v>
      </c>
      <c r="B58" s="3302" t="s">
        <v>1808</v>
      </c>
      <c r="C58" s="3307"/>
      <c r="D58" s="12">
        <f ca="1">IF(H58="转让取得",C81,C97)</f>
        <v>0</v>
      </c>
      <c r="E58" s="2092" t="s">
        <v>1803</v>
      </c>
      <c r="F58" s="235" t="s">
        <v>48</v>
      </c>
      <c r="G58" s="2576"/>
      <c r="H58" s="2578" t="s">
        <v>2913</v>
      </c>
      <c r="I58" s="2980"/>
      <c r="J58" s="2853"/>
      <c r="K58" s="3586"/>
      <c r="L58" s="3586"/>
      <c r="M58" s="2544" t="s">
        <v>2757</v>
      </c>
      <c r="N58" s="2548"/>
      <c r="O58" s="2549" t="str">
        <f ca="1">IF(H19="元",NUMBERSTRING(INT(O57),2)&amp;"元整",NUMBERSTRING(INT(O57*10000),2)&amp;"元整")</f>
        <v>叁仟贰佰元整</v>
      </c>
      <c r="P58" s="2550"/>
      <c r="Q58" s="1308"/>
    </row>
    <row r="59" spans="1:17" ht="24.75" thickBot="1">
      <c r="A59" s="3286" t="s">
        <v>1810</v>
      </c>
      <c r="B59" s="3287"/>
      <c r="C59" s="3287"/>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3" t="s">
        <v>2810</v>
      </c>
      <c r="H59" s="2096" t="s">
        <v>2820</v>
      </c>
      <c r="I59" s="2882" t="s">
        <v>2821</v>
      </c>
      <c r="J59" s="2853"/>
      <c r="K59" s="3584">
        <f>K57+1</f>
        <v>5</v>
      </c>
      <c r="L59" s="3586" t="s">
        <v>2758</v>
      </c>
      <c r="M59" s="2536" t="s">
        <v>2756</v>
      </c>
      <c r="N59" s="2551"/>
      <c r="O59" s="2552">
        <f ca="1">N49-O57</f>
        <v>648.67999999999995</v>
      </c>
      <c r="P59" s="2553"/>
      <c r="Q59" s="1308"/>
    </row>
    <row r="60" spans="1:17" ht="12" customHeight="1">
      <c r="A60" s="1457"/>
      <c r="B60" s="1461"/>
      <c r="C60" s="1461"/>
      <c r="D60" s="1461"/>
      <c r="E60" s="812"/>
      <c r="F60" s="2981"/>
      <c r="G60" s="2981"/>
      <c r="H60" s="2982"/>
      <c r="I60" s="31"/>
      <c r="K60" s="3585"/>
      <c r="L60" s="3586"/>
      <c r="M60" s="2544" t="s">
        <v>2757</v>
      </c>
      <c r="N60" s="2548"/>
      <c r="O60" s="2549" t="str">
        <f ca="1">IF(H19="元",NUMBERSTRING(INT(O59),2)&amp;"元整",NUMBERSTRING(INT(O59*10000),2)&amp;"元整")</f>
        <v>陆佰肆拾捌万陆仟捌佰元整</v>
      </c>
      <c r="P60" s="2550"/>
      <c r="Q60" s="1308"/>
    </row>
    <row r="61" spans="1:17" ht="13.5" thickBot="1">
      <c r="A61" s="3580" t="s">
        <v>1812</v>
      </c>
      <c r="B61" s="3580"/>
      <c r="C61" s="3580"/>
      <c r="D61" s="3580"/>
      <c r="E61" s="3580"/>
      <c r="F61" s="2981"/>
      <c r="G61" s="2981"/>
      <c r="H61" s="2983"/>
      <c r="I61" s="31"/>
      <c r="K61" s="2536">
        <f>K59+1</f>
        <v>6</v>
      </c>
      <c r="L61" s="3586" t="s">
        <v>2759</v>
      </c>
      <c r="M61" s="3586"/>
      <c r="N61" s="2554"/>
      <c r="O61" s="2555">
        <f ca="1">IF(H19="元",ROUND(O59/项目基本情况!C12,0),ROUND(O59*10000/项目基本情况!C12,0))</f>
        <v>3951</v>
      </c>
      <c r="P61" s="2556"/>
      <c r="Q61" s="1308"/>
    </row>
    <row r="62" spans="1:17" ht="12.75">
      <c r="A62" s="3355" t="s">
        <v>1814</v>
      </c>
      <c r="B62" s="3356"/>
      <c r="C62" s="1607"/>
      <c r="D62" s="1607" t="s">
        <v>1815</v>
      </c>
      <c r="E62" s="45" t="s">
        <v>1816</v>
      </c>
      <c r="F62" s="2981"/>
      <c r="G62" s="2981"/>
      <c r="H62" s="2983"/>
      <c r="I62" s="31"/>
      <c r="K62" s="2557"/>
      <c r="L62" s="2557"/>
      <c r="M62" s="2557"/>
      <c r="N62" s="2557"/>
      <c r="O62" s="2557"/>
      <c r="P62" s="2557"/>
      <c r="Q62" s="1308"/>
    </row>
    <row r="63" spans="1:17" ht="12.75">
      <c r="A63" s="46">
        <v>1</v>
      </c>
      <c r="B63" s="47" t="s">
        <v>1817</v>
      </c>
      <c r="C63" s="3190">
        <f ca="1">ROUND((C64+C65)/(1+'数据-取费表'!F30),2)</f>
        <v>617.66</v>
      </c>
      <c r="D63" s="47"/>
      <c r="E63" s="48"/>
      <c r="F63" s="2981"/>
      <c r="G63" s="2981"/>
      <c r="H63" s="2983"/>
      <c r="I63" s="31"/>
      <c r="K63" s="3590" t="s">
        <v>2760</v>
      </c>
      <c r="L63" s="2558" t="s">
        <v>2761</v>
      </c>
      <c r="M63" s="2558">
        <f ca="1">IF(N49&gt;10000,N49*0.5%,IF(AND(N49&gt;1000,N49&lt;=10000),N49*1%,IF(AND(N49&gt;100,N49&lt;=1000),N49*3%,IF(AND(N49&gt;10,N49&lt;=100),N49*5%,N49*8%))))</f>
        <v>19.47</v>
      </c>
      <c r="N63" s="2559">
        <f ca="1">ROUND(M63,1)</f>
        <v>19.5</v>
      </c>
      <c r="O63" s="2557"/>
      <c r="P63" s="2557"/>
      <c r="Q63" s="1308"/>
    </row>
    <row r="64" spans="1:17" ht="12.75">
      <c r="A64" s="49" t="s">
        <v>71</v>
      </c>
      <c r="B64" s="50" t="s">
        <v>1820</v>
      </c>
      <c r="C64" s="3188">
        <f ca="1">D45</f>
        <v>648.54</v>
      </c>
      <c r="D64" s="50" t="s">
        <v>41</v>
      </c>
      <c r="E64" s="52"/>
      <c r="F64" s="2981"/>
      <c r="G64" s="2981"/>
      <c r="H64" s="2983"/>
      <c r="I64" s="31"/>
      <c r="K64" s="3590"/>
      <c r="L64" s="2558" t="s">
        <v>2762</v>
      </c>
      <c r="M64" s="2558">
        <f ca="1">IF(N49&gt;2000,N49*0.5%,IF(AND(N49&gt;1000,N49&lt;=2000),N49*0.6%,IF(AND(N49&gt;500,N49&lt;=1000),N49*0.7%,IF(AND(N49&gt;200,N49&lt;=500),N49*0.8%,IF(AND(N49&gt;100,N49&lt;=200),N49*0.9%,IF(AND(N49&gt;50,N49&lt;=100),N49*1%,IF(AND(N49&gt;20,N49&lt;=50),N49*1.5%,IF(AND(N49&gt;10,N49&lt;=20),N49*2%,IF(AND(N49&gt;1,N49&lt;=10),N49*2.5%)))))))))</f>
        <v>4.5429999999999993</v>
      </c>
      <c r="N64" s="2559">
        <f t="shared" ref="N64:N65" ca="1" si="2">ROUND(M64,1)</f>
        <v>4.5</v>
      </c>
      <c r="O64" s="2557" t="s">
        <v>2763</v>
      </c>
      <c r="P64" s="2557"/>
      <c r="Q64" s="1308"/>
    </row>
    <row r="65" spans="1:36" ht="12.75">
      <c r="A65" s="49" t="s">
        <v>72</v>
      </c>
      <c r="B65" s="50" t="s">
        <v>1823</v>
      </c>
      <c r="C65" s="2786"/>
      <c r="D65" s="50"/>
      <c r="E65" s="52"/>
      <c r="F65" s="2981"/>
      <c r="G65" s="2981"/>
      <c r="H65" s="2983"/>
      <c r="I65" s="31"/>
      <c r="K65" s="3590"/>
      <c r="L65" s="2558" t="s">
        <v>2764</v>
      </c>
      <c r="M65" s="2558">
        <f ca="1">IF(N49&gt;1000,N49*0.1%,IF(AND(N49&gt;500,N49&lt;=1000),N49*0.5%,IF(AND(N49&gt;50,N49&lt;=500),N49*1%,IF(AND(N49&gt;1,N49&lt;=50),N49*1.5%))))</f>
        <v>3.2450000000000001</v>
      </c>
      <c r="N65" s="2559">
        <f t="shared" ca="1" si="2"/>
        <v>3.2</v>
      </c>
      <c r="O65" s="2557" t="s">
        <v>2763</v>
      </c>
      <c r="P65" s="2557"/>
      <c r="Q65" s="1308"/>
    </row>
    <row r="66" spans="1:36" ht="12.75">
      <c r="A66" s="53" t="s">
        <v>47</v>
      </c>
      <c r="B66" s="54" t="s">
        <v>1825</v>
      </c>
      <c r="C66" s="2787">
        <f>ROUND(C75/1.05,4)</f>
        <v>651.33569999999997</v>
      </c>
      <c r="D66" s="54" t="s">
        <v>41</v>
      </c>
      <c r="E66" s="1316" t="s">
        <v>1826</v>
      </c>
      <c r="F66" s="2981"/>
      <c r="G66" s="2981"/>
      <c r="H66" s="2983"/>
      <c r="I66" s="31"/>
      <c r="K66" s="3590"/>
      <c r="L66" s="2558" t="s">
        <v>2765</v>
      </c>
      <c r="M66" s="2558">
        <f ca="1">N49*0.5%</f>
        <v>3.2450000000000001</v>
      </c>
      <c r="N66" s="2559">
        <f ca="1">IF(M66&gt;0.5,0.5,ROUND(M66,0))</f>
        <v>0.5</v>
      </c>
      <c r="O66" s="2557" t="s">
        <v>2766</v>
      </c>
      <c r="P66" s="2557"/>
      <c r="Q66" s="1308"/>
    </row>
    <row r="67" spans="1:36" ht="12.75">
      <c r="A67" s="53" t="s">
        <v>42</v>
      </c>
      <c r="B67" s="54" t="s">
        <v>1829</v>
      </c>
      <c r="C67" s="3189">
        <f ca="1">C63-C66</f>
        <v>-33.675700000000006</v>
      </c>
      <c r="D67" s="50" t="s">
        <v>41</v>
      </c>
      <c r="E67" s="52"/>
      <c r="F67" s="2981"/>
      <c r="G67" s="2981"/>
      <c r="H67" s="2983"/>
      <c r="I67" s="31"/>
      <c r="K67" s="3590"/>
      <c r="L67" s="2558" t="s">
        <v>2767</v>
      </c>
      <c r="M67" s="2558">
        <f ca="1">IF(N49&gt;=10000,(8.25+(N49-10000)*0.01%),IF(AND(N49&gt;=8000,N49&lt;10000),(7.85+(N49-8000)*0.02%),IF(AND(N49&gt;=5000,N49&lt;8000),(6.65+(N49-5000)*0.04%),IF(AND(N49&gt;=2000,N49&lt;5000),(4.25+(PN49-2000)*0.08%),IF(AND(N49&gt;=1000,N49&lt;2000),(2.75+(N49-1000)*0.15%),IF(AND(N49&gt;=100,N49&lt;1000),(0.5+(N49-100)*0.25%),IF(AND(N49&gt;0,N49&lt;100),N49*0.5%)))))))</f>
        <v>1.8725000000000001</v>
      </c>
      <c r="N67" s="2559">
        <f ca="1">ROUND(M67*0.9,1)</f>
        <v>1.7</v>
      </c>
      <c r="O67" s="2557"/>
      <c r="P67" s="2557"/>
      <c r="Q67" s="1308"/>
    </row>
    <row r="68" spans="1:36" ht="13.5" thickBot="1">
      <c r="A68" s="55" t="s">
        <v>46</v>
      </c>
      <c r="B68" s="56" t="s">
        <v>1831</v>
      </c>
      <c r="C68" s="2789">
        <f ca="1">IF(C67&lt;=0,0,ROUND(C67*D68,0))</f>
        <v>0</v>
      </c>
      <c r="D68" s="2242">
        <f>'数据-取费表'!E29</f>
        <v>5.5000000000000007E-2</v>
      </c>
      <c r="E68" s="57"/>
      <c r="F68" s="2981"/>
      <c r="G68" s="2981"/>
      <c r="H68" s="2983"/>
      <c r="I68" s="31"/>
      <c r="K68" s="3590"/>
      <c r="L68" s="2558" t="s">
        <v>2768</v>
      </c>
      <c r="M68" s="2558">
        <f ca="1">IF(N49&gt;10000,N49*0.5%,IF(AND(N49&gt;5000,N49&lt;=10000),N49*1%,IF(AND(N49&gt;1000,N49&lt;=5000),N49*2%,IF(AND(N49&gt;200,N49&lt;=1000),N49*3%,N49*5%))))</f>
        <v>19.47</v>
      </c>
      <c r="N68" s="2559">
        <f ca="1">ROUND(M68,1)</f>
        <v>19.5</v>
      </c>
      <c r="O68" s="2557"/>
      <c r="P68" s="2557"/>
      <c r="Q68" s="1308"/>
    </row>
    <row r="69" spans="1:36" s="1465" customFormat="1" ht="7.5" customHeight="1">
      <c r="A69" s="1477"/>
      <c r="B69" s="1478"/>
      <c r="C69" s="1479"/>
      <c r="D69" s="1480"/>
      <c r="E69" s="1481"/>
      <c r="F69" s="812"/>
      <c r="G69" s="812"/>
      <c r="H69" s="1470"/>
      <c r="I69" s="1461"/>
      <c r="J69" s="2841"/>
      <c r="K69" s="3590"/>
      <c r="L69" s="2558" t="s">
        <v>54</v>
      </c>
      <c r="M69" s="2558"/>
      <c r="N69" s="2559">
        <f ca="1">ROUND(SUM(N63:N68),0)</f>
        <v>49</v>
      </c>
      <c r="O69" s="2560">
        <f ca="1">N69/N49</f>
        <v>7.5500770416024654E-2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582" t="s">
        <v>1834</v>
      </c>
      <c r="B70" s="3583"/>
      <c r="C70" s="3583"/>
      <c r="D70" s="3583"/>
      <c r="E70" s="3583"/>
      <c r="F70" s="3583"/>
      <c r="G70" s="3583"/>
      <c r="H70" s="3583"/>
      <c r="I70" s="1482"/>
      <c r="J70" s="2854"/>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55" t="s">
        <v>1814</v>
      </c>
      <c r="B71" s="3356"/>
      <c r="C71" s="1607"/>
      <c r="D71" s="1607" t="s">
        <v>1815</v>
      </c>
      <c r="E71" s="58" t="s">
        <v>1816</v>
      </c>
      <c r="F71" s="59"/>
      <c r="G71" s="59"/>
      <c r="H71" s="60"/>
      <c r="I71" s="1485"/>
      <c r="J71" s="2855"/>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1835</v>
      </c>
      <c r="C72" s="3189">
        <f ca="1">ROUND(D45/(1+'数据-取费表'!F30),2)</f>
        <v>617.66</v>
      </c>
      <c r="D72" s="50" t="s">
        <v>41</v>
      </c>
      <c r="E72" s="12" t="s">
        <v>1836</v>
      </c>
      <c r="F72" s="2089"/>
      <c r="G72" s="2089"/>
      <c r="H72" s="62"/>
      <c r="I72" s="1485"/>
      <c r="J72" s="2855"/>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1837</v>
      </c>
      <c r="C73" s="3189">
        <f ca="1">C74+C78</f>
        <v>674.30000000000007</v>
      </c>
      <c r="D73" s="50" t="s">
        <v>41</v>
      </c>
      <c r="E73" s="2088"/>
      <c r="F73" s="2089"/>
      <c r="G73" s="2089"/>
      <c r="H73" s="62"/>
      <c r="I73" s="1485"/>
      <c r="J73" s="2855"/>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1838</v>
      </c>
      <c r="C74" s="3191">
        <f>ROUND(IF(G77="2016年5月1日后购买",C75/(1+'数据-取费表'!F30)+C76+C77,C75+C76+C77),2)</f>
        <v>671.21</v>
      </c>
      <c r="D74" s="50" t="s">
        <v>41</v>
      </c>
      <c r="E74" s="2088"/>
      <c r="F74" s="2089"/>
      <c r="G74" s="2089"/>
      <c r="H74" s="62"/>
      <c r="I74" s="1485"/>
      <c r="J74" s="2855"/>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1839</v>
      </c>
      <c r="C75" s="2268">
        <v>683.90250000000003</v>
      </c>
      <c r="D75" s="50" t="s">
        <v>41</v>
      </c>
      <c r="E75" s="64" t="s">
        <v>1840</v>
      </c>
      <c r="F75" s="2792" t="s">
        <v>2915</v>
      </c>
      <c r="G75" s="64" t="s">
        <v>1841</v>
      </c>
      <c r="H75" s="2793"/>
      <c r="I75" s="9"/>
      <c r="J75" s="285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1842</v>
      </c>
      <c r="C76" s="50">
        <f>IF(F75="购房发票",ROUND(C75*H75*D76,0),0)</f>
        <v>0</v>
      </c>
      <c r="D76" s="2794">
        <v>0.05</v>
      </c>
      <c r="E76" s="3302" t="s">
        <v>1843</v>
      </c>
      <c r="F76" s="3307"/>
      <c r="G76" s="3307"/>
      <c r="H76" s="3368"/>
      <c r="I76" s="1485"/>
      <c r="J76" s="2855"/>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1844</v>
      </c>
      <c r="C77" s="50">
        <f>ROUND(IF(G77="个人住宅",0,IF(G77="2016年5月1日前购买",C75*D77,C75*D77/(1+'数据-取费表'!F30))),2)</f>
        <v>19.87</v>
      </c>
      <c r="D77" s="2795">
        <f>'数据-取费表'!E36+'数据-取费表'!E37</f>
        <v>3.0499999999999999E-2</v>
      </c>
      <c r="E77" s="12" t="s">
        <v>1845</v>
      </c>
      <c r="F77" s="2095"/>
      <c r="G77" s="1486" t="s">
        <v>1846</v>
      </c>
      <c r="H77" s="2090" t="str">
        <f>IF(G77="个人买卖住房","免征印花税"," ")</f>
        <v xml:space="preserve"> </v>
      </c>
      <c r="I77" s="1485"/>
      <c r="J77" s="2855"/>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1847</v>
      </c>
      <c r="C78" s="3192">
        <f ca="1">ROUND(D45*D78/(1+'数据-取费表'!F30),2)</f>
        <v>3.09</v>
      </c>
      <c r="D78" s="2797">
        <f>'数据-取费表'!E31</f>
        <v>5.000000000000001E-3</v>
      </c>
      <c r="E78" s="3357" t="s">
        <v>1848</v>
      </c>
      <c r="F78" s="3358"/>
      <c r="G78" s="3358"/>
      <c r="H78" s="3359"/>
      <c r="I78" s="1487"/>
      <c r="J78" s="285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1849</v>
      </c>
      <c r="C79" s="3189">
        <f ca="1">C72-C73</f>
        <v>-56.6400000000001</v>
      </c>
      <c r="D79" s="50" t="s">
        <v>41</v>
      </c>
      <c r="E79" s="2088"/>
      <c r="F79" s="2089"/>
      <c r="G79" s="2089"/>
      <c r="H79" s="62"/>
      <c r="I79" s="1485"/>
      <c r="J79" s="285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1850</v>
      </c>
      <c r="C80" s="2798">
        <f ca="1">IF(C79&lt;=0,0,C79/C73)</f>
        <v>0</v>
      </c>
      <c r="D80" s="50"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089"/>
      <c r="G80" s="2089"/>
      <c r="H80" s="62"/>
      <c r="I80" s="1485"/>
      <c r="J80" s="2855"/>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1851</v>
      </c>
      <c r="C81" s="2799">
        <f ca="1">ROUND(IF(C79&lt;=0,0,IF(C80&gt;=200%,C79*60%-C73*35%,IF(C80&gt;=100%,C79*50%-C73*15%,IF(C80&gt;=50%,C79*40%-C73*5%,IF(C80&lt;50%,C79*30%,0))))),0)</f>
        <v>0</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70"/>
      <c r="G81" s="70"/>
      <c r="H81" s="71"/>
      <c r="I81" s="1485"/>
      <c r="J81" s="285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582" t="s">
        <v>1852</v>
      </c>
      <c r="B83" s="3583"/>
      <c r="C83" s="3583"/>
      <c r="D83" s="3583"/>
      <c r="E83" s="3583"/>
      <c r="F83" s="3583"/>
      <c r="G83" s="3583"/>
      <c r="H83" s="3583"/>
      <c r="I83" s="9"/>
      <c r="J83" s="285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55" t="s">
        <v>1814</v>
      </c>
      <c r="B84" s="3356"/>
      <c r="C84" s="1607"/>
      <c r="D84" s="1607" t="s">
        <v>1815</v>
      </c>
      <c r="E84" s="58" t="s">
        <v>1816</v>
      </c>
      <c r="F84" s="59"/>
      <c r="G84" s="59"/>
      <c r="H84" s="72"/>
      <c r="I84" s="9"/>
      <c r="J84" s="2856"/>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1835</v>
      </c>
      <c r="C85" s="2788">
        <f ca="1">ROUND(D45/(1+'数据-取费表'!F30),0)</f>
        <v>618</v>
      </c>
      <c r="D85" s="50" t="s">
        <v>41</v>
      </c>
      <c r="E85" s="2088" t="s">
        <v>1836</v>
      </c>
      <c r="F85" s="2089"/>
      <c r="G85" s="2089"/>
      <c r="H85" s="73"/>
      <c r="I85" s="9"/>
      <c r="J85" s="285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1837</v>
      </c>
      <c r="C86" s="2788">
        <f ca="1">IF(H88="仅含出让金",C87+C90+C91+C92+C93+C94,C87+C91+C92+C93+C94)</f>
        <v>3</v>
      </c>
      <c r="D86" s="2800"/>
      <c r="E86" s="2088"/>
      <c r="F86" s="2089"/>
      <c r="G86" s="2089"/>
      <c r="H86" s="73"/>
      <c r="I86" s="9"/>
      <c r="J86" s="285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1853</v>
      </c>
      <c r="C87" s="2796">
        <f>C88+C89</f>
        <v>0</v>
      </c>
      <c r="D87" s="2797"/>
      <c r="E87" s="2085"/>
      <c r="F87" s="2086"/>
      <c r="G87" s="2086"/>
      <c r="H87" s="2087"/>
      <c r="I87" s="9"/>
      <c r="J87" s="285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1854</v>
      </c>
      <c r="C88" s="2801"/>
      <c r="D88" s="2797"/>
      <c r="E88" s="74" t="s">
        <v>1855</v>
      </c>
      <c r="F88" s="2086"/>
      <c r="G88" s="75" t="s">
        <v>1856</v>
      </c>
      <c r="H88" s="1488"/>
      <c r="I88" s="9"/>
      <c r="J88" s="2856"/>
      <c r="K88" s="2972" t="s">
        <v>2814</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1844</v>
      </c>
      <c r="C89" s="2796">
        <f>ROUND(C88*D89,0)</f>
        <v>0</v>
      </c>
      <c r="D89" s="2797">
        <f>'数据-取费表'!E36+'数据-取费表'!E37</f>
        <v>3.0499999999999999E-2</v>
      </c>
      <c r="E89" s="74" t="s">
        <v>1857</v>
      </c>
      <c r="F89" s="2086"/>
      <c r="G89" s="2086"/>
      <c r="H89" s="2087"/>
      <c r="I89" s="9"/>
      <c r="J89" s="285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1858</v>
      </c>
      <c r="C90" s="2801"/>
      <c r="D90" s="2797"/>
      <c r="E90" s="74" t="str">
        <f>IF(H88="-","土地取得成本中已包含该笔费用"," ")</f>
        <v xml:space="preserve"> </v>
      </c>
      <c r="F90" s="2086"/>
      <c r="G90" s="3369" t="s">
        <v>2732</v>
      </c>
      <c r="H90" s="3369"/>
      <c r="I90" s="9"/>
      <c r="J90" s="2856"/>
      <c r="K90" s="2972" t="s">
        <v>2815</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1859</v>
      </c>
      <c r="C91" s="2796">
        <f>IF(H91="——",成本法!C33,I91)</f>
        <v>0</v>
      </c>
      <c r="D91" s="2797"/>
      <c r="E91" s="3357" t="s">
        <v>1860</v>
      </c>
      <c r="F91" s="3358"/>
      <c r="G91" s="3358"/>
      <c r="H91" s="1489" t="s">
        <v>1861</v>
      </c>
      <c r="I91" s="1490"/>
      <c r="J91" s="285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1862</v>
      </c>
      <c r="C92" s="2796">
        <f>ROUND((C87+C90+C91)*D92,0)</f>
        <v>0</v>
      </c>
      <c r="D92" s="2840">
        <v>0.1</v>
      </c>
      <c r="E92" s="3357" t="s">
        <v>1863</v>
      </c>
      <c r="F92" s="3358"/>
      <c r="G92" s="3358"/>
      <c r="H92" s="3359"/>
      <c r="I92" s="9"/>
      <c r="J92" s="2856"/>
      <c r="K92" s="2973" t="s">
        <v>2816</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1847</v>
      </c>
      <c r="C93" s="2796">
        <f ca="1">ROUND(D45*D93/(1+'数据-取费表'!F30),0)</f>
        <v>3</v>
      </c>
      <c r="D93" s="2797">
        <f>'数据-取费表'!E31</f>
        <v>5.000000000000001E-3</v>
      </c>
      <c r="E93" s="3357" t="s">
        <v>1848</v>
      </c>
      <c r="F93" s="3358"/>
      <c r="G93" s="3358"/>
      <c r="H93" s="3359"/>
      <c r="I93" s="9"/>
      <c r="J93" s="2856"/>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1864</v>
      </c>
      <c r="C94" s="2796">
        <f>ROUND((C87+C90+C91)*D94,0)</f>
        <v>0</v>
      </c>
      <c r="D94" s="2797">
        <v>0.2</v>
      </c>
      <c r="E94" s="3357" t="s">
        <v>1865</v>
      </c>
      <c r="F94" s="3358"/>
      <c r="G94" s="3358"/>
      <c r="H94" s="3359"/>
      <c r="I94" s="9"/>
      <c r="J94" s="2856"/>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1849</v>
      </c>
      <c r="C95" s="2788">
        <f ca="1">ROUND(C85-C86,0)</f>
        <v>615</v>
      </c>
      <c r="D95" s="50" t="s">
        <v>41</v>
      </c>
      <c r="E95" s="2088"/>
      <c r="F95" s="2089"/>
      <c r="G95" s="2089"/>
      <c r="H95" s="73"/>
      <c r="I95" s="9"/>
      <c r="J95" s="285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1850</v>
      </c>
      <c r="C96" s="2798">
        <f ca="1">IF(C95&lt;=0,0,C95/C86)</f>
        <v>205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1851</v>
      </c>
      <c r="C97" s="2799">
        <f ca="1">ROUND(IF(C95&lt;=0,0,IF(C96&gt;=200%,C95*60%-C86*35%,IF(C96&gt;=100%,C95*50%-C86*15%,IF(C96&gt;=50%,C95*40%-C86*5%,IF(C96&lt;50%,C95*30%,0))))),0)</f>
        <v>368</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1866</v>
      </c>
      <c r="B98" s="1461"/>
      <c r="C98" s="1461"/>
      <c r="D98" s="1461"/>
      <c r="E98" s="812"/>
      <c r="F98" s="812"/>
      <c r="G98" s="812"/>
      <c r="H98" s="1470"/>
      <c r="I98" s="1461"/>
    </row>
    <row r="99" spans="1:36" ht="15.75">
      <c r="A99" s="3360" t="s">
        <v>1867</v>
      </c>
      <c r="B99" s="3361"/>
      <c r="C99" s="3361"/>
      <c r="D99" s="3362"/>
      <c r="E99" s="1461"/>
      <c r="F99" s="3591" t="s">
        <v>1868</v>
      </c>
      <c r="G99" s="3592"/>
      <c r="H99" s="3592"/>
      <c r="I99" s="3593"/>
      <c r="J99" s="2859"/>
    </row>
    <row r="100" spans="1:36" ht="15">
      <c r="A100" s="3348" t="s">
        <v>1869</v>
      </c>
      <c r="B100" s="3349"/>
      <c r="C100" s="1307" t="str">
        <f>C4</f>
        <v>比较法-办公</v>
      </c>
      <c r="D100" s="2807" t="str">
        <f>D4</f>
        <v>收益法</v>
      </c>
      <c r="E100" s="1461"/>
      <c r="F100" s="3317" t="s">
        <v>2774</v>
      </c>
      <c r="G100" s="3318"/>
      <c r="H100" s="3317" t="s">
        <v>2775</v>
      </c>
      <c r="I100" s="3313"/>
      <c r="J100" s="2860"/>
    </row>
    <row r="101" spans="1:36" ht="12.75">
      <c r="A101" s="3587" t="s">
        <v>2807</v>
      </c>
      <c r="B101" s="2307" t="str">
        <f>IF(H19="元","总价（元）","总价（万元）")</f>
        <v>总价（万元）</v>
      </c>
      <c r="C101" s="1307">
        <f ca="1">C19</f>
        <v>749</v>
      </c>
      <c r="D101" s="2807">
        <f ca="1">D19</f>
        <v>415</v>
      </c>
      <c r="E101" s="1461"/>
      <c r="F101" s="3317" t="str">
        <f>项目基本情况!I1</f>
        <v>北京市房地产</v>
      </c>
      <c r="G101" s="3318"/>
      <c r="H101" s="3304">
        <f>项目基本情况!C12</f>
        <v>1642.01</v>
      </c>
      <c r="I101" s="3313"/>
      <c r="J101" s="2860"/>
    </row>
    <row r="102" spans="1:36" ht="12.75">
      <c r="A102" s="3587"/>
      <c r="B102" s="2307" t="s">
        <v>2808</v>
      </c>
      <c r="C102" s="2808">
        <f ca="1">C20</f>
        <v>32620</v>
      </c>
      <c r="D102" s="2809">
        <f ca="1">D20</f>
        <v>18070</v>
      </c>
      <c r="E102" s="1461"/>
      <c r="F102" s="3295" t="s">
        <v>2804</v>
      </c>
      <c r="G102" s="3296"/>
      <c r="H102" s="2817" t="str">
        <f>C106</f>
        <v>总价（万元）</v>
      </c>
      <c r="I102" s="2818">
        <f ca="1">H121</f>
        <v>649</v>
      </c>
      <c r="J102" s="2860"/>
    </row>
    <row r="103" spans="1:36" ht="12.75">
      <c r="A103" s="3587" t="s">
        <v>2809</v>
      </c>
      <c r="B103" s="2245" t="str">
        <f>B101</f>
        <v>总价（万元）</v>
      </c>
      <c r="C103" s="2812">
        <f ca="1">H121</f>
        <v>649</v>
      </c>
      <c r="D103" s="2810"/>
      <c r="E103" s="1461"/>
      <c r="F103" s="3295"/>
      <c r="G103" s="3296"/>
      <c r="H103" s="2817" t="s">
        <v>2777</v>
      </c>
      <c r="I103" s="52">
        <f ca="1">I121</f>
        <v>3952</v>
      </c>
      <c r="J103" s="2844"/>
    </row>
    <row r="104" spans="1:36" ht="13.5" thickBot="1">
      <c r="A104" s="3293"/>
      <c r="B104" s="2814" t="s">
        <v>2808</v>
      </c>
      <c r="C104" s="2815">
        <f ca="1">I121</f>
        <v>3952</v>
      </c>
      <c r="D104" s="2816"/>
      <c r="E104" s="1461"/>
      <c r="F104" s="3295"/>
      <c r="G104" s="3296"/>
      <c r="H104" s="3353"/>
      <c r="I104" s="3354"/>
      <c r="J104" s="2861"/>
    </row>
    <row r="105" spans="1:36" ht="15">
      <c r="A105" s="3360" t="s">
        <v>1870</v>
      </c>
      <c r="B105" s="3361"/>
      <c r="C105" s="3361"/>
      <c r="D105" s="3362"/>
      <c r="E105" s="1461"/>
      <c r="F105" s="3344" t="s">
        <v>2778</v>
      </c>
      <c r="G105" s="3345"/>
      <c r="H105" s="2819" t="str">
        <f>C108</f>
        <v>总额（万元）</v>
      </c>
      <c r="I105" s="2818">
        <f>SUMIF(I106:I108,"&lt;9E307")</f>
        <v>0</v>
      </c>
      <c r="J105" s="2860"/>
    </row>
    <row r="106" spans="1:36" ht="14.25">
      <c r="A106" s="3295" t="s">
        <v>2801</v>
      </c>
      <c r="B106" s="3296"/>
      <c r="C106" s="2817" t="str">
        <f>B101</f>
        <v>总价（万元）</v>
      </c>
      <c r="D106" s="2818">
        <f ca="1">H121</f>
        <v>649</v>
      </c>
      <c r="E106" s="1461"/>
      <c r="F106" s="3321" t="s">
        <v>2779</v>
      </c>
      <c r="G106" s="3322"/>
      <c r="H106" s="2819" t="str">
        <f>C109</f>
        <v>总额（万元）</v>
      </c>
      <c r="I106" s="2820">
        <f>IF(D36="同一抵押权人同一抵押物续贷",C36&amp;"（续贷，未扣减，详见特别提示）",C36)</f>
        <v>0</v>
      </c>
      <c r="J106" s="2844"/>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95"/>
      <c r="B107" s="3296"/>
      <c r="C107" s="2817" t="s">
        <v>2802</v>
      </c>
      <c r="D107" s="52">
        <f ca="1">I121</f>
        <v>3952</v>
      </c>
      <c r="E107" s="1461"/>
      <c r="F107" s="3321" t="s">
        <v>2780</v>
      </c>
      <c r="G107" s="3322"/>
      <c r="H107" s="2819" t="str">
        <f>C110</f>
        <v>总额（万元）</v>
      </c>
      <c r="I107" s="52">
        <f>C37</f>
        <v>0</v>
      </c>
      <c r="J107" s="2844"/>
    </row>
    <row r="108" spans="1:36" ht="12.75">
      <c r="A108" s="3346" t="s">
        <v>2778</v>
      </c>
      <c r="B108" s="3347"/>
      <c r="C108" s="2819" t="str">
        <f>IF(H19="元","总额（元）","总额（万元）")</f>
        <v>总额（万元）</v>
      </c>
      <c r="D108" s="2818">
        <f>IF(D36="正常操作",I106+I107+I108,I107+I108)</f>
        <v>0</v>
      </c>
      <c r="E108" s="1461"/>
      <c r="F108" s="3321" t="s">
        <v>2805</v>
      </c>
      <c r="G108" s="3322"/>
      <c r="H108" s="2819" t="str">
        <f>C111</f>
        <v>总额（万元）</v>
      </c>
      <c r="I108" s="52">
        <f>C38</f>
        <v>0</v>
      </c>
      <c r="J108" s="2844"/>
    </row>
    <row r="109" spans="1:36" ht="12.75">
      <c r="A109" s="3321" t="s">
        <v>2779</v>
      </c>
      <c r="B109" s="3322"/>
      <c r="C109" s="2819" t="str">
        <f>C108</f>
        <v>总额（万元）</v>
      </c>
      <c r="D109" s="52">
        <f>IF(D36="同一抵押权人同一抵押物续贷",C36&amp;"（未扣减，详见特别提示）",C36)</f>
        <v>0</v>
      </c>
      <c r="E109" s="1461"/>
      <c r="F109" s="3295"/>
      <c r="G109" s="3296"/>
      <c r="H109" s="3319"/>
      <c r="I109" s="3320"/>
      <c r="J109" s="2862"/>
    </row>
    <row r="110" spans="1:36" ht="28.5" customHeight="1">
      <c r="A110" s="3321" t="s">
        <v>2803</v>
      </c>
      <c r="B110" s="3322"/>
      <c r="C110" s="2819" t="str">
        <f>C108</f>
        <v>总额（万元）</v>
      </c>
      <c r="D110" s="52">
        <f>C37</f>
        <v>0</v>
      </c>
      <c r="E110" s="1461"/>
      <c r="F110" s="3323" t="str">
        <f>IF(项目基本情况!F5="已注销","——","3.房地产抵押价值")</f>
        <v>3.房地产抵押价值</v>
      </c>
      <c r="G110" s="3324"/>
      <c r="H110" s="2805" t="str">
        <f>C112</f>
        <v>总价（万元）</v>
      </c>
      <c r="I110" s="2818">
        <f ca="1">IF(F110="——","——",I102-I105)</f>
        <v>649</v>
      </c>
      <c r="J110" s="2860"/>
    </row>
    <row r="111" spans="1:36" ht="12.75">
      <c r="A111" s="3321" t="s">
        <v>2782</v>
      </c>
      <c r="B111" s="3322"/>
      <c r="C111" s="2819" t="str">
        <f>C108</f>
        <v>总额（万元）</v>
      </c>
      <c r="D111" s="52">
        <f>C38</f>
        <v>0</v>
      </c>
      <c r="E111" s="1461"/>
      <c r="F111" s="3325"/>
      <c r="G111" s="3326"/>
      <c r="H111" s="2817" t="s">
        <v>2777</v>
      </c>
      <c r="I111" s="2821">
        <f ca="1">D113</f>
        <v>3952</v>
      </c>
      <c r="J111" s="2863"/>
    </row>
    <row r="112" spans="1:36" ht="26.25" customHeight="1">
      <c r="A112" s="3295" t="str">
        <f>IF(项目基本情况!F5="已注销","——","3.房地产抵押价值")</f>
        <v>3.房地产抵押价值</v>
      </c>
      <c r="B112" s="3296"/>
      <c r="C112" s="2817" t="str">
        <f>B101</f>
        <v>总价（万元）</v>
      </c>
      <c r="D112" s="2818">
        <f ca="1">IF(A112="——","——",D106-D108)</f>
        <v>649</v>
      </c>
      <c r="E112" s="1461"/>
      <c r="F112" s="3323" t="str">
        <f>IF(项目基本情况!F5="已注销及未注销","4.抵押担保权已注销时的房地产抵押价值",IF(项目基本情况!F5="已注销","3.抵押担保权已注销时的房地产抵押价值","——"))</f>
        <v>——</v>
      </c>
      <c r="G112" s="3324"/>
      <c r="H112" s="2805" t="str">
        <f>C114</f>
        <v>总价（万元）</v>
      </c>
      <c r="I112" s="2818" t="str">
        <f>IF(F112="——","——",I102-I107-I108)</f>
        <v>——</v>
      </c>
      <c r="J112" s="2860"/>
    </row>
    <row r="113" spans="1:16" ht="12.75">
      <c r="A113" s="3295"/>
      <c r="B113" s="3296"/>
      <c r="C113" s="2817" t="s">
        <v>2770</v>
      </c>
      <c r="D113" s="52">
        <f ca="1">ROUND(IF(D112=D106,D107,IF(H19="元",D112/项目基本情况!C12,D112*10000/项目基本情况!C12)),0)</f>
        <v>3952</v>
      </c>
      <c r="E113" s="1461"/>
      <c r="F113" s="3325"/>
      <c r="G113" s="3326"/>
      <c r="H113" s="2817" t="s">
        <v>2806</v>
      </c>
      <c r="I113" s="52" t="str">
        <f>D115</f>
        <v>——</v>
      </c>
      <c r="J113" s="2844"/>
    </row>
    <row r="114" spans="1:16" ht="12.75">
      <c r="A114" s="3295" t="str">
        <f>IF(项目基本情况!F5="已注销及未注销","4.抵押担保权已注销时的房地产抵押价值",IF(项目基本情况!F5="已注销","3.抵押担保权已注销时的房地产抵押价值","——"))</f>
        <v>——</v>
      </c>
      <c r="B114" s="3296"/>
      <c r="C114" s="2817" t="str">
        <f>B101</f>
        <v>总价（万元）</v>
      </c>
      <c r="D114" s="2818" t="str">
        <f>IF(A114="——","——",D106-D110-D111)</f>
        <v>——</v>
      </c>
      <c r="E114" s="1461"/>
      <c r="F114" s="3323" t="str">
        <f>IF(项目基本情况!G5="抵押净值",IF(OR(项目基本情况!F5="已注销",项目基本情况!F5="房地产抵押价值"),"4.抵押净值","5.抵押净值"),"——")</f>
        <v>4.抵押净值</v>
      </c>
      <c r="G114" s="3324"/>
      <c r="H114" s="2817" t="str">
        <f>C116</f>
        <v>总价（万元）</v>
      </c>
      <c r="I114" s="2818">
        <f ca="1">IF(F114="——","——",O59)</f>
        <v>648.67999999999995</v>
      </c>
      <c r="J114" s="2860"/>
    </row>
    <row r="115" spans="1:16" ht="13.5" thickBot="1">
      <c r="A115" s="3295"/>
      <c r="B115" s="3296"/>
      <c r="C115" s="2817" t="s">
        <v>2770</v>
      </c>
      <c r="D115" s="52" t="str">
        <f>IF(A114="——","——",ROUND(IF(D114=D106,D107,IF(H19="元",D114/项目基本情况!C12,D114*10000/项目基本情况!C12)),0))</f>
        <v>——</v>
      </c>
      <c r="E115" s="1461"/>
      <c r="F115" s="3332"/>
      <c r="G115" s="3333"/>
      <c r="H115" s="2822" t="s">
        <v>2770</v>
      </c>
      <c r="I115" s="2806">
        <f ca="1">D117</f>
        <v>3951</v>
      </c>
      <c r="J115" s="2844"/>
    </row>
    <row r="116" spans="1:16" ht="15.75">
      <c r="A116" s="3295" t="str">
        <f>IF(项目基本情况!G5="抵押净值",IF(OR(项目基本情况!F5="已注销",项目基本情况!F5="房地产抵押价值"),"4.抵押净值","5.抵押净值"),"——")</f>
        <v>4.抵押净值</v>
      </c>
      <c r="B116" s="3296"/>
      <c r="C116" s="2817" t="str">
        <f>B101</f>
        <v>总价（万元）</v>
      </c>
      <c r="D116" s="2818">
        <f ca="1">IF(A116="——","——",O59)</f>
        <v>648.67999999999995</v>
      </c>
      <c r="E116" s="1461"/>
      <c r="F116" s="3336"/>
      <c r="G116" s="3336"/>
      <c r="H116" s="3337"/>
      <c r="I116" s="3337"/>
      <c r="J116" s="2864"/>
      <c r="O116" s="32"/>
      <c r="P116" s="32"/>
    </row>
    <row r="117" spans="1:16" ht="13.5" thickBot="1">
      <c r="A117" s="3334"/>
      <c r="B117" s="3335"/>
      <c r="C117" s="2822" t="s">
        <v>2770</v>
      </c>
      <c r="D117" s="2806">
        <f ca="1">IF(D116=D112,D113,IF(A116="——","——",O61))</f>
        <v>3951</v>
      </c>
      <c r="E117" s="1461"/>
      <c r="F117" s="3579" t="str">
        <f>IF(B32="总价","（以上估价结果中单价为总价除以建筑面积得出）","（以上估价结果中总价为楼面单价乘以建筑面积得出）")</f>
        <v>（以上估价结果中单价为总价除以建筑面积得出）</v>
      </c>
      <c r="G117" s="3579"/>
      <c r="H117" s="3579"/>
      <c r="I117" s="3579"/>
      <c r="J117" s="2865"/>
      <c r="O117" s="32"/>
      <c r="P117" s="32"/>
    </row>
    <row r="118" spans="1:16" ht="15">
      <c r="A118" s="3339" t="s">
        <v>1871</v>
      </c>
      <c r="B118" s="3340"/>
      <c r="C118" s="3340"/>
      <c r="D118" s="3340"/>
      <c r="E118" s="3340"/>
      <c r="F118" s="3340"/>
      <c r="G118" s="3340"/>
      <c r="H118" s="3340"/>
      <c r="I118" s="3340"/>
      <c r="J118" s="2866"/>
    </row>
    <row r="119" spans="1:16" ht="12.75">
      <c r="A119" s="3300" t="s">
        <v>2788</v>
      </c>
      <c r="B119" s="3327" t="s">
        <v>2798</v>
      </c>
      <c r="C119" s="3327" t="s">
        <v>2799</v>
      </c>
      <c r="D119" s="3329" t="s">
        <v>2790</v>
      </c>
      <c r="E119" s="3330"/>
      <c r="F119" s="3301" t="s">
        <v>2800</v>
      </c>
      <c r="G119" s="3301"/>
      <c r="H119" s="3301" t="s">
        <v>2791</v>
      </c>
      <c r="I119" s="3331"/>
      <c r="J119" s="2844"/>
    </row>
    <row r="120" spans="1:16" ht="12.75">
      <c r="A120" s="3300"/>
      <c r="B120" s="3328"/>
      <c r="C120" s="3328"/>
      <c r="D120" s="2092" t="s">
        <v>2792</v>
      </c>
      <c r="E120" s="2092" t="s">
        <v>2797</v>
      </c>
      <c r="F120" s="2092" t="s">
        <v>2792</v>
      </c>
      <c r="G120" s="2092" t="s">
        <v>2793</v>
      </c>
      <c r="H120" s="2092" t="s">
        <v>2792</v>
      </c>
      <c r="I120" s="52" t="s">
        <v>2793</v>
      </c>
      <c r="J120" s="2844"/>
    </row>
    <row r="121" spans="1:16" ht="12.75">
      <c r="A121" s="2082" t="str">
        <f>项目基本情况!I1</f>
        <v>北京市房地产</v>
      </c>
      <c r="B121" s="2092">
        <f>项目基本情况!C12</f>
        <v>1642.01</v>
      </c>
      <c r="C121" s="2092">
        <f>项目基本情况!C13</f>
        <v>0</v>
      </c>
      <c r="D121" s="2092">
        <f ca="1">ROUND(IF(B32="总价",C34,IF('数据-取费表'!B3="万元",E121*B121/10000,E121*B121)),0)</f>
        <v>447</v>
      </c>
      <c r="E121" s="2092">
        <f ca="1">ROUND(IF(B32="楼面单价",C34,IF(H19="元",D121/B121,D121*10000/B121)),0)</f>
        <v>2722</v>
      </c>
      <c r="F121" s="2092">
        <f ca="1">ROUND(IF(B32="总价",C35,IF('数据-取费表'!B3="万元",G121*B121/10000,G121*B121)),0)</f>
        <v>202</v>
      </c>
      <c r="G121" s="2092">
        <f ca="1">ROUND(IF(B32="楼面单价",C35,IF(H19="元",F121/B121,F121*10000/B121)),0)</f>
        <v>1230</v>
      </c>
      <c r="H121" s="2092">
        <f ca="1">ROUND(IF(B32="总价",C32,IF('数据-取费表'!B3="万元",I121*B121/10000,I121*B121)),0)</f>
        <v>649</v>
      </c>
      <c r="I121" s="52">
        <f ca="1">ROUND(IF(B32="楼面单价",C32,IF(H19="元",H121/B121,H121*10000/B121)),0)</f>
        <v>3952</v>
      </c>
      <c r="J121" s="2844"/>
    </row>
    <row r="122" spans="1:16" ht="12.75">
      <c r="A122" s="3300" t="s">
        <v>2794</v>
      </c>
      <c r="B122" s="3301"/>
      <c r="C122" s="3301"/>
      <c r="D122" s="3314" t="str">
        <f ca="1">IF(H19="元",NUMBERSTRING(INT(D121),2)&amp;"元整",NUMBERSTRING(INT(D121*10000),2)&amp;"元整")</f>
        <v>肆佰肆拾柒万元整</v>
      </c>
      <c r="E122" s="3315"/>
      <c r="F122" s="3314" t="str">
        <f ca="1">IF(H19="元",NUMBERSTRING(INT(F121),2)&amp;"元整",NUMBERSTRING(INT(F121*10000),2)&amp;"元整")</f>
        <v>贰佰零贰万元整</v>
      </c>
      <c r="G122" s="3315"/>
      <c r="H122" s="3314" t="str">
        <f ca="1">IF(H19="元",NUMBERSTRING(INT(H121),2)&amp;"元整",NUMBERSTRING(INT(H121*10000),2)&amp;"元整")</f>
        <v>陆佰肆拾玖万元整</v>
      </c>
      <c r="I122" s="3316"/>
      <c r="J122" s="2867"/>
    </row>
    <row r="123" spans="1:16" ht="12.75">
      <c r="A123" s="3317" t="str">
        <f>IF(项目基本情况!D5="房地产市场价值","——",MID(A108,3,LEN(A108)-2))</f>
        <v>估价师所知悉的法定优先受偿款</v>
      </c>
      <c r="B123" s="3312"/>
      <c r="C123" s="3318"/>
      <c r="D123" s="3304">
        <f>I105</f>
        <v>0</v>
      </c>
      <c r="E123" s="3312"/>
      <c r="F123" s="3312"/>
      <c r="G123" s="3312"/>
      <c r="H123" s="3312"/>
      <c r="I123" s="3313"/>
      <c r="J123" s="2860"/>
    </row>
    <row r="124" spans="1:16" ht="12.75">
      <c r="A124" s="3306" t="s">
        <v>2794</v>
      </c>
      <c r="B124" s="3307"/>
      <c r="C124" s="3308"/>
      <c r="D124" s="3309">
        <f>H109</f>
        <v>0</v>
      </c>
      <c r="E124" s="3310"/>
      <c r="F124" s="3310"/>
      <c r="G124" s="3310"/>
      <c r="H124" s="3310"/>
      <c r="I124" s="3311"/>
      <c r="J124" s="2868"/>
    </row>
    <row r="125" spans="1:16" ht="12.75">
      <c r="A125" s="3295" t="str">
        <f>IF(项目基本情况!D5="房地产市场价值","——",MID(A112,3,LEN(A112)-2))</f>
        <v>房地产抵押价值</v>
      </c>
      <c r="B125" s="3296"/>
      <c r="C125" s="3296"/>
      <c r="D125" s="3304">
        <f ca="1">I110</f>
        <v>649</v>
      </c>
      <c r="E125" s="3312"/>
      <c r="F125" s="3312"/>
      <c r="G125" s="3312"/>
      <c r="H125" s="3312"/>
      <c r="I125" s="3313"/>
      <c r="J125" s="2860"/>
    </row>
    <row r="126" spans="1:16" ht="12.75">
      <c r="A126" s="3300" t="s">
        <v>2794</v>
      </c>
      <c r="B126" s="3301"/>
      <c r="C126" s="3301"/>
      <c r="D126" s="3309">
        <f ca="1">I111</f>
        <v>3952</v>
      </c>
      <c r="E126" s="3310"/>
      <c r="F126" s="3310"/>
      <c r="G126" s="3310"/>
      <c r="H126" s="3310"/>
      <c r="I126" s="3311"/>
      <c r="J126" s="2868"/>
    </row>
    <row r="127" spans="1:16" ht="13.5" thickBot="1">
      <c r="A127" s="3295" t="str">
        <f>IF(项目基本情况!D5="房地产市场价值","——",MID(A114,3,LEN(A114)-2))</f>
        <v/>
      </c>
      <c r="B127" s="3296"/>
      <c r="C127" s="3296"/>
      <c r="D127" s="3297" t="str">
        <f>I112</f>
        <v>——</v>
      </c>
      <c r="E127" s="3298"/>
      <c r="F127" s="3298"/>
      <c r="G127" s="3298"/>
      <c r="H127" s="3298"/>
      <c r="I127" s="3299"/>
      <c r="J127" s="2860"/>
    </row>
    <row r="128" spans="1:16" ht="14.25" thickTop="1" thickBot="1">
      <c r="A128" s="3300" t="s">
        <v>2794</v>
      </c>
      <c r="B128" s="3301"/>
      <c r="C128" s="3302"/>
      <c r="D128" s="3303" t="str">
        <f>I113</f>
        <v>——</v>
      </c>
      <c r="E128" s="3303"/>
      <c r="F128" s="3303"/>
      <c r="G128" s="3303"/>
      <c r="H128" s="3303"/>
      <c r="I128" s="3303"/>
      <c r="J128" s="2868"/>
    </row>
    <row r="129" spans="1:10" ht="14.25" thickTop="1" thickBot="1">
      <c r="A129" s="3295" t="str">
        <f>IF(项目基本情况!D5="房地产市场价值","——",MID(F114,3,LEN(F114)-2))</f>
        <v>抵押净值</v>
      </c>
      <c r="B129" s="3296"/>
      <c r="C129" s="3304"/>
      <c r="D129" s="3305">
        <f ca="1">I114</f>
        <v>648.67999999999995</v>
      </c>
      <c r="E129" s="3305"/>
      <c r="F129" s="3305"/>
      <c r="G129" s="3305"/>
      <c r="H129" s="3305"/>
      <c r="I129" s="3305"/>
      <c r="J129" s="2860"/>
    </row>
    <row r="130" spans="1:10" ht="14.25" thickTop="1" thickBot="1">
      <c r="A130" s="3286" t="s">
        <v>2794</v>
      </c>
      <c r="B130" s="3287"/>
      <c r="C130" s="3287"/>
      <c r="D130" s="3288">
        <f>H116</f>
        <v>0</v>
      </c>
      <c r="E130" s="3289"/>
      <c r="F130" s="3289"/>
      <c r="G130" s="3289"/>
      <c r="H130" s="3289"/>
      <c r="I130" s="3290"/>
      <c r="J130" s="2868"/>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69"/>
    </row>
    <row r="132" spans="1:10" ht="13.5" thickBot="1">
      <c r="A132" s="3291" t="str">
        <f>IF(B32="总价","（以上估价结果中楼面单价为总价除以建筑面积得出）","（以上估价结果中总价为楼面单价乘以建筑面积得出）")</f>
        <v>（以上估价结果中楼面单价为总价除以建筑面积得出）</v>
      </c>
      <c r="B132" s="3291"/>
      <c r="C132" s="3291"/>
      <c r="D132" s="3291"/>
      <c r="E132" s="3291"/>
      <c r="F132" s="3291"/>
      <c r="G132" s="3291"/>
      <c r="H132" s="3291"/>
      <c r="I132" s="3291"/>
      <c r="J132" s="2862"/>
    </row>
    <row r="133" spans="1:10" ht="21.75" customHeight="1">
      <c r="A133" s="1491" t="s">
        <v>1872</v>
      </c>
      <c r="B133" s="1492"/>
      <c r="C133" s="1493" t="s">
        <v>1873</v>
      </c>
      <c r="D133" s="1494"/>
      <c r="E133" s="1494"/>
      <c r="F133" s="1494"/>
      <c r="G133" s="1494"/>
      <c r="H133" s="1495"/>
      <c r="I133" s="1496"/>
      <c r="J133" s="2870"/>
    </row>
    <row r="134" spans="1:10" ht="21.75" customHeight="1">
      <c r="A134" s="1497">
        <v>1</v>
      </c>
      <c r="B134" s="1498"/>
      <c r="C134" s="1498"/>
      <c r="D134" s="1494"/>
      <c r="E134" s="1494"/>
      <c r="F134" s="1494"/>
      <c r="G134" s="1494"/>
      <c r="H134" s="1495"/>
      <c r="I134" s="1496"/>
      <c r="J134" s="2870"/>
    </row>
    <row r="135" spans="1:10" ht="21.75" customHeight="1">
      <c r="A135" s="1497">
        <v>2</v>
      </c>
      <c r="B135" s="1498"/>
      <c r="C135" s="1498"/>
      <c r="D135" s="1494"/>
      <c r="E135" s="1494"/>
      <c r="F135" s="1494"/>
      <c r="G135" s="1494"/>
      <c r="H135" s="1495"/>
      <c r="I135" s="1496"/>
      <c r="J135" s="2870"/>
    </row>
    <row r="136" spans="1:10" ht="21.75" customHeight="1">
      <c r="A136" s="1497">
        <v>3</v>
      </c>
      <c r="B136" s="1498"/>
      <c r="C136" s="1498"/>
      <c r="D136" s="1494"/>
      <c r="E136" s="1494"/>
      <c r="F136" s="32"/>
      <c r="G136" s="32"/>
      <c r="H136" s="32"/>
      <c r="I136" s="32"/>
      <c r="J136" s="2871"/>
    </row>
    <row r="137" spans="1:10" ht="21.75" customHeight="1">
      <c r="A137" s="1499"/>
      <c r="B137" s="1500"/>
      <c r="C137" s="1500"/>
      <c r="D137" s="1501"/>
      <c r="E137" s="1501"/>
      <c r="F137" s="1501"/>
      <c r="G137" s="1501"/>
      <c r="H137" s="1502"/>
      <c r="I137" s="1503"/>
      <c r="J137" s="2870"/>
    </row>
    <row r="138" spans="1:10" ht="21.75" customHeight="1">
      <c r="A138" s="1498"/>
      <c r="B138" s="1498"/>
      <c r="C138" s="1498"/>
      <c r="D138" s="1494"/>
      <c r="E138" s="1494"/>
      <c r="F138" s="1494"/>
      <c r="G138" s="1494"/>
      <c r="H138" s="1495"/>
      <c r="I138" s="659"/>
      <c r="J138" s="2871"/>
    </row>
    <row r="139" spans="1:10" ht="21.75" customHeight="1">
      <c r="A139" s="659"/>
      <c r="B139" s="659"/>
      <c r="C139" s="659"/>
      <c r="D139" s="659"/>
      <c r="E139" s="659"/>
      <c r="F139" s="1504" t="s">
        <v>1874</v>
      </c>
      <c r="G139" s="1505"/>
      <c r="H139" s="1505"/>
      <c r="I139" s="1506" t="s">
        <v>1875</v>
      </c>
      <c r="J139" s="2872"/>
    </row>
    <row r="140" spans="1:10" ht="21.75" customHeight="1">
      <c r="A140" s="659"/>
      <c r="B140" s="1507" t="s">
        <v>1876</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5"/>
      <c r="C142" s="1505"/>
      <c r="D142" s="1505"/>
      <c r="E142" s="1505"/>
      <c r="F142" s="1505"/>
      <c r="G142" s="1505"/>
      <c r="H142" s="1505"/>
      <c r="I142" s="1506" t="s">
        <v>1877</v>
      </c>
      <c r="J142" s="2872"/>
    </row>
    <row r="143" spans="1:10" ht="21.75" customHeight="1">
      <c r="A143" s="659"/>
      <c r="B143" s="1507" t="s">
        <v>1878</v>
      </c>
      <c r="C143" s="659"/>
      <c r="D143" s="659"/>
      <c r="E143" s="659"/>
      <c r="F143" s="659"/>
      <c r="G143" s="659"/>
      <c r="H143" s="659"/>
      <c r="I143" s="659"/>
      <c r="J143" s="2871"/>
    </row>
    <row r="144" spans="1:10" ht="21.75" customHeight="1">
      <c r="A144" s="659"/>
      <c r="B144" s="1507"/>
      <c r="C144" s="659"/>
      <c r="D144" s="659"/>
      <c r="E144" s="659"/>
      <c r="F144" s="659"/>
      <c r="G144" s="659"/>
      <c r="H144" s="659"/>
      <c r="I144" s="659"/>
      <c r="J144" s="2871"/>
    </row>
    <row r="145" spans="1:36" ht="21.75" customHeight="1">
      <c r="A145" s="659"/>
      <c r="B145" s="1505"/>
      <c r="C145" s="1505"/>
      <c r="D145" s="1505"/>
      <c r="E145" s="1505"/>
      <c r="F145" s="1505"/>
      <c r="G145" s="1505"/>
      <c r="H145" s="1505"/>
      <c r="I145" s="1506" t="s">
        <v>1877</v>
      </c>
      <c r="J145" s="2872"/>
    </row>
    <row r="146" spans="1:36" ht="21.75" customHeight="1">
      <c r="A146" s="659"/>
      <c r="B146" s="1507"/>
      <c r="C146" s="1508"/>
      <c r="D146" s="1509"/>
      <c r="E146" s="1509"/>
      <c r="F146" s="1510"/>
      <c r="G146" s="659"/>
      <c r="H146" s="659"/>
      <c r="I146" s="659"/>
      <c r="J146" s="2871"/>
    </row>
    <row r="147" spans="1:36" s="32" customFormat="1" ht="21.75" customHeight="1">
      <c r="A147" s="659"/>
      <c r="B147" s="1507"/>
      <c r="C147" s="1508"/>
      <c r="D147" s="1509"/>
      <c r="E147" s="150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8"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5" priority="10" stopIfTrue="1" operator="equal">
      <formula>25</formula>
    </cfRule>
  </conditionalFormatting>
  <conditionalFormatting sqref="D8:D9">
    <cfRule type="cellIs" dxfId="4" priority="9" stopIfTrue="1" operator="equal">
      <formula>15</formula>
    </cfRule>
  </conditionalFormatting>
  <conditionalFormatting sqref="C10:D13">
    <cfRule type="cellIs" dxfId="3" priority="8" stopIfTrue="1" operator="equal">
      <formula>15</formula>
    </cfRule>
  </conditionalFormatting>
  <conditionalFormatting sqref="D14:D16">
    <cfRule type="cellIs" dxfId="2" priority="6" stopIfTrue="1" operator="equal">
      <formula>30</formula>
    </cfRule>
  </conditionalFormatting>
  <conditionalFormatting sqref="C90">
    <cfRule type="expression" dxfId="1" priority="3" stopIfTrue="1">
      <formula>$H$88&lt;&gt;"仅含出让金"</formula>
    </cfRule>
  </conditionalFormatting>
  <conditionalFormatting sqref="C91">
    <cfRule type="expression" dxfId="0" priority="2" stopIfTrue="1">
      <formula>$H$91="由企业提供"</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4" t="str">
        <f>IF(项目基本情况!D5="房地产市场价值","估价结果一览表","结果表-2")</f>
        <v>结果表-2</v>
      </c>
      <c r="B1" s="3224"/>
      <c r="C1" s="3224"/>
      <c r="D1" s="3224"/>
      <c r="E1" s="3224"/>
      <c r="F1" s="3224"/>
      <c r="G1" s="3224"/>
      <c r="H1" s="3224"/>
      <c r="I1" s="3224"/>
    </row>
    <row r="2" spans="1:9" ht="30" customHeight="1" thickTop="1">
      <c r="A2" s="3225" t="s">
        <v>1262</v>
      </c>
      <c r="B2" s="3225" t="s">
        <v>1263</v>
      </c>
      <c r="C2" s="3225" t="s">
        <v>1264</v>
      </c>
      <c r="D2" s="3225" t="str">
        <f>IF('数据-取费表'!E3="否",结果表!D119,'结果表 (1修多)'!D123)</f>
        <v>出让国有建设用地使用权价值</v>
      </c>
      <c r="E2" s="3225"/>
      <c r="F2" s="3225" t="s">
        <v>1265</v>
      </c>
      <c r="G2" s="3225"/>
      <c r="H2" s="3225" t="s">
        <v>1266</v>
      </c>
      <c r="I2" s="3225"/>
    </row>
    <row r="3" spans="1:9" ht="15">
      <c r="A3" s="3218"/>
      <c r="B3" s="3218"/>
      <c r="C3" s="3218"/>
      <c r="D3" s="818" t="s">
        <v>1267</v>
      </c>
      <c r="E3" s="818" t="s">
        <v>1268</v>
      </c>
      <c r="F3" s="818" t="s">
        <v>1267</v>
      </c>
      <c r="G3" s="818" t="s">
        <v>1269</v>
      </c>
      <c r="H3" s="818" t="s">
        <v>1267</v>
      </c>
      <c r="I3" s="818" t="s">
        <v>1269</v>
      </c>
    </row>
    <row r="4" spans="1:9" ht="46.5" customHeight="1">
      <c r="A4" s="818" t="str">
        <f>项目基本情况!I1</f>
        <v>北京市房地产</v>
      </c>
      <c r="B4" s="818">
        <f>结果表!B121</f>
        <v>1642.01</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4684</v>
      </c>
      <c r="I4" s="818">
        <f ca="1">IF('数据-取费表'!E3="否",结果表!I121,'结果表 (1修多)'!I125)</f>
        <v>28526</v>
      </c>
    </row>
    <row r="5" spans="1:9" ht="15">
      <c r="A5" s="3218" t="s">
        <v>1270</v>
      </c>
      <c r="B5" s="3218"/>
      <c r="C5" s="3218"/>
      <c r="D5" s="3219" t="str">
        <f>IF('数据-取费表'!E3="否",结果表!D122,'结果表 (1修多)'!D126)</f>
        <v>零元整</v>
      </c>
      <c r="E5" s="3219"/>
      <c r="F5" s="3219" t="str">
        <f>IF('数据-取费表'!E3="否",结果表!F122,'结果表 (1修多)'!F126)</f>
        <v>零元整</v>
      </c>
      <c r="G5" s="3219"/>
      <c r="H5" s="3219" t="str">
        <f ca="1">IF('数据-取费表'!E3="否",结果表!H122,'结果表 (1修多)'!H126)</f>
        <v>肆仟陆佰捌拾肆万元整</v>
      </c>
      <c r="I5" s="3219"/>
    </row>
    <row r="6" spans="1:9" ht="15.75">
      <c r="A6" s="3220" t="str">
        <f>IF('数据-取费表'!E3="否",结果表!A123,'结果表 (1修多)'!A127)</f>
        <v>估价师所知悉的法定优先受偿款</v>
      </c>
      <c r="B6" s="3220"/>
      <c r="C6" s="3220"/>
      <c r="D6" s="3220">
        <f>IF('数据-取费表'!E3="否",结果表!D123,'结果表 (1修多)'!D127)</f>
        <v>0</v>
      </c>
      <c r="E6" s="3220"/>
      <c r="F6" s="3220"/>
      <c r="G6" s="3220"/>
      <c r="H6" s="3220"/>
      <c r="I6" s="3220"/>
    </row>
    <row r="7" spans="1:9" ht="15">
      <c r="A7" s="3218" t="s">
        <v>1270</v>
      </c>
      <c r="B7" s="3218"/>
      <c r="C7" s="3218"/>
      <c r="D7" s="3226">
        <f>IF('数据-取费表'!E3="否",结果表!D124,'结果表 (1修多)'!D128)</f>
        <v>0</v>
      </c>
      <c r="E7" s="3227"/>
      <c r="F7" s="3227"/>
      <c r="G7" s="3227"/>
      <c r="H7" s="3227"/>
      <c r="I7" s="3228"/>
    </row>
    <row r="8" spans="1:9" ht="15.75">
      <c r="A8" s="3220" t="str">
        <f>IF('数据-取费表'!E3="否",结果表!A125,'结果表 (1修多)'!A129)</f>
        <v>房地产抵押价值</v>
      </c>
      <c r="B8" s="3220"/>
      <c r="C8" s="3220"/>
      <c r="D8" s="3220">
        <f ca="1">IF('数据-取费表'!E3="否",结果表!D125,'结果表 (1修多)'!D129)</f>
        <v>4684</v>
      </c>
      <c r="E8" s="3220"/>
      <c r="F8" s="3220"/>
      <c r="G8" s="3220"/>
      <c r="H8" s="3220"/>
      <c r="I8" s="3220"/>
    </row>
    <row r="9" spans="1:9" ht="15">
      <c r="A9" s="3218" t="s">
        <v>1270</v>
      </c>
      <c r="B9" s="3218"/>
      <c r="C9" s="3218"/>
      <c r="D9" s="3219">
        <f ca="1">IF('数据-取费表'!E3="否",结果表!D126,'结果表 (1修多)'!D130)</f>
        <v>28526</v>
      </c>
      <c r="E9" s="3219"/>
      <c r="F9" s="3219"/>
      <c r="G9" s="3219"/>
      <c r="H9" s="3219"/>
      <c r="I9" s="3219"/>
    </row>
    <row r="10" spans="1:9" ht="15.75">
      <c r="A10" s="3220" t="str">
        <f>IF('数据-取费表'!E3="否",结果表!A127,'结果表 (1修多)'!A131)</f>
        <v/>
      </c>
      <c r="B10" s="3220"/>
      <c r="C10" s="3220"/>
      <c r="D10" s="3220">
        <f ca="1">IF('数据-取费表'!E3="否",结果表!D127,'结果表 (1修多)'!D130)</f>
        <v>28526</v>
      </c>
      <c r="E10" s="3220"/>
      <c r="F10" s="3220"/>
      <c r="G10" s="3220"/>
      <c r="H10" s="3220"/>
      <c r="I10" s="3220"/>
    </row>
    <row r="11" spans="1:9" ht="15">
      <c r="A11" s="3218" t="s">
        <v>1270</v>
      </c>
      <c r="B11" s="3218"/>
      <c r="C11" s="3218"/>
      <c r="D11" s="3219" t="str">
        <f>IF('数据-取费表'!E3="否",结果表!D128,'结果表 (1修多)'!D132)</f>
        <v>——</v>
      </c>
      <c r="E11" s="3219"/>
      <c r="F11" s="3219"/>
      <c r="G11" s="3219"/>
      <c r="H11" s="3219"/>
      <c r="I11" s="3219"/>
    </row>
    <row r="12" spans="1:9" ht="15.75">
      <c r="A12" s="3220" t="str">
        <f>IF('数据-取费表'!E3="否",结果表!A129,'结果表 (1修多)'!A133)</f>
        <v>抵押净值</v>
      </c>
      <c r="B12" s="3220"/>
      <c r="C12" s="3220"/>
      <c r="D12" s="3220">
        <f ca="1">IF('数据-取费表'!E3="否",结果表!D129,'结果表 (1修多)'!D133)</f>
        <v>4682</v>
      </c>
      <c r="E12" s="3220"/>
      <c r="F12" s="3220"/>
      <c r="G12" s="3220"/>
      <c r="H12" s="3220"/>
      <c r="I12" s="3220"/>
    </row>
    <row r="13" spans="1:9" ht="15.75" thickBot="1">
      <c r="A13" s="3221" t="s">
        <v>1270</v>
      </c>
      <c r="B13" s="3221"/>
      <c r="C13" s="3221"/>
      <c r="D13" s="3222">
        <f>IF('数据-取费表'!E3="否",结果表!D130,'结果表 (1修多)'!D134)</f>
        <v>0</v>
      </c>
      <c r="E13" s="3222"/>
      <c r="F13" s="3222"/>
      <c r="G13" s="3222"/>
      <c r="H13" s="3222"/>
      <c r="I13" s="3222"/>
    </row>
    <row r="14" spans="1:9" ht="15" thickTop="1">
      <c r="A14" s="3223" t="str">
        <f>IF('数据-取费表'!E3="否",结果表!A131,'结果表 (1修多)'!A135)</f>
        <v>单位：平方米、万元、元/平方米（币种：人民币）</v>
      </c>
      <c r="B14" s="3223"/>
      <c r="C14" s="3223"/>
      <c r="D14" s="3223"/>
      <c r="E14" s="3223"/>
      <c r="F14" s="3223"/>
      <c r="G14" s="3223"/>
      <c r="H14" s="3223"/>
      <c r="I14" s="3223"/>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0" t="s">
        <v>1283</v>
      </c>
      <c r="B1" s="3230"/>
      <c r="C1" s="3230"/>
      <c r="D1" s="3230"/>
    </row>
    <row r="2" spans="1:4" ht="18">
      <c r="A2" s="3229" t="s">
        <v>1272</v>
      </c>
      <c r="B2" s="3229"/>
      <c r="C2" s="3229"/>
      <c r="D2" s="3229"/>
    </row>
    <row r="3" spans="1:4" ht="18.75">
      <c r="A3" s="1388" t="s">
        <v>1273</v>
      </c>
      <c r="B3" s="1388" t="s">
        <v>1274</v>
      </c>
      <c r="C3" s="1388" t="s">
        <v>1275</v>
      </c>
      <c r="D3" s="1388" t="s">
        <v>1276</v>
      </c>
    </row>
    <row r="4" spans="1:4" ht="56.25" customHeight="1">
      <c r="A4" s="1389" t="str">
        <f>项目基本情况!B3</f>
        <v>崔锴</v>
      </c>
      <c r="B4" s="1390">
        <f ca="1">项目基本情况!C3</f>
        <v>1120100036</v>
      </c>
      <c r="C4" s="1391"/>
      <c r="D4" s="1392" t="s">
        <v>1284</v>
      </c>
    </row>
    <row r="5" spans="1:4" ht="56.25" customHeight="1">
      <c r="A5" s="1389" t="str">
        <f>项目基本情况!D3</f>
        <v>郑燚</v>
      </c>
      <c r="B5" s="1390">
        <f ca="1">项目基本情况!E3</f>
        <v>1120070131</v>
      </c>
      <c r="C5" s="1393"/>
      <c r="D5" s="1392" t="s">
        <v>1284</v>
      </c>
    </row>
    <row r="6" spans="1:4" ht="12" customHeight="1">
      <c r="A6" s="1389"/>
      <c r="B6" s="1390"/>
      <c r="C6" s="1394"/>
      <c r="D6" s="1392"/>
    </row>
    <row r="7" spans="1:4" ht="18">
      <c r="A7" s="3229" t="s">
        <v>1277</v>
      </c>
      <c r="B7" s="3229"/>
      <c r="C7" s="3229"/>
      <c r="D7" s="3229"/>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31" t="s">
        <v>2735</v>
      </c>
      <c r="B12" s="3232"/>
      <c r="C12" s="3232"/>
      <c r="D12" s="3232"/>
    </row>
    <row r="13" spans="1:4" ht="15.75">
      <c r="A13" s="32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32"/>
      <c r="C13" s="3232"/>
      <c r="D13" s="3232"/>
    </row>
    <row r="14" spans="1:4" ht="30" customHeight="1">
      <c r="A14" s="323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32"/>
      <c r="C14" s="3232"/>
      <c r="D14" s="3232"/>
    </row>
    <row r="15" spans="1:4" ht="15.75" customHeight="1">
      <c r="A15" s="3231" t="str">
        <f>IF(项目基本情况!D4="抵押","4.本次评估估价师所知悉的法定优先受偿款情况说明如下：","——")</f>
        <v>4.本次评估估价师所知悉的法定优先受偿款情况说明如下：</v>
      </c>
      <c r="B15" s="3232"/>
      <c r="C15" s="3232"/>
      <c r="D15" s="3232"/>
    </row>
    <row r="16" spans="1:4" ht="75" customHeight="1">
      <c r="A16" s="323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31"/>
      <c r="C16" s="3231"/>
      <c r="D16" s="3231"/>
    </row>
    <row r="17" spans="1:4" ht="63.75" customHeight="1">
      <c r="A17" s="3233" t="s">
        <v>1285</v>
      </c>
      <c r="B17" s="3233"/>
      <c r="C17" s="3233"/>
      <c r="D17" s="3233"/>
    </row>
    <row r="18" spans="1:4" ht="15.75" customHeight="1">
      <c r="A18" s="3231" t="str">
        <f>IF(项目基本情况!D4="抵押",结果表!L106,"——")</f>
        <v>本次评估不存在估价师所知悉的法定优先受偿款。</v>
      </c>
      <c r="B18" s="3231"/>
      <c r="C18" s="3231"/>
      <c r="D18" s="3231"/>
    </row>
    <row r="19" spans="1:4" ht="46.5" customHeight="1">
      <c r="A19" s="32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31"/>
      <c r="C19" s="3231"/>
      <c r="D19" s="3231"/>
    </row>
    <row r="20" spans="1:4" ht="15">
      <c r="A20" s="3233" t="s">
        <v>2736</v>
      </c>
      <c r="B20" s="3233"/>
      <c r="C20" s="3233"/>
      <c r="D20" s="3233"/>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39" t="s">
        <v>1364</v>
      </c>
      <c r="B15" s="3234" t="s">
        <v>1365</v>
      </c>
      <c r="C15" s="3235"/>
    </row>
    <row r="16" spans="1:7" ht="14.25">
      <c r="A16" s="3240"/>
      <c r="B16" s="3234" t="s">
        <v>1366</v>
      </c>
      <c r="C16" s="3235"/>
    </row>
    <row r="17" spans="1:3" ht="14.25">
      <c r="A17" s="3240"/>
      <c r="B17" s="3234" t="s">
        <v>1367</v>
      </c>
      <c r="C17" s="3235"/>
    </row>
    <row r="18" spans="1:3" ht="14.25">
      <c r="A18" s="3241"/>
      <c r="B18" s="3236" t="s">
        <v>1368</v>
      </c>
      <c r="C18" s="3235"/>
    </row>
    <row r="19" spans="1:3" ht="14.25">
      <c r="A19" s="1412" t="s">
        <v>1369</v>
      </c>
      <c r="B19" s="1413"/>
      <c r="C19" s="1414"/>
    </row>
    <row r="20" spans="1:3" ht="14.25">
      <c r="A20" s="3237" t="s">
        <v>1370</v>
      </c>
      <c r="B20" s="3236" t="s">
        <v>1371</v>
      </c>
      <c r="C20" s="3235"/>
    </row>
    <row r="21" spans="1:3" ht="14.25">
      <c r="A21" s="3237"/>
      <c r="B21" s="3236" t="s">
        <v>1372</v>
      </c>
      <c r="C21" s="3235"/>
    </row>
    <row r="22" spans="1:3" ht="14.25">
      <c r="A22" s="3237"/>
      <c r="B22" s="3236" t="s">
        <v>1373</v>
      </c>
      <c r="C22" s="3235"/>
    </row>
    <row r="23" spans="1:3" ht="14.25">
      <c r="A23" s="3237"/>
      <c r="B23" s="3238" t="s">
        <v>1374</v>
      </c>
      <c r="C23" s="1415" t="s">
        <v>1375</v>
      </c>
    </row>
    <row r="24" spans="1:3" ht="14.25">
      <c r="A24" s="3237"/>
      <c r="B24" s="3238"/>
      <c r="C24" s="1415" t="s">
        <v>1376</v>
      </c>
    </row>
    <row r="25" spans="1:3" ht="14.25">
      <c r="A25" s="3237"/>
      <c r="B25" s="3238"/>
      <c r="C25" s="1415" t="s">
        <v>1377</v>
      </c>
    </row>
    <row r="26" spans="1:3" ht="14.25">
      <c r="A26" s="3237"/>
      <c r="B26" s="3238"/>
      <c r="C26" s="1415" t="s">
        <v>1378</v>
      </c>
    </row>
    <row r="27" spans="1:3" ht="14.25">
      <c r="A27" s="3237"/>
      <c r="B27" s="3238"/>
      <c r="C27" s="1415" t="s">
        <v>1379</v>
      </c>
    </row>
    <row r="28" spans="1:3" ht="14.25">
      <c r="A28" s="3237"/>
      <c r="B28" s="3238"/>
      <c r="C28" s="1415" t="s">
        <v>1380</v>
      </c>
    </row>
    <row r="29" spans="1:3" ht="14.25">
      <c r="A29" s="3237"/>
      <c r="B29" s="3238"/>
      <c r="C29" s="1415" t="s">
        <v>1381</v>
      </c>
    </row>
    <row r="30" spans="1:3" ht="14.25">
      <c r="A30" s="3237"/>
      <c r="B30" s="3238"/>
      <c r="C30" s="1415" t="s">
        <v>1382</v>
      </c>
    </row>
    <row r="31" spans="1:3" ht="14.25">
      <c r="A31" s="3237"/>
      <c r="B31" s="3238"/>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44610</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t="str">
        <f ca="1">IF(C6&lt;B2,"已过期",1120050019)</f>
        <v>已过期</v>
      </c>
      <c r="C6" s="3068">
        <v>44395</v>
      </c>
      <c r="D6" s="3079" t="str">
        <f t="shared" ca="1" si="0"/>
        <v>王鹏（注册号：已过期）</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t="str">
        <f ca="1">IF(C9&lt;B2,"已过期",1120060040)</f>
        <v>已过期</v>
      </c>
      <c r="C9" s="3071">
        <v>44554</v>
      </c>
      <c r="D9" s="3079" t="str">
        <f t="shared" ca="1" si="0"/>
        <v>陈颖（注册号：已过期）</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2711</v>
      </c>
      <c r="B12" s="1301">
        <f ca="1">IF(C12&lt;B2,"已过期",1120040230)</f>
        <v>1120040230</v>
      </c>
      <c r="C12" s="3071">
        <v>44864</v>
      </c>
      <c r="D12" s="3079" t="str">
        <f t="shared" ca="1" si="0"/>
        <v>苏海（注册号：1120040230）</v>
      </c>
      <c r="E12" s="3081" t="s">
        <v>2711</v>
      </c>
      <c r="F12" s="1301">
        <f ca="1">IF(G12&lt;B2,"已过期",98030020)</f>
        <v>98030020</v>
      </c>
      <c r="G12" s="3069">
        <v>47118</v>
      </c>
      <c r="H12" s="3070" t="str">
        <f t="shared" ca="1" si="1"/>
        <v>苏海（注册号：98030020）</v>
      </c>
    </row>
    <row r="13" spans="1:8" ht="24" customHeight="1">
      <c r="A13" s="1301" t="s">
        <v>761</v>
      </c>
      <c r="B13" s="1301" t="str">
        <f ca="1">IF(C13&lt;B2,"已过期",1120020033)</f>
        <v>已过期</v>
      </c>
      <c r="C13" s="3068">
        <v>44339</v>
      </c>
      <c r="D13" s="3079" t="str">
        <f t="shared" ca="1" si="0"/>
        <v>刘敬东（注册号：已过期）</v>
      </c>
      <c r="E13" s="3081" t="s">
        <v>761</v>
      </c>
      <c r="F13" s="1301">
        <f ca="1">IF(G13&lt;B2,"已过期",2000110137)</f>
        <v>2000110137</v>
      </c>
      <c r="G13" s="3069">
        <v>46387</v>
      </c>
      <c r="H13" s="3070" t="str">
        <f t="shared" ca="1" si="1"/>
        <v>刘敬东（注册号：2000110137）</v>
      </c>
    </row>
    <row r="14" spans="1:8" ht="24" customHeight="1">
      <c r="A14" s="1301" t="s">
        <v>2728</v>
      </c>
      <c r="B14" s="1301">
        <f ca="1">IF(C14&lt;B2,"已过期",1119980106)</f>
        <v>1119980106</v>
      </c>
      <c r="C14" s="3071">
        <v>44969</v>
      </c>
      <c r="D14" s="3079" t="str">
        <f t="shared" ca="1" si="0"/>
        <v>刘俊财（注册号：1119980106）</v>
      </c>
      <c r="E14" s="3081" t="s">
        <v>2826</v>
      </c>
      <c r="F14" s="1301">
        <f ca="1">IF(G14&lt;B2,"已过期",96010063)</f>
        <v>96010063</v>
      </c>
      <c r="G14" s="3069">
        <v>47483</v>
      </c>
      <c r="H14" s="3070" t="str">
        <f t="shared" ca="1" si="1"/>
        <v>刘俊财（注册号：96010063）</v>
      </c>
    </row>
    <row r="15" spans="1:8" ht="24" customHeight="1">
      <c r="A15" s="1301"/>
      <c r="B15" s="1301"/>
      <c r="C15" s="3071"/>
      <c r="D15" s="3079" t="str">
        <f t="shared" ref="D15" si="2">A15&amp;"（注册号："&amp;B15&amp;"）"</f>
        <v>（注册号：）</v>
      </c>
      <c r="E15" s="3081" t="s">
        <v>2830</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42" t="s">
        <v>762</v>
      </c>
      <c r="B17" s="3242"/>
      <c r="C17" s="3242"/>
      <c r="D17" s="3242"/>
      <c r="E17" s="3242"/>
      <c r="F17" s="3242"/>
      <c r="G17" s="3242"/>
      <c r="H17" s="3242"/>
    </row>
    <row r="18" spans="1:8" ht="24" customHeight="1">
      <c r="A18" s="3243" t="s">
        <v>763</v>
      </c>
      <c r="B18" s="3243"/>
      <c r="C18" s="3243"/>
      <c r="D18" s="3067"/>
      <c r="E18" s="3244" t="s">
        <v>764</v>
      </c>
      <c r="F18" s="3243"/>
      <c r="G18" s="3243"/>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2827</v>
      </c>
      <c r="B20" s="3074" t="s">
        <v>2828</v>
      </c>
      <c r="C20" s="3069">
        <v>44820</v>
      </c>
      <c r="D20" s="3082"/>
      <c r="E20" s="3084" t="s">
        <v>768</v>
      </c>
      <c r="F20" s="3074" t="s">
        <v>769</v>
      </c>
      <c r="G20" s="3075">
        <v>44377</v>
      </c>
    </row>
    <row r="21" spans="1:8" s="3057" customFormat="1" ht="24" customHeight="1">
      <c r="A21" s="3074"/>
      <c r="B21" s="3074"/>
      <c r="C21" s="3076"/>
      <c r="D21" s="3083"/>
      <c r="E21" s="3084" t="s">
        <v>770</v>
      </c>
      <c r="F21" s="3077" t="s">
        <v>2727</v>
      </c>
      <c r="G21" s="3078">
        <v>44012</v>
      </c>
    </row>
    <row r="22" spans="1:8" ht="24" customHeight="1">
      <c r="C22" s="3060"/>
      <c r="D22" s="3060"/>
      <c r="E22" s="3085"/>
      <c r="F22" s="3086"/>
      <c r="G22" s="3087"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45"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本次估价的“房地产价值”是指在正常市场情况下，在价值时点2021年12月17日，估价对象规划用途为，假定未设立法定优先受偿款下的房地产市场价值。</v>
      </c>
    </row>
    <row r="54" spans="1:4">
      <c r="A54" s="3245"/>
      <c r="B54" s="9" t="s">
        <v>1520</v>
      </c>
      <c r="C54" s="9" t="s">
        <v>1521</v>
      </c>
    </row>
    <row r="55" spans="1:4">
      <c r="A55" s="3245"/>
      <c r="B55" s="9" t="s">
        <v>1522</v>
      </c>
      <c r="C55" s="9" t="s">
        <v>1523</v>
      </c>
    </row>
    <row r="56" spans="1:4">
      <c r="A56" s="3245"/>
      <c r="B56" s="9" t="s">
        <v>1524</v>
      </c>
      <c r="C56" s="9" t="s">
        <v>1525</v>
      </c>
    </row>
    <row r="57" spans="1:4">
      <c r="A57" s="3245"/>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面积清单</vt:lpstr>
      <vt:lpstr>估价对象房地状况</vt:lpstr>
      <vt:lpstr>系统读取表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Sheet1</vt:lpstr>
      <vt:lpstr>结果表</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2021-12-16T09:04:27Z</cp:lastPrinted>
  <dcterms:created xsi:type="dcterms:W3CDTF">2015-07-13T07:17:23Z</dcterms:created>
  <dcterms:modified xsi:type="dcterms:W3CDTF">2022-02-18T08:02:37Z</dcterms:modified>
</cp:coreProperties>
</file>