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C9263B6E-C95A-4624-B3A6-7128881B7DD2}" xr6:coauthVersionLast="47" xr6:coauthVersionMax="47" xr10:uidLastSave="{00000000-0000-0000-0000-000000000000}"/>
  <bookViews>
    <workbookView xWindow="-120" yWindow="-120" windowWidth="21840" windowHeight="13140"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土地案例" sheetId="72"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新房成交" sheetId="80" r:id="rId37"/>
    <sheet name="旭辉天府未来城" sheetId="78" r:id="rId38"/>
    <sheet name="天府映屿" sheetId="81" r:id="rId39"/>
    <sheet name="天府龙智壹号小区" sheetId="76" r:id="rId40"/>
    <sheet name="文旅蓝城·竹里春风" sheetId="79" r:id="rId41"/>
    <sheet name="盛瑞沁源府" sheetId="77" r:id="rId42"/>
    <sheet name="不同区片" sheetId="73" r:id="rId43"/>
    <sheet name="地价指数" sheetId="82" r:id="rId44"/>
    <sheet name="基准地价参考" sheetId="74"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3"/>
    <externalReference r:id="rId54"/>
    <externalReference r:id="rId55"/>
  </externalReferences>
  <definedNames>
    <definedName name="_xlnm._FilterDatabase" localSheetId="21" hidden="1">'比较法-工业'!$A$1:$L$45</definedName>
    <definedName name="_xlnm._FilterDatabase" localSheetId="18"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参照基准">修正!$A$20:$A$53</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区片价!$K$1:$K$21</definedName>
    <definedName name="二级分类">修正!$C$19:$C$53</definedName>
    <definedName name="法定最高年限" localSheetId="42">[1]定义!$G$2:$G$5</definedName>
    <definedName name="法定最高年限">定义!$G$2:$G$5</definedName>
    <definedName name="工业">定义!$AB$2:$AB$12</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服务">定义!$Z$2:$Z$14</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地价!$A$2:$A$41</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区片价!$R$1:$R$51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区片价!$O$1:$O$64</definedName>
    <definedName name="内部装修维护情况" localSheetId="42">[1]定义!$U$1:$U$6</definedName>
    <definedName name="内部装修维护情况">定义!$U$1:$U$6</definedName>
    <definedName name="七级">区片价!$P$1:$P$45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区片价!$L$1:$L$26</definedName>
    <definedName name="商业">定义!$X$2:$X$9</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[1]修正!$C$73:$C$141</definedName>
    <definedName name="商业街名称">修正!$C$73:$C$141</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区片价!$M$1:$M$33</definedName>
    <definedName name="套工工程地质条件" localSheetId="42">'[1]比较法-工业'!$B$115:$M$115</definedName>
    <definedName name="套工工程地质条件">'比较法-工业'!$B$115:$M$115</definedName>
    <definedName name="套工交易情况" localSheetId="42">'[1]比较法-住宅、综合'!$A$74:$M$74</definedName>
    <definedName name="套工交易情况">'比较法-住宅、综合'!$A$74:$M$74</definedName>
    <definedName name="套工开发程度" localSheetId="42">'[1]比较法-工业'!$B$113:$M$113</definedName>
    <definedName name="套工开发程度">'比较法-工业'!$B$113:$M$113</definedName>
    <definedName name="套工临街等级" localSheetId="42">'[1]比较法-工业'!$B$98:$M$98</definedName>
    <definedName name="套工临街等级">'比较法-工业'!$B$98:$M$98</definedName>
    <definedName name="套工土地级别" localSheetId="42">'[1]比较法-工业'!$B$100:$M$100</definedName>
    <definedName name="套工土地级别">'比较法-工业'!$B$100:$M$100</definedName>
    <definedName name="套工用途" localSheetId="42">'[1]比较法-工业'!$B$71:$M$71</definedName>
    <definedName name="套工用途">'比较法-工业'!$B$71:$M$71</definedName>
    <definedName name="套工宗地形状" localSheetId="42">'[1]比较法-工业'!$B$111:$M$111</definedName>
    <definedName name="套工宗地形状">'比较法-工业'!$B$111:$M$111</definedName>
    <definedName name="套综道路等级" localSheetId="42">'[1]比较法-住宅、综合'!$B$107:$M$107</definedName>
    <definedName name="套综道路等级">'比较法-住宅、综合'!$B$107:$M$107</definedName>
    <definedName name="套综工程地质条件" localSheetId="42">'[1]比较法-住宅、综合'!$B$126:$M$126</definedName>
    <definedName name="套综工程地质条件">'比较法-住宅、综合'!$B$126:$M$126</definedName>
    <definedName name="套综交易情况" localSheetId="42">'[1]比较法-住宅、综合'!$A$74:$M$74</definedName>
    <definedName name="套综交易情况">'比较法-住宅、综合'!$A$74:$M$74</definedName>
    <definedName name="套综临街宽度及深度" localSheetId="42">'[1]比较法-住宅、综合'!$B$122:$M$122</definedName>
    <definedName name="套综临街宽度及深度">'比较法-住宅、综合'!$B$122:$M$122</definedName>
    <definedName name="套综土地级别" localSheetId="42">'[1]比较法-住宅、综合'!$B$109:$M$109</definedName>
    <definedName name="套综土地级别">'比较法-住宅、综合'!$B$109:$M$109</definedName>
    <definedName name="套综用途" localSheetId="42">'[1]比较法-住宅、综合'!$B$76:$M$76</definedName>
    <definedName name="套综用途">'比较法-住宅、综合'!$B$76:$M$76</definedName>
    <definedName name="套综宗地内开发程度" localSheetId="42">'[1]比较法-住宅、综合'!$B$124:$M$124</definedName>
    <definedName name="套综宗地内开发程度">'比较法-住宅、综合'!$B$124:$M$124</definedName>
    <definedName name="套综宗地形状" localSheetId="42">'[1]比较法-住宅、综合'!$B$120:$M$120</definedName>
    <definedName name="套综宗地形状">'比较法-住宅、综合'!$B$120:$M$120</definedName>
    <definedName name="土地估价师" localSheetId="42">[1]估价师及机构信息!$D$3:$D$17</definedName>
    <definedName name="土地估价师">估价师及机构信息!$D$3:$D$17</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区片价!$N$1:$N$41</definedName>
    <definedName name="项目类型" localSheetId="34">'[2]数据-汇总表'!$C$17:$C$26</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区片价!$J$1:$J$6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[1]定义!$F$1:$F$12</definedName>
    <definedName name="主用途">定义!$F$1:$F$12</definedName>
    <definedName name="住宅">定义!$AA$2</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M20" i="1" l="1"/>
  <c r="M21" i="1" s="1"/>
  <c r="R101" i="82"/>
  <c r="R26" i="82"/>
  <c r="R27" i="82"/>
  <c r="R28" i="82"/>
  <c r="R32" i="82"/>
  <c r="R33" i="82"/>
  <c r="R34" i="82"/>
  <c r="R35" i="82"/>
  <c r="R39" i="82"/>
  <c r="R40" i="82"/>
  <c r="R41" i="82"/>
  <c r="R42" i="82"/>
  <c r="R46" i="82"/>
  <c r="R47" i="82"/>
  <c r="R48" i="82"/>
  <c r="R49" i="82"/>
  <c r="R53" i="82"/>
  <c r="R54" i="82"/>
  <c r="R55" i="82"/>
  <c r="R56" i="82"/>
  <c r="R60" i="82"/>
  <c r="R61" i="82"/>
  <c r="R62" i="82"/>
  <c r="R63" i="82"/>
  <c r="R67" i="82"/>
  <c r="R68" i="82"/>
  <c r="R69" i="82"/>
  <c r="R70" i="82"/>
  <c r="R74" i="82"/>
  <c r="R75" i="82"/>
  <c r="R76" i="82"/>
  <c r="R77" i="82"/>
  <c r="R81" i="82"/>
  <c r="R82" i="82"/>
  <c r="R83" i="82"/>
  <c r="R84" i="82"/>
  <c r="R88" i="82"/>
  <c r="R89" i="82"/>
  <c r="R90" i="82"/>
  <c r="R91" i="82"/>
  <c r="R95" i="82"/>
  <c r="R96" i="82"/>
  <c r="R97" i="82"/>
  <c r="R98" i="82"/>
  <c r="R12" i="82"/>
  <c r="R13" i="82"/>
  <c r="R14" i="82"/>
  <c r="R18" i="82"/>
  <c r="R19" i="82"/>
  <c r="R20" i="82"/>
  <c r="R21" i="82"/>
  <c r="R25" i="82"/>
  <c r="R11" i="82"/>
  <c r="Q3" i="82"/>
  <c r="Q5" i="82"/>
  <c r="Q6" i="82"/>
  <c r="Q7" i="82"/>
  <c r="Q8" i="82"/>
  <c r="Q9" i="82"/>
  <c r="Q10" i="82"/>
  <c r="Q11" i="82"/>
  <c r="Q12" i="82"/>
  <c r="Q13" i="82"/>
  <c r="Q14" i="82"/>
  <c r="Q15" i="82"/>
  <c r="Q16" i="82"/>
  <c r="Q17" i="82"/>
  <c r="Q18" i="82"/>
  <c r="Q19" i="82"/>
  <c r="Q20" i="82"/>
  <c r="Q21" i="82"/>
  <c r="Q22" i="82"/>
  <c r="Q23" i="82"/>
  <c r="Q24" i="82"/>
  <c r="Q25" i="82"/>
  <c r="Q26" i="82"/>
  <c r="Q27" i="82"/>
  <c r="Q28" i="82"/>
  <c r="Q29" i="82"/>
  <c r="Q30" i="82"/>
  <c r="Q31" i="82"/>
  <c r="Q32" i="82"/>
  <c r="Q33" i="82"/>
  <c r="Q34" i="82"/>
  <c r="Q35" i="82"/>
  <c r="Q36" i="82"/>
  <c r="Q37" i="82"/>
  <c r="Q38" i="82"/>
  <c r="Q39" i="82"/>
  <c r="Q40" i="82"/>
  <c r="Q41" i="82"/>
  <c r="Q42" i="82"/>
  <c r="Q43" i="82"/>
  <c r="Q44" i="82"/>
  <c r="Q45" i="82"/>
  <c r="Q46" i="82"/>
  <c r="Q47" i="82"/>
  <c r="Q48" i="82"/>
  <c r="Q49" i="82"/>
  <c r="Q50" i="82"/>
  <c r="Q51" i="82"/>
  <c r="Q52" i="82"/>
  <c r="Q53" i="82"/>
  <c r="Q54" i="82"/>
  <c r="Q55" i="82"/>
  <c r="Q56" i="82"/>
  <c r="Q57" i="82"/>
  <c r="Q58" i="82"/>
  <c r="Q59" i="82"/>
  <c r="Q60" i="82"/>
  <c r="Q61" i="82"/>
  <c r="Q62" i="82"/>
  <c r="Q63" i="82"/>
  <c r="Q64" i="82"/>
  <c r="Q65" i="82"/>
  <c r="Q66" i="82"/>
  <c r="Q67" i="82"/>
  <c r="Q68" i="82"/>
  <c r="Q69" i="82"/>
  <c r="Q70" i="82"/>
  <c r="Q71" i="82"/>
  <c r="Q72" i="82"/>
  <c r="Q73" i="82"/>
  <c r="Q74" i="82"/>
  <c r="Q75" i="82"/>
  <c r="Q76" i="82"/>
  <c r="Q77" i="82"/>
  <c r="Q78" i="82"/>
  <c r="Q79" i="82"/>
  <c r="Q80" i="82"/>
  <c r="Q81" i="82"/>
  <c r="Q82" i="82"/>
  <c r="Q83" i="82"/>
  <c r="Q84" i="82"/>
  <c r="Q85" i="82"/>
  <c r="Q86" i="82"/>
  <c r="Q87" i="82"/>
  <c r="Q88" i="82"/>
  <c r="Q89" i="82"/>
  <c r="Q90" i="82"/>
  <c r="Q91" i="82"/>
  <c r="Q92" i="82"/>
  <c r="Q93" i="82"/>
  <c r="Q94" i="82"/>
  <c r="Q95" i="82"/>
  <c r="Q96" i="82"/>
  <c r="Q97" i="82"/>
  <c r="Q98" i="82"/>
  <c r="Q99" i="82"/>
  <c r="Q100" i="82"/>
  <c r="Q4" i="82"/>
  <c r="O19" i="1"/>
  <c r="M19" i="1"/>
  <c r="V23" i="1"/>
  <c r="V22" i="1"/>
  <c r="V20" i="1"/>
  <c r="V21" i="1"/>
  <c r="O20" i="1" l="1"/>
  <c r="O21" i="1" s="1"/>
  <c r="L6" i="1" s="1"/>
  <c r="L7" i="1" s="1"/>
  <c r="I47" i="21"/>
  <c r="G47" i="21"/>
  <c r="E47" i="21"/>
  <c r="E16" i="81"/>
  <c r="D16" i="81" s="1"/>
  <c r="C16" i="81"/>
  <c r="C33" i="21"/>
  <c r="K14" i="3" l="1"/>
  <c r="I13" i="3"/>
  <c r="I7" i="21"/>
  <c r="G7" i="21"/>
  <c r="E7" i="21"/>
  <c r="E16" i="79"/>
  <c r="D16" i="79" s="1"/>
  <c r="C16" i="79"/>
  <c r="E16" i="76"/>
  <c r="D16" i="76" s="1"/>
  <c r="C16" i="76"/>
  <c r="E16" i="77"/>
  <c r="D16" i="77" s="1"/>
  <c r="C16" i="77"/>
  <c r="D16" i="78"/>
  <c r="C16" i="78"/>
  <c r="E16" i="78"/>
  <c r="B11" i="74"/>
  <c r="B7" i="74"/>
  <c r="B8" i="74"/>
  <c r="B10" i="74" l="1"/>
  <c r="B5" i="74"/>
  <c r="O71" i="39" l="1"/>
  <c r="P71" i="39"/>
  <c r="Q71" i="39"/>
  <c r="O69" i="39"/>
  <c r="P69" i="39" s="1"/>
  <c r="Q69" i="39" s="1"/>
  <c r="D72" i="39"/>
  <c r="E72" i="39" s="1"/>
  <c r="F72" i="39" s="1"/>
  <c r="G72" i="39" s="1"/>
  <c r="H72" i="39" s="1"/>
  <c r="I72" i="39" s="1"/>
  <c r="J72" i="39" s="1"/>
  <c r="K72" i="39" s="1"/>
  <c r="L72" i="39" s="1"/>
  <c r="M72" i="39" s="1"/>
  <c r="N72" i="39" s="1"/>
  <c r="O72" i="39" s="1"/>
  <c r="P72" i="39" s="1"/>
  <c r="Q72" i="39" s="1"/>
  <c r="I48" i="39"/>
  <c r="G48" i="39"/>
  <c r="I40" i="39"/>
  <c r="G40" i="39"/>
  <c r="I9" i="39"/>
  <c r="G9" i="39"/>
  <c r="I7" i="39"/>
  <c r="G7" i="39"/>
  <c r="E48" i="39"/>
  <c r="E40" i="39"/>
  <c r="E9" i="39"/>
  <c r="E7" i="39"/>
  <c r="B55" i="1"/>
  <c r="B56" i="1"/>
  <c r="B57" i="1"/>
  <c r="B54" i="1"/>
  <c r="F20" i="6"/>
  <c r="F19" i="6"/>
  <c r="D3" i="4" l="1"/>
  <c r="E27" i="49" l="1"/>
  <c r="G14" i="65" l="1"/>
  <c r="F14" i="65"/>
  <c r="E14" i="65"/>
  <c r="AR34" i="70" l="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B35" i="70"/>
  <c r="AA35" i="70"/>
  <c r="Z35" i="70"/>
  <c r="N35" i="70"/>
  <c r="M35" i="70"/>
  <c r="P35" i="70" s="1"/>
  <c r="L35" i="70"/>
  <c r="I35" i="70"/>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7" i="70" l="1"/>
  <c r="AR8" i="70" s="1"/>
  <c r="AR35" i="70"/>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3" i="70" l="1"/>
  <c r="T34" i="70"/>
  <c r="T35" i="70"/>
  <c r="U33" i="70"/>
  <c r="AI33" i="70" s="1"/>
  <c r="U35" i="70"/>
  <c r="AI35" i="70" s="1"/>
  <c r="U34" i="70"/>
  <c r="AI34" i="70" s="1"/>
  <c r="Z3" i="70"/>
  <c r="AR18" i="70"/>
  <c r="AR19" i="70" s="1"/>
  <c r="AR20" i="70" s="1"/>
  <c r="AR21" i="70" s="1"/>
  <c r="AR22" i="70" s="1"/>
  <c r="AR23" i="70" s="1"/>
  <c r="AR24" i="70" s="1"/>
  <c r="AD39" i="70"/>
  <c r="AD35" i="70"/>
  <c r="AD38" i="70"/>
  <c r="AD37" i="70"/>
  <c r="AD34"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AH34" i="70"/>
  <c r="W34" i="70"/>
  <c r="AK34" i="70" s="1"/>
  <c r="AH33" i="70"/>
  <c r="W33" i="70"/>
  <c r="AK33"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X33" i="59" s="1"/>
  <c r="Q32" i="59"/>
  <c r="P32" i="59"/>
  <c r="AA32" i="59" s="1"/>
  <c r="O32" i="59"/>
  <c r="N32" i="59"/>
  <c r="X32" i="59" s="1"/>
  <c r="Q31" i="59"/>
  <c r="P31" i="59"/>
  <c r="AA31" i="59" s="1"/>
  <c r="O31" i="59"/>
  <c r="N31" i="59"/>
  <c r="Q30" i="59"/>
  <c r="F31" i="59"/>
  <c r="F32" i="59" s="1"/>
  <c r="F33" i="59" s="1"/>
  <c r="V33" i="59" s="1"/>
  <c r="P30" i="59"/>
  <c r="O30" i="59"/>
  <c r="N30" i="59"/>
  <c r="D30" i="59"/>
  <c r="AA27" i="59"/>
  <c r="AB3" i="59"/>
  <c r="E31" i="59"/>
  <c r="E32" i="59" s="1"/>
  <c r="E33" i="59" s="1"/>
  <c r="U33" i="59" s="1"/>
  <c r="S69" i="59"/>
  <c r="AA40" i="59"/>
  <c r="F48" i="59"/>
  <c r="F49" i="59" s="1"/>
  <c r="V49" i="59" s="1"/>
  <c r="F64" i="59"/>
  <c r="F65" i="59" s="1"/>
  <c r="V65" i="59" s="1"/>
  <c r="D47" i="59"/>
  <c r="C52" i="59"/>
  <c r="C53" i="59" s="1"/>
  <c r="C60" i="59"/>
  <c r="D60" i="59" s="1"/>
  <c r="D59" i="59"/>
  <c r="Q68" i="59"/>
  <c r="O69" i="59"/>
  <c r="C68" i="59"/>
  <c r="D68" i="59" s="1"/>
  <c r="P69" i="59"/>
  <c r="U69" i="59"/>
  <c r="C72" i="59"/>
  <c r="C71" i="59" s="1"/>
  <c r="D71" i="59" s="1"/>
  <c r="E72" i="59"/>
  <c r="E71" i="59"/>
  <c r="D73" i="59"/>
  <c r="C76" i="59"/>
  <c r="D76" i="59" s="1"/>
  <c r="C80" i="59"/>
  <c r="D80" i="59" s="1"/>
  <c r="E80" i="59"/>
  <c r="E79" i="59"/>
  <c r="D81" i="59"/>
  <c r="C84" i="59"/>
  <c r="D84" i="59" s="1"/>
  <c r="C88" i="59"/>
  <c r="U16" i="4"/>
  <c r="S16" i="4"/>
  <c r="Q16" i="4"/>
  <c r="O16" i="4"/>
  <c r="M16" i="4"/>
  <c r="K16" i="4"/>
  <c r="D88" i="59"/>
  <c r="C87" i="59"/>
  <c r="D87" i="59" s="1"/>
  <c r="D72" i="59"/>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s="1"/>
  <c r="F83" i="21" s="1"/>
  <c r="G83" i="21" s="1"/>
  <c r="C21" i="21"/>
  <c r="Q27" i="40"/>
  <c r="Z27" i="40" s="1"/>
  <c r="D95" i="40"/>
  <c r="E95" i="40" s="1"/>
  <c r="F95" i="40" s="1"/>
  <c r="F27" i="40"/>
  <c r="AA27" i="40" s="1"/>
  <c r="Q31" i="39"/>
  <c r="Z31" i="39" s="1"/>
  <c r="D104" i="39"/>
  <c r="E104" i="39" s="1"/>
  <c r="F104" i="39" s="1"/>
  <c r="F31" i="39"/>
  <c r="AA31" i="39" s="1"/>
  <c r="G20" i="20"/>
  <c r="C27" i="40" s="1"/>
  <c r="C22" i="20"/>
  <c r="B100" i="46" s="1"/>
  <c r="S18" i="36"/>
  <c r="S18" i="35"/>
  <c r="C31" i="39"/>
  <c r="B57" i="46"/>
  <c r="E66" i="36"/>
  <c r="H18" i="35"/>
  <c r="J18" i="35"/>
  <c r="H21" i="37"/>
  <c r="J21" i="37"/>
  <c r="E84" i="34"/>
  <c r="F84" i="34" s="1"/>
  <c r="G84" i="34" s="1"/>
  <c r="J21" i="34"/>
  <c r="H21" i="34"/>
  <c r="F21" i="33"/>
  <c r="H21" i="33"/>
  <c r="J21" i="33"/>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A14" i="3" s="1"/>
  <c r="AZ14"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c r="H14" i="3"/>
  <c r="G14" i="3" s="1"/>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L510" i="3" s="1"/>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E113" i="33" s="1"/>
  <c r="F113" i="33" s="1"/>
  <c r="G113" i="33" s="1"/>
  <c r="H113" i="33" s="1"/>
  <c r="I113" i="33" s="1"/>
  <c r="J113" i="33" s="1"/>
  <c r="K113" i="33" s="1"/>
  <c r="L113" i="33" s="1"/>
  <c r="M113" i="33" s="1"/>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F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AA27" i="37" s="1"/>
  <c r="B82" i="37"/>
  <c r="D79" i="37"/>
  <c r="E79" i="37" s="1"/>
  <c r="F79" i="37" s="1"/>
  <c r="G79" i="37" s="1"/>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Q25" i="37"/>
  <c r="Z25" i="37" s="1"/>
  <c r="J25" i="37"/>
  <c r="W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F62" i="36" s="1"/>
  <c r="G62" i="36" s="1"/>
  <c r="B59" i="36"/>
  <c r="J13" i="36" s="1"/>
  <c r="W13" i="36" s="1"/>
  <c r="B57" i="36"/>
  <c r="J12" i="36"/>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AB8" i="36" s="1"/>
  <c r="U8" i="36"/>
  <c r="F8" i="36"/>
  <c r="AA8" i="36"/>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s="1"/>
  <c r="B101" i="35"/>
  <c r="H36" i="35" s="1"/>
  <c r="B99" i="35"/>
  <c r="H35" i="35" s="1"/>
  <c r="U35" i="35" s="1"/>
  <c r="B97" i="35"/>
  <c r="B77" i="35"/>
  <c r="F25" i="35" s="1"/>
  <c r="AA25" i="35" s="1"/>
  <c r="B75" i="35"/>
  <c r="J24" i="35" s="1"/>
  <c r="AC24" i="35" s="1"/>
  <c r="B73" i="35"/>
  <c r="B57" i="35"/>
  <c r="B61" i="35"/>
  <c r="F13" i="35" s="1"/>
  <c r="S13" i="35" s="1"/>
  <c r="B59" i="35"/>
  <c r="H12" i="35" s="1"/>
  <c r="B131" i="34"/>
  <c r="B129" i="34"/>
  <c r="B127" i="34"/>
  <c r="F45" i="34" s="1"/>
  <c r="AA45" i="34" s="1"/>
  <c r="B99" i="34"/>
  <c r="B97" i="34"/>
  <c r="H31" i="34" s="1"/>
  <c r="AB31" i="34" s="1"/>
  <c r="B95" i="34"/>
  <c r="H30" i="34" s="1"/>
  <c r="AB30" i="34" s="1"/>
  <c r="B93" i="34"/>
  <c r="J29" i="34" s="1"/>
  <c r="AC29" i="34" s="1"/>
  <c r="B75" i="34"/>
  <c r="B73" i="34"/>
  <c r="B71" i="34"/>
  <c r="B130" i="33"/>
  <c r="H46" i="33" s="1"/>
  <c r="AB46" i="33" s="1"/>
  <c r="B128" i="33"/>
  <c r="H45" i="33"/>
  <c r="U45" i="33" s="1"/>
  <c r="B126" i="33"/>
  <c r="B98" i="33"/>
  <c r="B96" i="33"/>
  <c r="F30" i="33" s="1"/>
  <c r="S30" i="33" s="1"/>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s="1"/>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F27" i="33" s="1"/>
  <c r="S27" i="33" s="1"/>
  <c r="D87" i="33"/>
  <c r="E87" i="33"/>
  <c r="D85" i="33"/>
  <c r="E85" i="33" s="1"/>
  <c r="F85" i="33" s="1"/>
  <c r="G85" i="33" s="1"/>
  <c r="D81" i="33"/>
  <c r="E81" i="33"/>
  <c r="F81" i="33" s="1"/>
  <c r="G81" i="33" s="1"/>
  <c r="D79" i="33"/>
  <c r="E79" i="33" s="1"/>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c r="J40" i="33"/>
  <c r="H40" i="33"/>
  <c r="AA40" i="33"/>
  <c r="Q39" i="33"/>
  <c r="Z39" i="33" s="1"/>
  <c r="J39" i="33"/>
  <c r="AC39" i="33"/>
  <c r="Q38" i="33"/>
  <c r="Z38" i="33" s="1"/>
  <c r="J38" i="33"/>
  <c r="H38" i="33"/>
  <c r="AB38" i="33" s="1"/>
  <c r="F38" i="33"/>
  <c r="AA38" i="33"/>
  <c r="Q37" i="33"/>
  <c r="Z37" i="33" s="1"/>
  <c r="Q36" i="33"/>
  <c r="Z36" i="33" s="1"/>
  <c r="Q35" i="33"/>
  <c r="Z35" i="33" s="1"/>
  <c r="H35" i="33"/>
  <c r="AB35" i="33"/>
  <c r="Q34" i="33"/>
  <c r="Z34" i="33" s="1"/>
  <c r="Q33" i="33"/>
  <c r="Z33" i="33" s="1"/>
  <c r="J33" i="33"/>
  <c r="AC33" i="33" s="1"/>
  <c r="H33" i="33"/>
  <c r="AB33" i="33"/>
  <c r="F33" i="33"/>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Q11" i="33"/>
  <c r="Z11" i="33" s="1"/>
  <c r="Q10" i="33"/>
  <c r="Z10" i="33" s="1"/>
  <c r="Q9" i="33"/>
  <c r="Z9" i="33"/>
  <c r="J8" i="33"/>
  <c r="W8" i="33" s="1"/>
  <c r="H8" i="33"/>
  <c r="AB8" i="33" s="1"/>
  <c r="F8" i="33"/>
  <c r="M102" i="21"/>
  <c r="D102" i="21"/>
  <c r="E102" i="21"/>
  <c r="F102" i="21"/>
  <c r="G102" i="21"/>
  <c r="H102" i="21"/>
  <c r="I102" i="21"/>
  <c r="J102" i="21"/>
  <c r="K102" i="21"/>
  <c r="L102" i="21"/>
  <c r="C102" i="21"/>
  <c r="C63" i="21"/>
  <c r="G18" i="20"/>
  <c r="B90" i="46" s="1"/>
  <c r="C25" i="40"/>
  <c r="G16" i="20"/>
  <c r="C19" i="40" s="1"/>
  <c r="G15" i="20"/>
  <c r="B83" i="46" s="1"/>
  <c r="C24" i="20"/>
  <c r="B75" i="46" s="1"/>
  <c r="C21" i="20"/>
  <c r="C29" i="39"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D85" i="21"/>
  <c r="E85" i="21" s="1"/>
  <c r="D81" i="21"/>
  <c r="E81" i="21" s="1"/>
  <c r="D77" i="21"/>
  <c r="E77" i="21" s="1"/>
  <c r="B130" i="21"/>
  <c r="F46" i="21" s="1"/>
  <c r="B128" i="21"/>
  <c r="B126" i="21"/>
  <c r="B98" i="21"/>
  <c r="F31" i="21" s="1"/>
  <c r="S31" i="21" s="1"/>
  <c r="B96" i="21"/>
  <c r="B94" i="21"/>
  <c r="B92" i="21"/>
  <c r="J28" i="21" s="1"/>
  <c r="AC28" i="21" s="1"/>
  <c r="B90" i="21"/>
  <c r="H27" i="21" s="1"/>
  <c r="AB27" i="21" s="1"/>
  <c r="B74" i="21"/>
  <c r="J14" i="21" s="1"/>
  <c r="B72" i="21"/>
  <c r="B70" i="21"/>
  <c r="H12" i="21" s="1"/>
  <c r="U12" i="21" s="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Q35" i="21"/>
  <c r="Z35" i="21" s="1"/>
  <c r="Q36" i="21"/>
  <c r="Z36" i="21" s="1"/>
  <c r="Q37" i="21"/>
  <c r="Z37" i="21"/>
  <c r="J38" i="21"/>
  <c r="W38" i="21" s="1"/>
  <c r="Q38" i="21"/>
  <c r="Z38" i="21" s="1"/>
  <c r="J39" i="21"/>
  <c r="AC39" i="21" s="1"/>
  <c r="Q39" i="21"/>
  <c r="Z39" i="2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S8" i="21" s="1"/>
  <c r="AA8" i="21"/>
  <c r="E13" i="11"/>
  <c r="E12" i="11"/>
  <c r="C9" i="12"/>
  <c r="BB12" i="3"/>
  <c r="F9" i="12"/>
  <c r="D9" i="12"/>
  <c r="E9" i="12"/>
  <c r="G9" i="12"/>
  <c r="K5" i="3"/>
  <c r="J5" i="3"/>
  <c r="BE10" i="3"/>
  <c r="BD13" i="3"/>
  <c r="BD5" i="3" s="1"/>
  <c r="BE13" i="3"/>
  <c r="BF13" i="3"/>
  <c r="BG13" i="3"/>
  <c r="BH13" i="3"/>
  <c r="BI13" i="3"/>
  <c r="BJ13" i="3"/>
  <c r="BK13" i="3"/>
  <c r="BM13" i="3"/>
  <c r="BM5" i="3" s="1"/>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U38" i="21" s="1"/>
  <c r="H43" i="21"/>
  <c r="AB43" i="21" s="1"/>
  <c r="F32" i="21"/>
  <c r="AA32" i="21" s="1"/>
  <c r="F38" i="21"/>
  <c r="S38" i="21" s="1"/>
  <c r="F36" i="21"/>
  <c r="S36" i="21" s="1"/>
  <c r="F39" i="21"/>
  <c r="AA39" i="21" s="1"/>
  <c r="J40" i="21"/>
  <c r="W40" i="21" s="1"/>
  <c r="H35" i="21"/>
  <c r="AB35" i="21" s="1"/>
  <c r="J8" i="21"/>
  <c r="AC8" i="21" s="1"/>
  <c r="H8" i="21"/>
  <c r="U8" i="21" s="1"/>
  <c r="H9" i="21"/>
  <c r="AB9" i="21" s="1"/>
  <c r="H10" i="21"/>
  <c r="U10" i="21" s="1"/>
  <c r="H39" i="21"/>
  <c r="J34" i="21"/>
  <c r="W34" i="21" s="1"/>
  <c r="H36" i="21"/>
  <c r="U36" i="21" s="1"/>
  <c r="F35" i="21"/>
  <c r="AA35" i="21" s="1"/>
  <c r="J33" i="21"/>
  <c r="W33" i="21" s="1"/>
  <c r="H33" i="21"/>
  <c r="U33" i="21" s="1"/>
  <c r="F33" i="21"/>
  <c r="AA33" i="21" s="1"/>
  <c r="J10" i="21"/>
  <c r="AC10" i="21" s="1"/>
  <c r="H26" i="21"/>
  <c r="J12" i="21"/>
  <c r="W12" i="21" s="1"/>
  <c r="J26" i="21"/>
  <c r="W26" i="21" s="1"/>
  <c r="F26" i="21"/>
  <c r="AA26" i="21" s="1"/>
  <c r="AB41" i="21"/>
  <c r="S41" i="21"/>
  <c r="AA41" i="21"/>
  <c r="W41" i="21"/>
  <c r="S10" i="39"/>
  <c r="E103" i="37"/>
  <c r="F103" i="37" s="1"/>
  <c r="G103" i="37" s="1"/>
  <c r="H103" i="37" s="1"/>
  <c r="I103" i="37" s="1"/>
  <c r="J103" i="37" s="1"/>
  <c r="K103" i="37" s="1"/>
  <c r="L103" i="37" s="1"/>
  <c r="M103" i="37" s="1"/>
  <c r="F39" i="37"/>
  <c r="S39" i="37" s="1"/>
  <c r="F29" i="36"/>
  <c r="AA29" i="36"/>
  <c r="F16" i="36"/>
  <c r="AA16" i="36" s="1"/>
  <c r="U22" i="36"/>
  <c r="W23" i="36"/>
  <c r="W22" i="36"/>
  <c r="AC31" i="36"/>
  <c r="J33" i="36"/>
  <c r="W24" i="35"/>
  <c r="S31" i="35"/>
  <c r="W31" i="35"/>
  <c r="F36" i="34"/>
  <c r="S36" i="34" s="1"/>
  <c r="W39" i="34"/>
  <c r="H39" i="33"/>
  <c r="AB39" i="33" s="1"/>
  <c r="U33" i="33"/>
  <c r="S40" i="33"/>
  <c r="U38" i="33"/>
  <c r="AB27" i="35"/>
  <c r="W10" i="40"/>
  <c r="U11" i="40"/>
  <c r="U36" i="40"/>
  <c r="U36" i="39"/>
  <c r="H32" i="33"/>
  <c r="AB32" i="33"/>
  <c r="F85" i="40"/>
  <c r="G85" i="40" s="1"/>
  <c r="J27" i="36"/>
  <c r="W27" i="36" s="1"/>
  <c r="J34" i="36"/>
  <c r="W34" i="36"/>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c r="H16" i="35"/>
  <c r="U16" i="35"/>
  <c r="H33" i="35"/>
  <c r="AB33" i="35" s="1"/>
  <c r="AC8" i="35"/>
  <c r="F35" i="37"/>
  <c r="E101" i="37"/>
  <c r="F101" i="37" s="1"/>
  <c r="G101" i="37" s="1"/>
  <c r="H101" i="37" s="1"/>
  <c r="I101" i="37" s="1"/>
  <c r="J101" i="37" s="1"/>
  <c r="K101" i="37" s="1"/>
  <c r="L101" i="37" s="1"/>
  <c r="M101" i="37" s="1"/>
  <c r="J34" i="37"/>
  <c r="W34" i="37"/>
  <c r="AA39" i="37"/>
  <c r="H43" i="34"/>
  <c r="AB43" i="34" s="1"/>
  <c r="U42" i="34"/>
  <c r="E114" i="34"/>
  <c r="H36" i="34"/>
  <c r="U36" i="34" s="1"/>
  <c r="F37" i="34"/>
  <c r="F33" i="34"/>
  <c r="S33" i="34" s="1"/>
  <c r="AA28" i="34"/>
  <c r="F19" i="34"/>
  <c r="AA19" i="34" s="1"/>
  <c r="J10" i="34"/>
  <c r="AC10" i="34" s="1"/>
  <c r="W8" i="34"/>
  <c r="J28" i="34"/>
  <c r="W28" i="34" s="1"/>
  <c r="S38" i="33"/>
  <c r="F36" i="33"/>
  <c r="S36" i="33" s="1"/>
  <c r="F19" i="33"/>
  <c r="S19" i="33"/>
  <c r="J19" i="33"/>
  <c r="F125" i="21"/>
  <c r="G125" i="21" s="1"/>
  <c r="AB30" i="36"/>
  <c r="AC34" i="36"/>
  <c r="S22" i="35"/>
  <c r="H29" i="35"/>
  <c r="U29" i="35" s="1"/>
  <c r="U34" i="37"/>
  <c r="S34" i="37"/>
  <c r="AA34" i="37"/>
  <c r="AC43" i="34"/>
  <c r="AB42" i="34"/>
  <c r="J19" i="34"/>
  <c r="AC19" i="34" s="1"/>
  <c r="H37" i="33"/>
  <c r="AB37" i="33" s="1"/>
  <c r="S37" i="33"/>
  <c r="W43" i="34"/>
  <c r="AC42" i="34"/>
  <c r="W42" i="34"/>
  <c r="AA42" i="34"/>
  <c r="S42" i="34"/>
  <c r="AA38" i="34"/>
  <c r="S38" i="34"/>
  <c r="J37" i="33"/>
  <c r="W37" i="33" s="1"/>
  <c r="J42" i="21"/>
  <c r="AC42" i="21" s="1"/>
  <c r="J44" i="34"/>
  <c r="AC44" i="34" s="1"/>
  <c r="F44" i="34"/>
  <c r="S44" i="34" s="1"/>
  <c r="J10" i="35"/>
  <c r="W10" i="35" s="1"/>
  <c r="AL5" i="3"/>
  <c r="BQ13" i="3"/>
  <c r="F14" i="21"/>
  <c r="AA14" i="21" s="1"/>
  <c r="H14" i="21"/>
  <c r="U14" i="21" s="1"/>
  <c r="H28" i="21"/>
  <c r="AB28" i="21" s="1"/>
  <c r="F28" i="21"/>
  <c r="AA28" i="21" s="1"/>
  <c r="H30" i="21"/>
  <c r="U30" i="21" s="1"/>
  <c r="F30" i="21"/>
  <c r="S30" i="21" s="1"/>
  <c r="J30" i="21"/>
  <c r="W30" i="21" s="1"/>
  <c r="H44" i="21"/>
  <c r="U44" i="21" s="1"/>
  <c r="H46" i="21"/>
  <c r="AB46" i="21" s="1"/>
  <c r="J46" i="21"/>
  <c r="W46" i="21" s="1"/>
  <c r="AA46" i="21"/>
  <c r="H26" i="33"/>
  <c r="U26" i="33" s="1"/>
  <c r="H28" i="33"/>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F27" i="21"/>
  <c r="AA27" i="21" s="1"/>
  <c r="J29" i="21"/>
  <c r="AC29" i="21" s="1"/>
  <c r="H29" i="21"/>
  <c r="U29" i="21" s="1"/>
  <c r="F29" i="21"/>
  <c r="S29" i="21" s="1"/>
  <c r="J31" i="21"/>
  <c r="AC31" i="21" s="1"/>
  <c r="J45" i="21"/>
  <c r="W45" i="21" s="1"/>
  <c r="F45" i="21"/>
  <c r="AA45" i="21" s="1"/>
  <c r="H45" i="21"/>
  <c r="U45" i="21" s="1"/>
  <c r="F13" i="33"/>
  <c r="S13" i="33" s="1"/>
  <c r="J29" i="33"/>
  <c r="W29" i="33" s="1"/>
  <c r="H31" i="33"/>
  <c r="U31" i="33" s="1"/>
  <c r="J45" i="33"/>
  <c r="W45" i="33" s="1"/>
  <c r="F45" i="33"/>
  <c r="S45" i="33"/>
  <c r="H28" i="36"/>
  <c r="U28" i="36" s="1"/>
  <c r="H32" i="36"/>
  <c r="AB32" i="36" s="1"/>
  <c r="J32" i="36"/>
  <c r="H13" i="36"/>
  <c r="AB13" i="36" s="1"/>
  <c r="F13" i="36"/>
  <c r="S13" i="36" s="1"/>
  <c r="E89" i="37"/>
  <c r="F89" i="37" s="1"/>
  <c r="G89" i="37" s="1"/>
  <c r="H89" i="37" s="1"/>
  <c r="I89" i="37" s="1"/>
  <c r="J89" i="37" s="1"/>
  <c r="K89" i="37" s="1"/>
  <c r="L89" i="37" s="1"/>
  <c r="M89" i="37" s="1"/>
  <c r="J29" i="37"/>
  <c r="W29" i="37" s="1"/>
  <c r="F29" i="37"/>
  <c r="AA29" i="37"/>
  <c r="F105" i="37"/>
  <c r="AB36" i="37"/>
  <c r="J37" i="37"/>
  <c r="H37" i="37"/>
  <c r="U37" i="37" s="1"/>
  <c r="J40" i="37"/>
  <c r="F40" i="37"/>
  <c r="AA40" i="37"/>
  <c r="J30" i="33"/>
  <c r="W30" i="33" s="1"/>
  <c r="J46" i="33"/>
  <c r="AC46" i="33" s="1"/>
  <c r="F46" i="33"/>
  <c r="AA46" i="33" s="1"/>
  <c r="H13" i="34"/>
  <c r="U13" i="34" s="1"/>
  <c r="J13" i="34"/>
  <c r="W13" i="34" s="1"/>
  <c r="F13" i="34"/>
  <c r="AA13" i="34" s="1"/>
  <c r="F29" i="34"/>
  <c r="S29" i="34" s="1"/>
  <c r="H29" i="34"/>
  <c r="U29" i="34" s="1"/>
  <c r="J31" i="34"/>
  <c r="W31" i="34" s="1"/>
  <c r="F31" i="34"/>
  <c r="S31" i="34" s="1"/>
  <c r="H45" i="34"/>
  <c r="J45" i="34"/>
  <c r="W45" i="34" s="1"/>
  <c r="H47" i="34"/>
  <c r="U47" i="34" s="1"/>
  <c r="F47" i="34"/>
  <c r="AA47" i="34" s="1"/>
  <c r="J47" i="34"/>
  <c r="AC47" i="34" s="1"/>
  <c r="J13" i="35"/>
  <c r="AC13" i="35" s="1"/>
  <c r="H13" i="35"/>
  <c r="U13" i="35" s="1"/>
  <c r="J25" i="35"/>
  <c r="AC25" i="35" s="1"/>
  <c r="H25" i="35"/>
  <c r="AB25" i="35" s="1"/>
  <c r="J35" i="35"/>
  <c r="AC35" i="35" s="1"/>
  <c r="F35" i="35"/>
  <c r="S35" i="35" s="1"/>
  <c r="J25" i="36"/>
  <c r="W25" i="36" s="1"/>
  <c r="F25" i="36"/>
  <c r="AA25" i="36" s="1"/>
  <c r="H25" i="36"/>
  <c r="AB25" i="36" s="1"/>
  <c r="H13" i="37"/>
  <c r="AB13" i="37" s="1"/>
  <c r="F13" i="37"/>
  <c r="S13" i="37" s="1"/>
  <c r="J13" i="37"/>
  <c r="AC13" i="37" s="1"/>
  <c r="F28" i="37"/>
  <c r="AA28" i="37" s="1"/>
  <c r="H28" i="37"/>
  <c r="U28" i="37" s="1"/>
  <c r="H38" i="37"/>
  <c r="AB38" i="37" s="1"/>
  <c r="J38" i="37"/>
  <c r="AC38" i="37" s="1"/>
  <c r="F38" i="37"/>
  <c r="S38" i="37" s="1"/>
  <c r="F14" i="37"/>
  <c r="AA14" i="37" s="1"/>
  <c r="J14" i="37"/>
  <c r="W14" i="37" s="1"/>
  <c r="J36" i="37"/>
  <c r="AC36" i="37" s="1"/>
  <c r="G105" i="37"/>
  <c r="S46" i="21"/>
  <c r="U46" i="21"/>
  <c r="S28" i="21"/>
  <c r="W14" i="21"/>
  <c r="AC14" i="21"/>
  <c r="S46" i="33"/>
  <c r="U36" i="37"/>
  <c r="AC13" i="36"/>
  <c r="AB45" i="33"/>
  <c r="S45" i="21"/>
  <c r="U28" i="21"/>
  <c r="G529" i="3"/>
  <c r="G521" i="3"/>
  <c r="G517" i="3"/>
  <c r="G513" i="3"/>
  <c r="G508" i="3"/>
  <c r="G499" i="3"/>
  <c r="G493" i="3"/>
  <c r="G485" i="3"/>
  <c r="G565" i="3"/>
  <c r="G561" i="3"/>
  <c r="G557" i="3"/>
  <c r="G549" i="3"/>
  <c r="G545" i="3"/>
  <c r="BL569" i="3"/>
  <c r="BL561" i="3"/>
  <c r="BL557" i="3"/>
  <c r="BL553" i="3"/>
  <c r="BL545" i="3"/>
  <c r="BL527" i="3"/>
  <c r="BL519" i="3"/>
  <c r="AZ519" i="3" s="1"/>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5" i="3"/>
  <c r="BA501" i="3"/>
  <c r="AZ501" i="3" s="1"/>
  <c r="BA493" i="3"/>
  <c r="AZ493" i="3"/>
  <c r="BA487" i="3"/>
  <c r="BA19" i="3"/>
  <c r="BA566" i="3"/>
  <c r="BA562" i="3"/>
  <c r="BA560" i="3"/>
  <c r="BA558" i="3"/>
  <c r="AZ558" i="3" s="1"/>
  <c r="BA556" i="3"/>
  <c r="BA554" i="3"/>
  <c r="BA550" i="3"/>
  <c r="BA546" i="3"/>
  <c r="BA544" i="3"/>
  <c r="BA540" i="3"/>
  <c r="BA532" i="3"/>
  <c r="BA528" i="3"/>
  <c r="BA524" i="3"/>
  <c r="BA520" i="3"/>
  <c r="BA516" i="3"/>
  <c r="BA512" i="3"/>
  <c r="BA508" i="3"/>
  <c r="AZ508" i="3" s="1"/>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AZ560" i="3" s="1"/>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Q508" i="3"/>
  <c r="BL508" i="3"/>
  <c r="AC506" i="3"/>
  <c r="G506" i="3"/>
  <c r="BQ506" i="3"/>
  <c r="G502" i="3"/>
  <c r="G498" i="3"/>
  <c r="BQ504" i="3"/>
  <c r="BQ502" i="3"/>
  <c r="BL502" i="3"/>
  <c r="BQ500" i="3"/>
  <c r="BL500" i="3"/>
  <c r="BQ498" i="3"/>
  <c r="BQ496" i="3"/>
  <c r="AC494" i="3"/>
  <c r="BQ494" i="3"/>
  <c r="BL494" i="3" s="1"/>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c r="H17" i="37"/>
  <c r="U17" i="37"/>
  <c r="F23" i="37"/>
  <c r="S23"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J32" i="37"/>
  <c r="AC32" i="37" s="1"/>
  <c r="F36" i="37"/>
  <c r="F37" i="37"/>
  <c r="AA37" i="37"/>
  <c r="AC41" i="34"/>
  <c r="F123" i="33"/>
  <c r="G123" i="33"/>
  <c r="H123" i="33" s="1"/>
  <c r="I123" i="33" s="1"/>
  <c r="J123" i="33" s="1"/>
  <c r="K123" i="33" s="1"/>
  <c r="L123" i="33" s="1"/>
  <c r="M123" i="33" s="1"/>
  <c r="H42" i="33"/>
  <c r="U42" i="33"/>
  <c r="J43" i="33"/>
  <c r="AC43" i="33" s="1"/>
  <c r="J23" i="37"/>
  <c r="W23" i="37" s="1"/>
  <c r="F17" i="37"/>
  <c r="AA17" i="37" s="1"/>
  <c r="AB43" i="33"/>
  <c r="D3" i="21"/>
  <c r="AC12" i="35"/>
  <c r="W23" i="35"/>
  <c r="AC8" i="37"/>
  <c r="S25" i="37"/>
  <c r="AB8" i="34"/>
  <c r="AA13" i="33"/>
  <c r="AC45" i="33"/>
  <c r="S39" i="33"/>
  <c r="F43" i="33"/>
  <c r="AA43" i="33" s="1"/>
  <c r="AA23" i="37"/>
  <c r="F37" i="21"/>
  <c r="S37" i="21" s="1"/>
  <c r="J37" i="21"/>
  <c r="W37" i="21" s="1"/>
  <c r="H19" i="34"/>
  <c r="AB19" i="34" s="1"/>
  <c r="J10" i="37"/>
  <c r="AC10" i="37" s="1"/>
  <c r="F36" i="35"/>
  <c r="S36" i="35"/>
  <c r="J9" i="37"/>
  <c r="W9" i="37" s="1"/>
  <c r="H9" i="37"/>
  <c r="U9" i="37" s="1"/>
  <c r="F9" i="37"/>
  <c r="S9" i="37" s="1"/>
  <c r="F11" i="37"/>
  <c r="S11" i="37"/>
  <c r="J12" i="37"/>
  <c r="AC12" i="37" s="1"/>
  <c r="H12" i="37"/>
  <c r="F12" i="37"/>
  <c r="AA12" i="37" s="1"/>
  <c r="H15" i="37"/>
  <c r="U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483" i="3"/>
  <c r="G515" i="3"/>
  <c r="G507" i="3"/>
  <c r="G501" i="3"/>
  <c r="BA15" i="3"/>
  <c r="BL17" i="3"/>
  <c r="BL15" i="3"/>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G140" i="3"/>
  <c r="BA142" i="3"/>
  <c r="BL143" i="3"/>
  <c r="G144" i="3"/>
  <c r="BA146" i="3"/>
  <c r="BL147" i="3"/>
  <c r="G148" i="3"/>
  <c r="BA150" i="3"/>
  <c r="BL151" i="3"/>
  <c r="BA153" i="3"/>
  <c r="BL154" i="3"/>
  <c r="G155" i="3"/>
  <c r="BA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c r="BL365" i="3"/>
  <c r="G366" i="3"/>
  <c r="G369" i="3"/>
  <c r="BL370" i="3"/>
  <c r="BA372" i="3"/>
  <c r="BA373" i="3"/>
  <c r="BL373" i="3"/>
  <c r="AZ373" i="3"/>
  <c r="G374" i="3"/>
  <c r="G377" i="3"/>
  <c r="BL378" i="3"/>
  <c r="BA380" i="3"/>
  <c r="BA381" i="3"/>
  <c r="BL381" i="3"/>
  <c r="G382" i="3"/>
  <c r="G385" i="3"/>
  <c r="G523" i="3"/>
  <c r="BL297" i="3"/>
  <c r="AZ297" i="3" s="1"/>
  <c r="G298" i="3"/>
  <c r="BA300" i="3"/>
  <c r="BL301" i="3"/>
  <c r="G302" i="3"/>
  <c r="BA304" i="3"/>
  <c r="BL305" i="3"/>
  <c r="AZ305" i="3" s="1"/>
  <c r="G306" i="3"/>
  <c r="BA308" i="3"/>
  <c r="AZ308" i="3" s="1"/>
  <c r="BL309" i="3"/>
  <c r="G310" i="3"/>
  <c r="BA310" i="3"/>
  <c r="BL311" i="3"/>
  <c r="AZ311" i="3" s="1"/>
  <c r="G312" i="3"/>
  <c r="BA312" i="3"/>
  <c r="AZ312" i="3" s="1"/>
  <c r="BL313" i="3"/>
  <c r="G314" i="3"/>
  <c r="BA314" i="3"/>
  <c r="BL315" i="3"/>
  <c r="G316" i="3"/>
  <c r="BA316" i="3"/>
  <c r="BL317" i="3"/>
  <c r="G318" i="3"/>
  <c r="BA320" i="3"/>
  <c r="BL321" i="3"/>
  <c r="AZ321" i="3" s="1"/>
  <c r="G322" i="3"/>
  <c r="BA324" i="3"/>
  <c r="AZ324" i="3" s="1"/>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AZ383" i="3" s="1"/>
  <c r="G384" i="3"/>
  <c r="AZ315" i="3"/>
  <c r="F37" i="46"/>
  <c r="AB16" i="35"/>
  <c r="AB15" i="37"/>
  <c r="AA13" i="40"/>
  <c r="R16" i="4"/>
  <c r="D3" i="35"/>
  <c r="G4" i="4"/>
  <c r="J16" i="35"/>
  <c r="W16" i="35" s="1"/>
  <c r="AC26" i="36"/>
  <c r="W25" i="35"/>
  <c r="AA36" i="35"/>
  <c r="H11" i="37"/>
  <c r="AB11" i="37"/>
  <c r="AA30" i="33"/>
  <c r="S42" i="33"/>
  <c r="U32" i="33"/>
  <c r="AB17" i="37"/>
  <c r="AC29" i="33"/>
  <c r="AA45" i="33"/>
  <c r="AB35" i="35"/>
  <c r="S25" i="35"/>
  <c r="AC30" i="33"/>
  <c r="AC29" i="37"/>
  <c r="W32" i="36"/>
  <c r="AC32" i="36"/>
  <c r="U28" i="33"/>
  <c r="AB28" i="33"/>
  <c r="J33" i="34"/>
  <c r="AC33" i="34" s="1"/>
  <c r="AB36" i="34"/>
  <c r="J40" i="34"/>
  <c r="W40" i="34"/>
  <c r="F16" i="35"/>
  <c r="AA16" i="35" s="1"/>
  <c r="S24" i="36"/>
  <c r="J35" i="34"/>
  <c r="W35" i="34" s="1"/>
  <c r="F107" i="34"/>
  <c r="G107" i="34"/>
  <c r="H107" i="34" s="1"/>
  <c r="I107" i="34" s="1"/>
  <c r="J107" i="34" s="1"/>
  <c r="K107" i="34" s="1"/>
  <c r="L107" i="34" s="1"/>
  <c r="M107" i="34" s="1"/>
  <c r="S30" i="36"/>
  <c r="H16" i="36"/>
  <c r="AB16" i="36" s="1"/>
  <c r="H35" i="37"/>
  <c r="AB35" i="37" s="1"/>
  <c r="S26" i="21"/>
  <c r="AB12" i="21"/>
  <c r="H32" i="21"/>
  <c r="U32" i="21" s="1"/>
  <c r="AB26" i="21"/>
  <c r="U26" i="21"/>
  <c r="J32" i="21"/>
  <c r="AC32" i="21" s="1"/>
  <c r="H37" i="21"/>
  <c r="AB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AB28" i="35"/>
  <c r="U28" i="35"/>
  <c r="J13" i="33"/>
  <c r="W13" i="33" s="1"/>
  <c r="H13" i="33"/>
  <c r="U13" i="33"/>
  <c r="H29" i="33"/>
  <c r="AB29" i="33" s="1"/>
  <c r="F29" i="33"/>
  <c r="AA29" i="33" s="1"/>
  <c r="J12" i="34"/>
  <c r="AC12" i="34" s="1"/>
  <c r="J14" i="34"/>
  <c r="W14" i="34" s="1"/>
  <c r="F14" i="34"/>
  <c r="S14" i="34" s="1"/>
  <c r="H14" i="34"/>
  <c r="AB14" i="34"/>
  <c r="F30" i="34"/>
  <c r="S30" i="34" s="1"/>
  <c r="J30" i="34"/>
  <c r="W30" i="34" s="1"/>
  <c r="H32" i="34"/>
  <c r="AB32" i="34"/>
  <c r="F32" i="34"/>
  <c r="AA32" i="34" s="1"/>
  <c r="J32" i="34"/>
  <c r="W32" i="34" s="1"/>
  <c r="H46" i="34"/>
  <c r="AB46" i="34" s="1"/>
  <c r="H11" i="35"/>
  <c r="F96" i="37"/>
  <c r="H32" i="37"/>
  <c r="AB32" i="37"/>
  <c r="F19" i="39"/>
  <c r="S19" i="39" s="1"/>
  <c r="H19" i="39"/>
  <c r="AB19" i="39" s="1"/>
  <c r="J19" i="39"/>
  <c r="W19" i="39" s="1"/>
  <c r="F43" i="39"/>
  <c r="AA43" i="39" s="1"/>
  <c r="H43" i="39"/>
  <c r="U43" i="39" s="1"/>
  <c r="J43" i="39"/>
  <c r="AC43" i="39" s="1"/>
  <c r="F99" i="37"/>
  <c r="U25" i="35"/>
  <c r="S45" i="34"/>
  <c r="U31" i="34"/>
  <c r="AC40" i="37"/>
  <c r="W40" i="37"/>
  <c r="S28" i="33"/>
  <c r="S14" i="21"/>
  <c r="AA44" i="34"/>
  <c r="AC19" i="33"/>
  <c r="W19" i="33"/>
  <c r="U43" i="34"/>
  <c r="AC34" i="37"/>
  <c r="S35" i="37"/>
  <c r="AA35" i="37"/>
  <c r="BL571" i="3"/>
  <c r="BA571"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F11" i="36"/>
  <c r="S11" i="36" s="1"/>
  <c r="W16" i="36"/>
  <c r="AC16" i="36"/>
  <c r="E78" i="36"/>
  <c r="F78" i="36" s="1"/>
  <c r="G78" i="36" s="1"/>
  <c r="H78" i="36" s="1"/>
  <c r="I78" i="36"/>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F21" i="39"/>
  <c r="S21" i="39" s="1"/>
  <c r="H21" i="39"/>
  <c r="AB21" i="39" s="1"/>
  <c r="J21" i="39"/>
  <c r="W21" i="39" s="1"/>
  <c r="F33" i="39"/>
  <c r="H33" i="39"/>
  <c r="U33" i="39" s="1"/>
  <c r="J33" i="39"/>
  <c r="AC33" i="39" s="1"/>
  <c r="F44" i="39"/>
  <c r="S44" i="39" s="1"/>
  <c r="H44" i="39"/>
  <c r="U44" i="39" s="1"/>
  <c r="J44" i="39"/>
  <c r="W44" i="39" s="1"/>
  <c r="F46" i="39"/>
  <c r="S46" i="39" s="1"/>
  <c r="H46" i="39"/>
  <c r="U46" i="39" s="1"/>
  <c r="J46" i="39"/>
  <c r="W46" i="39" s="1"/>
  <c r="F29" i="39"/>
  <c r="AA29" i="39" s="1"/>
  <c r="E102" i="39"/>
  <c r="F102" i="39" s="1"/>
  <c r="G102" i="39" s="1"/>
  <c r="H29" i="39"/>
  <c r="U29" i="39" s="1"/>
  <c r="F34" i="39"/>
  <c r="AA34" i="39" s="1"/>
  <c r="H34" i="39"/>
  <c r="AB34" i="39" s="1"/>
  <c r="J34" i="39"/>
  <c r="AC34" i="39" s="1"/>
  <c r="J39" i="39"/>
  <c r="AC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AZ547" i="3" s="1"/>
  <c r="BL539" i="3"/>
  <c r="BA539" i="3"/>
  <c r="BL537" i="3"/>
  <c r="BA537" i="3"/>
  <c r="BA535" i="3"/>
  <c r="BA534" i="3"/>
  <c r="BA533" i="3"/>
  <c r="BL531" i="3"/>
  <c r="AZ531" i="3"/>
  <c r="BL530" i="3"/>
  <c r="AZ530" i="3" s="1"/>
  <c r="BA530" i="3"/>
  <c r="BL529" i="3"/>
  <c r="BA529" i="3"/>
  <c r="AZ529" i="3" s="1"/>
  <c r="BL528" i="3"/>
  <c r="AZ528" i="3" s="1"/>
  <c r="BA527" i="3"/>
  <c r="AZ527" i="3"/>
  <c r="BA526" i="3"/>
  <c r="BA525" i="3"/>
  <c r="AZ525" i="3" s="1"/>
  <c r="BL523" i="3"/>
  <c r="BA523" i="3"/>
  <c r="AZ523" i="3" s="1"/>
  <c r="BL522" i="3"/>
  <c r="BA522" i="3"/>
  <c r="BL521" i="3"/>
  <c r="AZ521" i="3" s="1"/>
  <c r="BA519" i="3"/>
  <c r="BL518" i="3"/>
  <c r="BA518" i="3"/>
  <c r="BL517" i="3"/>
  <c r="BA517" i="3"/>
  <c r="AZ517" i="3"/>
  <c r="BL515" i="3"/>
  <c r="BA515" i="3"/>
  <c r="BA514" i="3"/>
  <c r="BL513" i="3"/>
  <c r="BA513" i="3"/>
  <c r="BL512" i="3"/>
  <c r="AZ512" i="3" s="1"/>
  <c r="BA511" i="3"/>
  <c r="BA510" i="3"/>
  <c r="BL507" i="3"/>
  <c r="AZ507" i="3" s="1"/>
  <c r="BA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A494" i="3"/>
  <c r="AZ494" i="3" s="1"/>
  <c r="G494" i="3"/>
  <c r="BA491" i="3"/>
  <c r="AZ491" i="3" s="1"/>
  <c r="BL490" i="3"/>
  <c r="BA490" i="3"/>
  <c r="AZ490" i="3" s="1"/>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E106" i="33"/>
  <c r="H34" i="33"/>
  <c r="U34" i="33" s="1"/>
  <c r="F34" i="33"/>
  <c r="S34" i="33" s="1"/>
  <c r="F41" i="33"/>
  <c r="S41" i="33" s="1"/>
  <c r="AC34" i="34"/>
  <c r="W34" i="34"/>
  <c r="AA39" i="34"/>
  <c r="S39" i="34"/>
  <c r="S43" i="34"/>
  <c r="E78" i="34"/>
  <c r="F78" i="34" s="1"/>
  <c r="G78" i="34" s="1"/>
  <c r="F15" i="34"/>
  <c r="S15" i="34" s="1"/>
  <c r="AC28" i="35"/>
  <c r="W28" i="35"/>
  <c r="J20" i="35"/>
  <c r="AC20" i="35" s="1"/>
  <c r="E72" i="35"/>
  <c r="F72" i="35" s="1"/>
  <c r="G72" i="35" s="1"/>
  <c r="H22" i="35"/>
  <c r="AB22" i="35"/>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s="1"/>
  <c r="E91" i="40"/>
  <c r="F91" i="40"/>
  <c r="H23" i="40"/>
  <c r="U23" i="40" s="1"/>
  <c r="H41" i="40"/>
  <c r="U41" i="40" s="1"/>
  <c r="F41" i="40"/>
  <c r="AA41" i="40" s="1"/>
  <c r="J41" i="40"/>
  <c r="AC41" i="40" s="1"/>
  <c r="H36" i="33"/>
  <c r="AB36" i="33" s="1"/>
  <c r="H37" i="34"/>
  <c r="F15" i="39"/>
  <c r="AA15" i="39" s="1"/>
  <c r="H15" i="39"/>
  <c r="U15" i="39" s="1"/>
  <c r="J15" i="39"/>
  <c r="AC15" i="39" s="1"/>
  <c r="F45" i="39"/>
  <c r="AA45" i="39" s="1"/>
  <c r="H45" i="39"/>
  <c r="U45" i="39" s="1"/>
  <c r="J45" i="39"/>
  <c r="AC45" i="39" s="1"/>
  <c r="H47" i="39"/>
  <c r="AB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B41" i="1"/>
  <c r="F72" i="9" s="1"/>
  <c r="J42" i="40"/>
  <c r="AC42" i="40" s="1"/>
  <c r="J40" i="40"/>
  <c r="W40" i="40" s="1"/>
  <c r="AC40" i="40"/>
  <c r="J34" i="40"/>
  <c r="AC34" i="40" s="1"/>
  <c r="H16" i="40"/>
  <c r="AB16" i="40" s="1"/>
  <c r="H14" i="40"/>
  <c r="F32" i="40"/>
  <c r="AA32" i="40" s="1"/>
  <c r="F61" i="46"/>
  <c r="H61" i="46" s="1"/>
  <c r="AZ244" i="3"/>
  <c r="AZ252" i="3"/>
  <c r="AZ276" i="3"/>
  <c r="F72" i="46"/>
  <c r="H74" i="46" s="1"/>
  <c r="J13" i="40"/>
  <c r="W13" i="40" s="1"/>
  <c r="AC14" i="40"/>
  <c r="U37" i="34"/>
  <c r="AB37" i="34"/>
  <c r="J23" i="40"/>
  <c r="AC23" i="40" s="1"/>
  <c r="G91" i="40"/>
  <c r="F23" i="40"/>
  <c r="S23" i="40" s="1"/>
  <c r="AB23" i="35"/>
  <c r="H20" i="35"/>
  <c r="U20" i="35" s="1"/>
  <c r="F20" i="35"/>
  <c r="S20" i="35" s="1"/>
  <c r="H15" i="34"/>
  <c r="AB15" i="34"/>
  <c r="J15" i="34"/>
  <c r="AC15" i="34" s="1"/>
  <c r="H41" i="33"/>
  <c r="U41" i="33" s="1"/>
  <c r="F30" i="40"/>
  <c r="AA30" i="40" s="1"/>
  <c r="AB38" i="34"/>
  <c r="AZ497" i="3"/>
  <c r="AZ515" i="3"/>
  <c r="AZ549" i="3"/>
  <c r="J29" i="39"/>
  <c r="AC29" i="39" s="1"/>
  <c r="AB33" i="36"/>
  <c r="AA14" i="35"/>
  <c r="S14" i="35"/>
  <c r="G99" i="37"/>
  <c r="H99" i="37" s="1"/>
  <c r="I99" i="37" s="1"/>
  <c r="J99" i="37" s="1"/>
  <c r="K99" i="37" s="1"/>
  <c r="L99" i="37" s="1"/>
  <c r="M99" i="37" s="1"/>
  <c r="F33" i="37"/>
  <c r="AA33" i="37" s="1"/>
  <c r="U46" i="34"/>
  <c r="AC30" i="34"/>
  <c r="AA14" i="34"/>
  <c r="W12" i="34"/>
  <c r="U29" i="33"/>
  <c r="AC13" i="33"/>
  <c r="U17" i="34"/>
  <c r="AA11" i="34"/>
  <c r="W32" i="33"/>
  <c r="H15" i="33"/>
  <c r="U15" i="33" s="1"/>
  <c r="AA11" i="33"/>
  <c r="AB34" i="40"/>
  <c r="U42" i="40"/>
  <c r="H25" i="40"/>
  <c r="AB25" i="40" s="1"/>
  <c r="F93" i="40"/>
  <c r="G93" i="40" s="1"/>
  <c r="W15" i="39"/>
  <c r="J37" i="34"/>
  <c r="AC37" i="34" s="1"/>
  <c r="J36" i="33"/>
  <c r="W36" i="33" s="1"/>
  <c r="S41" i="40"/>
  <c r="AB23" i="40"/>
  <c r="H23" i="39"/>
  <c r="AB23" i="39" s="1"/>
  <c r="J23" i="39"/>
  <c r="AC23" i="39" s="1"/>
  <c r="F96" i="39"/>
  <c r="G96" i="39" s="1"/>
  <c r="S16" i="39"/>
  <c r="AA41" i="33"/>
  <c r="F106" i="33"/>
  <c r="G106" i="33" s="1"/>
  <c r="H106" i="33" s="1"/>
  <c r="I106" i="33" s="1"/>
  <c r="J106" i="33" s="1"/>
  <c r="K106" i="33" s="1"/>
  <c r="L106" i="33" s="1"/>
  <c r="M106" i="33" s="1"/>
  <c r="J34" i="33"/>
  <c r="AC34" i="33" s="1"/>
  <c r="U30" i="40"/>
  <c r="AA37" i="39"/>
  <c r="W29" i="35"/>
  <c r="AB46" i="39"/>
  <c r="W33" i="39"/>
  <c r="AA33" i="39"/>
  <c r="S33"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U11" i="35"/>
  <c r="AB11" i="35"/>
  <c r="U32" i="34"/>
  <c r="U14" i="34"/>
  <c r="AC14" i="34"/>
  <c r="AB13" i="33"/>
  <c r="G80" i="34"/>
  <c r="F17" i="34"/>
  <c r="AA17" i="34" s="1"/>
  <c r="J17" i="34"/>
  <c r="AC17" i="34" s="1"/>
  <c r="H11" i="34"/>
  <c r="AB11" i="34" s="1"/>
  <c r="J35" i="33"/>
  <c r="W35" i="33" s="1"/>
  <c r="S32" i="33"/>
  <c r="H11" i="33"/>
  <c r="U11" i="33" s="1"/>
  <c r="H10" i="33"/>
  <c r="U10" i="33" s="1"/>
  <c r="J10" i="33"/>
  <c r="W10" i="33" s="1"/>
  <c r="U11" i="37"/>
  <c r="AC16" i="35"/>
  <c r="AC13" i="40"/>
  <c r="J11" i="34"/>
  <c r="W11" i="34" s="1"/>
  <c r="AC36" i="33"/>
  <c r="F25" i="40"/>
  <c r="AA25" i="40" s="1"/>
  <c r="J11" i="33"/>
  <c r="W11" i="33" s="1"/>
  <c r="H33" i="37"/>
  <c r="AB33" i="37" s="1"/>
  <c r="W15" i="34"/>
  <c r="AB20" i="35"/>
  <c r="W23" i="40"/>
  <c r="B11" i="1"/>
  <c r="E11" i="1" s="1"/>
  <c r="K11" i="1"/>
  <c r="M11" i="1" s="1"/>
  <c r="B9" i="1"/>
  <c r="E9" i="1" s="1"/>
  <c r="K9" i="1"/>
  <c r="M9" i="1" s="1"/>
  <c r="B7" i="1"/>
  <c r="E7" i="1" s="1"/>
  <c r="K7" i="1"/>
  <c r="M7" i="1" s="1"/>
  <c r="AP6" i="1"/>
  <c r="M20" i="44"/>
  <c r="AC25" i="36"/>
  <c r="S23" i="36"/>
  <c r="S8" i="36"/>
  <c r="AA26" i="36"/>
  <c r="AA28" i="36"/>
  <c r="U25" i="36"/>
  <c r="H20" i="36"/>
  <c r="U20" i="36" s="1"/>
  <c r="J20" i="36"/>
  <c r="AC20" i="36" s="1"/>
  <c r="F20" i="36"/>
  <c r="S20" i="36" s="1"/>
  <c r="J14" i="36"/>
  <c r="H14" i="36"/>
  <c r="U14" i="36" s="1"/>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AA26" i="35" s="1"/>
  <c r="H26" i="35"/>
  <c r="AB26" i="35" s="1"/>
  <c r="AB9" i="37"/>
  <c r="W12" i="37"/>
  <c r="AA9" i="37"/>
  <c r="S17" i="37"/>
  <c r="W28" i="37"/>
  <c r="AB37" i="37"/>
  <c r="AA31" i="37"/>
  <c r="S33"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AC45" i="34"/>
  <c r="AA40" i="34"/>
  <c r="W33" i="34"/>
  <c r="U30" i="34"/>
  <c r="S32" i="34"/>
  <c r="AB33" i="34"/>
  <c r="AC35" i="34"/>
  <c r="AA30" i="34"/>
  <c r="AC32" i="34"/>
  <c r="AA33" i="34"/>
  <c r="U44" i="34"/>
  <c r="U34" i="34"/>
  <c r="U28" i="34"/>
  <c r="J25" i="34"/>
  <c r="H25" i="34"/>
  <c r="U25" i="34" s="1"/>
  <c r="F25" i="34"/>
  <c r="S25" i="34" s="1"/>
  <c r="J23" i="34"/>
  <c r="F86" i="34"/>
  <c r="G86" i="34" s="1"/>
  <c r="F23" i="34"/>
  <c r="AA23" i="34" s="1"/>
  <c r="H23" i="34"/>
  <c r="AB23" i="34" s="1"/>
  <c r="W17" i="34"/>
  <c r="U11" i="34"/>
  <c r="AC40" i="34"/>
  <c r="W44" i="34"/>
  <c r="W19" i="34"/>
  <c r="W29" i="34"/>
  <c r="AC21" i="34"/>
  <c r="W21" i="34"/>
  <c r="U15" i="34"/>
  <c r="AB21" i="34"/>
  <c r="U21" i="34"/>
  <c r="U19" i="34"/>
  <c r="AB41" i="34"/>
  <c r="S13" i="34"/>
  <c r="AA41" i="34"/>
  <c r="S9" i="34"/>
  <c r="U39" i="33"/>
  <c r="U37" i="33"/>
  <c r="S35" i="33"/>
  <c r="W34" i="33"/>
  <c r="AB41" i="33"/>
  <c r="U36" i="33"/>
  <c r="AC35" i="33"/>
  <c r="S29" i="33"/>
  <c r="W43" i="33"/>
  <c r="U46" i="33"/>
  <c r="W39" i="33"/>
  <c r="U35" i="33"/>
  <c r="AB34" i="33"/>
  <c r="AB26" i="33"/>
  <c r="H25" i="33"/>
  <c r="AB25" i="33" s="1"/>
  <c r="J25" i="33"/>
  <c r="W25" i="33" s="1"/>
  <c r="F87" i="33"/>
  <c r="G87" i="33" s="1"/>
  <c r="H87" i="33" s="1"/>
  <c r="I87" i="33" s="1"/>
  <c r="J87" i="33" s="1"/>
  <c r="K87" i="33" s="1"/>
  <c r="L87" i="33" s="1"/>
  <c r="M87" i="33" s="1"/>
  <c r="F25" i="33"/>
  <c r="J23" i="33"/>
  <c r="W23" i="33" s="1"/>
  <c r="F23" i="33"/>
  <c r="H23" i="33"/>
  <c r="AB23" i="33" s="1"/>
  <c r="U19" i="33"/>
  <c r="F79" i="33"/>
  <c r="G79" i="33" s="1"/>
  <c r="F17" i="33"/>
  <c r="S17" i="33" s="1"/>
  <c r="H17" i="33"/>
  <c r="J17" i="33"/>
  <c r="AB15" i="33"/>
  <c r="AC21" i="33"/>
  <c r="W21" i="33"/>
  <c r="AB21" i="33"/>
  <c r="U21" i="33"/>
  <c r="AA21" i="33"/>
  <c r="S21" i="33"/>
  <c r="AA36" i="33"/>
  <c r="AA37" i="21"/>
  <c r="W28" i="21"/>
  <c r="AC26" i="21"/>
  <c r="W13" i="21"/>
  <c r="AC38" i="21"/>
  <c r="AB29" i="21"/>
  <c r="AA30" i="21"/>
  <c r="AA31" i="21"/>
  <c r="W33" i="40"/>
  <c r="U33" i="40"/>
  <c r="S35" i="40"/>
  <c r="U15" i="40"/>
  <c r="S14" i="40"/>
  <c r="S15"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H29" i="40"/>
  <c r="U29" i="40" s="1"/>
  <c r="J29" i="40"/>
  <c r="AC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AB40" i="40"/>
  <c r="U10" i="40"/>
  <c r="U27" i="40"/>
  <c r="AB27" i="40"/>
  <c r="AB15" i="39"/>
  <c r="U11" i="39"/>
  <c r="AB38" i="39"/>
  <c r="U31" i="39"/>
  <c r="AB31" i="39"/>
  <c r="S38" i="39"/>
  <c r="S22" i="31"/>
  <c r="R22" i="31" s="1"/>
  <c r="B21" i="31" s="1"/>
  <c r="D18" i="9"/>
  <c r="M44" i="9" s="1"/>
  <c r="M43" i="9"/>
  <c r="D96" i="9"/>
  <c r="M18" i="15"/>
  <c r="A18" i="64"/>
  <c r="B74" i="63" s="1"/>
  <c r="C53" i="10"/>
  <c r="A25" i="64" s="1"/>
  <c r="A18" i="51"/>
  <c r="B14" i="63" s="1"/>
  <c r="BA16" i="3"/>
  <c r="BA17" i="3"/>
  <c r="AZ17" i="3" s="1"/>
  <c r="F3" i="35"/>
  <c r="K1" i="43"/>
  <c r="K1" i="12"/>
  <c r="G1" i="44"/>
  <c r="AZ15" i="3"/>
  <c r="BK5" i="3"/>
  <c r="BO5" i="3"/>
  <c r="BP5" i="3"/>
  <c r="BN5" i="3"/>
  <c r="BL18" i="3"/>
  <c r="AZ18" i="3" s="1"/>
  <c r="BC5" i="3"/>
  <c r="BR5" i="3"/>
  <c r="BQ5" i="3"/>
  <c r="BL16" i="3"/>
  <c r="AZ16" i="3" s="1"/>
  <c r="G28" i="12"/>
  <c r="D24" i="44"/>
  <c r="D26" i="44"/>
  <c r="F50" i="46"/>
  <c r="H52" i="46" s="1"/>
  <c r="C6" i="46"/>
  <c r="I5" i="48"/>
  <c r="K21" i="46"/>
  <c r="F42" i="46"/>
  <c r="D74" i="46"/>
  <c r="D87" i="46"/>
  <c r="D72" i="46"/>
  <c r="A4" i="64"/>
  <c r="A4" i="51"/>
  <c r="B6" i="63" s="1"/>
  <c r="C51" i="10"/>
  <c r="A9" i="64" s="1"/>
  <c r="H83" i="46"/>
  <c r="H87" i="46"/>
  <c r="AA12" i="36"/>
  <c r="U12" i="35"/>
  <c r="AB12"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S26" i="33"/>
  <c r="S15" i="33"/>
  <c r="AB25" i="21"/>
  <c r="AB45" i="21"/>
  <c r="W25" i="21"/>
  <c r="AA25" i="21"/>
  <c r="AC37" i="21"/>
  <c r="AA29" i="21"/>
  <c r="U27" i="21"/>
  <c r="W31" i="21"/>
  <c r="W29" i="21"/>
  <c r="G95" i="40"/>
  <c r="J27" i="40"/>
  <c r="W27" i="40" s="1"/>
  <c r="W37" i="40"/>
  <c r="W30" i="40"/>
  <c r="S34" i="40"/>
  <c r="U38" i="40"/>
  <c r="S40" i="40"/>
  <c r="S42" i="40"/>
  <c r="G104" i="39"/>
  <c r="J31" i="39"/>
  <c r="W31" i="39" s="1"/>
  <c r="AB33" i="39"/>
  <c r="AC46" i="39"/>
  <c r="W42" i="39"/>
  <c r="W36" i="39"/>
  <c r="U14" i="39"/>
  <c r="W16" i="39"/>
  <c r="W45" i="39"/>
  <c r="W34" i="39"/>
  <c r="W10" i="39"/>
  <c r="U42" i="39"/>
  <c r="C27" i="39"/>
  <c r="C17" i="40"/>
  <c r="C17" i="39"/>
  <c r="C19" i="39"/>
  <c r="C21" i="39"/>
  <c r="C23" i="40"/>
  <c r="B51" i="46"/>
  <c r="B54" i="46"/>
  <c r="B58" i="46"/>
  <c r="B62" i="46"/>
  <c r="B65" i="46"/>
  <c r="B69" i="46"/>
  <c r="B56" i="46"/>
  <c r="B67" i="46"/>
  <c r="D24" i="15"/>
  <c r="S14" i="36"/>
  <c r="AC14" i="36"/>
  <c r="W14" i="36"/>
  <c r="S26" i="35"/>
  <c r="U26" i="35"/>
  <c r="W26" i="35"/>
  <c r="AC26" i="35"/>
  <c r="S19" i="37"/>
  <c r="AB19" i="37"/>
  <c r="U19" i="37"/>
  <c r="AB25" i="34"/>
  <c r="AA25" i="34"/>
  <c r="W25" i="34"/>
  <c r="AC25" i="34"/>
  <c r="U23" i="34"/>
  <c r="S23" i="34"/>
  <c r="AC23" i="34"/>
  <c r="W23" i="34"/>
  <c r="AA25" i="33"/>
  <c r="S25" i="33"/>
  <c r="U23" i="33"/>
  <c r="S23" i="33"/>
  <c r="AA23" i="33"/>
  <c r="W17" i="33"/>
  <c r="AC17" i="33"/>
  <c r="AA17" i="33"/>
  <c r="U17" i="33"/>
  <c r="AB17" i="33"/>
  <c r="AB39" i="40"/>
  <c r="AC39" i="40"/>
  <c r="U37" i="40"/>
  <c r="AB37" i="40"/>
  <c r="AB29" i="40"/>
  <c r="AA29" i="40"/>
  <c r="S29" i="40"/>
  <c r="W19" i="40"/>
  <c r="S19" i="40"/>
  <c r="AB19" i="40"/>
  <c r="B20" i="31"/>
  <c r="A17" i="51"/>
  <c r="B13" i="63" s="1"/>
  <c r="AT6" i="3"/>
  <c r="E4" i="4"/>
  <c r="B21" i="55" s="1"/>
  <c r="B72" i="63" s="1"/>
  <c r="C4" i="4"/>
  <c r="B20" i="55" s="1"/>
  <c r="B70" i="63" s="1"/>
  <c r="J18" i="36"/>
  <c r="W18" i="36" s="1"/>
  <c r="L20" i="6"/>
  <c r="C45" i="9"/>
  <c r="B7" i="66" s="1"/>
  <c r="N76" i="9"/>
  <c r="C46" i="9"/>
  <c r="O41" i="9" s="1"/>
  <c r="R8" i="54" s="1"/>
  <c r="B54" i="63" s="1"/>
  <c r="B8" i="66"/>
  <c r="J21" i="46"/>
  <c r="F38" i="46"/>
  <c r="F41" i="46"/>
  <c r="F40" i="46"/>
  <c r="H117" i="46"/>
  <c r="D24" i="59"/>
  <c r="C23" i="59"/>
  <c r="D23"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F15" i="44"/>
  <c r="E12" i="67"/>
  <c r="F39" i="44"/>
  <c r="B10" i="67"/>
  <c r="F16" i="15"/>
  <c r="M24" i="15"/>
  <c r="F8" i="67"/>
  <c r="E9" i="67"/>
  <c r="M8" i="15"/>
  <c r="F38" i="44"/>
  <c r="L47" i="15"/>
  <c r="B9" i="67"/>
  <c r="B8" i="67"/>
  <c r="J3" i="65"/>
  <c r="M6" i="15"/>
  <c r="M23" i="15"/>
  <c r="N5" i="65"/>
  <c r="F12" i="67"/>
  <c r="M26" i="44"/>
  <c r="F6" i="15"/>
  <c r="N7" i="65"/>
  <c r="B13" i="67"/>
  <c r="L48" i="44"/>
  <c r="F26" i="15"/>
  <c r="J5" i="65"/>
  <c r="L48" i="15"/>
  <c r="F10" i="67"/>
  <c r="I7" i="65"/>
  <c r="I3" i="65"/>
  <c r="J15" i="15"/>
  <c r="E8" i="67"/>
  <c r="F37" i="15"/>
  <c r="F38" i="15"/>
  <c r="E11" i="67"/>
  <c r="N3" i="65"/>
  <c r="M28" i="15"/>
  <c r="E13" i="67"/>
  <c r="F45" i="44"/>
  <c r="B12" i="67"/>
  <c r="J6" i="65"/>
  <c r="M25" i="44"/>
  <c r="M11" i="44"/>
  <c r="M9" i="15"/>
  <c r="F42" i="15"/>
  <c r="M28" i="44"/>
  <c r="F14" i="67"/>
  <c r="F11" i="67"/>
  <c r="N4" i="65"/>
  <c r="F28" i="44"/>
  <c r="L49" i="44"/>
  <c r="N6" i="65"/>
  <c r="M30" i="44"/>
  <c r="I6" i="65"/>
  <c r="I4" i="65"/>
  <c r="J4" i="65"/>
  <c r="F11" i="44"/>
  <c r="F8" i="44"/>
  <c r="B11" i="67"/>
  <c r="F9" i="67"/>
  <c r="J7" i="65"/>
  <c r="B14" i="67"/>
  <c r="M26" i="15"/>
  <c r="F13" i="67"/>
  <c r="I5" i="65"/>
  <c r="F13" i="15"/>
  <c r="M29" i="15"/>
  <c r="M24" i="44"/>
  <c r="J36" i="15"/>
  <c r="F9" i="15"/>
  <c r="F8" i="15"/>
  <c r="F43" i="15"/>
  <c r="F18" i="44"/>
  <c r="E14" i="67"/>
  <c r="M22" i="15"/>
  <c r="F43" i="44"/>
  <c r="E10" i="67"/>
  <c r="F40" i="15"/>
  <c r="F9" i="44"/>
  <c r="F36" i="15"/>
  <c r="F7" i="15"/>
  <c r="M31" i="44"/>
  <c r="J17" i="44"/>
  <c r="AA47" i="39" l="1"/>
  <c r="S47" i="39"/>
  <c r="J47" i="39"/>
  <c r="W47" i="39" s="1"/>
  <c r="U47" i="39"/>
  <c r="AA46" i="39"/>
  <c r="S45" i="39"/>
  <c r="S14" i="39"/>
  <c r="S15" i="39"/>
  <c r="AC44" i="39"/>
  <c r="AB44" i="39"/>
  <c r="AA44" i="39"/>
  <c r="AB43" i="39"/>
  <c r="S43" i="39"/>
  <c r="W43" i="39"/>
  <c r="U41" i="39"/>
  <c r="W41" i="39"/>
  <c r="S41" i="39"/>
  <c r="AA38" i="21"/>
  <c r="AC46" i="21"/>
  <c r="AC45" i="21"/>
  <c r="U43" i="21"/>
  <c r="AB36" i="21"/>
  <c r="S39" i="21"/>
  <c r="AC43" i="21"/>
  <c r="AA43" i="21"/>
  <c r="AC36" i="21"/>
  <c r="U35" i="21"/>
  <c r="AC34" i="21"/>
  <c r="S34" i="21"/>
  <c r="U40" i="21"/>
  <c r="AC40" i="21"/>
  <c r="AA40" i="21"/>
  <c r="W39" i="21"/>
  <c r="AB38" i="21"/>
  <c r="AA36" i="21"/>
  <c r="S35" i="21"/>
  <c r="AB34" i="21"/>
  <c r="S33" i="21"/>
  <c r="AB33" i="21"/>
  <c r="W10" i="21"/>
  <c r="AB10" i="21"/>
  <c r="S10" i="21"/>
  <c r="U9" i="21"/>
  <c r="I4" i="6"/>
  <c r="G3" i="46" s="1"/>
  <c r="Z7" i="46" s="1"/>
  <c r="J21" i="21"/>
  <c r="H21" i="21"/>
  <c r="F21" i="21"/>
  <c r="AA21" i="21" s="1"/>
  <c r="S32" i="21"/>
  <c r="AB32" i="21"/>
  <c r="W32" i="21"/>
  <c r="F85" i="21"/>
  <c r="G85" i="21" s="1"/>
  <c r="H23" i="21"/>
  <c r="U23" i="21" s="1"/>
  <c r="F23" i="21"/>
  <c r="S23" i="21" s="1"/>
  <c r="J23" i="21"/>
  <c r="AC23" i="21" s="1"/>
  <c r="F81" i="21"/>
  <c r="G81" i="21" s="1"/>
  <c r="F19" i="21"/>
  <c r="S19" i="21" s="1"/>
  <c r="H19" i="21"/>
  <c r="AB19" i="21" s="1"/>
  <c r="J19" i="21"/>
  <c r="W19" i="21" s="1"/>
  <c r="G79" i="21"/>
  <c r="H17" i="21"/>
  <c r="AB17" i="21" s="1"/>
  <c r="J17" i="21"/>
  <c r="AC17" i="21" s="1"/>
  <c r="F17" i="21"/>
  <c r="S17" i="21" s="1"/>
  <c r="F15" i="21"/>
  <c r="S15" i="21" s="1"/>
  <c r="F77" i="21"/>
  <c r="G77" i="21" s="1"/>
  <c r="H15" i="21"/>
  <c r="U15" i="21" s="1"/>
  <c r="J15" i="21"/>
  <c r="W15" i="21" s="1"/>
  <c r="U37" i="21"/>
  <c r="AB8" i="21"/>
  <c r="U42" i="21"/>
  <c r="S42" i="21"/>
  <c r="W42" i="21"/>
  <c r="S34" i="39"/>
  <c r="W39" i="39"/>
  <c r="F39" i="39"/>
  <c r="AC37" i="39"/>
  <c r="AC38" i="39"/>
  <c r="U34" i="39"/>
  <c r="F98" i="39"/>
  <c r="G98" i="39" s="1"/>
  <c r="F25" i="39"/>
  <c r="AA25" i="39" s="1"/>
  <c r="H25" i="39"/>
  <c r="U25" i="39" s="1"/>
  <c r="J25" i="39"/>
  <c r="AC25" i="39" s="1"/>
  <c r="F17" i="39"/>
  <c r="AA17" i="39" s="1"/>
  <c r="J17" i="39"/>
  <c r="W17" i="39" s="1"/>
  <c r="U19" i="39"/>
  <c r="AA19" i="39"/>
  <c r="AB29" i="39"/>
  <c r="S29" i="39"/>
  <c r="U27" i="39"/>
  <c r="W27" i="39"/>
  <c r="S25" i="39"/>
  <c r="AB25" i="39"/>
  <c r="U23" i="39"/>
  <c r="S23" i="39"/>
  <c r="W23" i="39"/>
  <c r="AC21" i="39"/>
  <c r="AA21" i="39"/>
  <c r="AC19" i="39"/>
  <c r="AB17" i="39"/>
  <c r="S11" i="39"/>
  <c r="W11" i="39"/>
  <c r="B68" i="46"/>
  <c r="B77" i="46"/>
  <c r="F29" i="6"/>
  <c r="F28" i="6"/>
  <c r="K33" i="9"/>
  <c r="K34" i="9" s="1"/>
  <c r="AC38" i="33"/>
  <c r="W38" i="33"/>
  <c r="W15" i="40"/>
  <c r="AC15" i="40"/>
  <c r="U31" i="37"/>
  <c r="AB31" i="37"/>
  <c r="W11" i="36"/>
  <c r="AC11" i="36"/>
  <c r="AC18" i="36"/>
  <c r="W26" i="33"/>
  <c r="U27" i="34"/>
  <c r="AC11" i="34"/>
  <c r="AC15" i="33"/>
  <c r="AA15" i="34"/>
  <c r="W34" i="40"/>
  <c r="U39" i="39"/>
  <c r="AB16" i="39"/>
  <c r="U14" i="40"/>
  <c r="AB14" i="40"/>
  <c r="AZ522" i="3"/>
  <c r="H11" i="36"/>
  <c r="AZ358" i="3"/>
  <c r="S36" i="37"/>
  <c r="AA36" i="37"/>
  <c r="AB14" i="21"/>
  <c r="AC33" i="36"/>
  <c r="W33" i="36"/>
  <c r="BL572" i="3"/>
  <c r="BL570" i="3"/>
  <c r="BH5" i="3"/>
  <c r="B99" i="46"/>
  <c r="B76" i="46"/>
  <c r="AA34" i="34"/>
  <c r="S34" i="34"/>
  <c r="W36" i="34"/>
  <c r="AC36" i="34"/>
  <c r="U40" i="34"/>
  <c r="AB40" i="34"/>
  <c r="H14" i="33"/>
  <c r="J14" i="33"/>
  <c r="F14" i="33"/>
  <c r="J44" i="33"/>
  <c r="F44" i="33"/>
  <c r="H44" i="33"/>
  <c r="H12" i="34"/>
  <c r="F12" i="34"/>
  <c r="J46" i="34"/>
  <c r="F46" i="34"/>
  <c r="F11" i="35"/>
  <c r="J11" i="35"/>
  <c r="W38" i="34"/>
  <c r="AC38" i="34"/>
  <c r="AB31" i="35"/>
  <c r="U31" i="35"/>
  <c r="BA538" i="3"/>
  <c r="AZ538" i="3" s="1"/>
  <c r="BL536" i="3"/>
  <c r="BA536" i="3"/>
  <c r="BL535" i="3"/>
  <c r="AZ535" i="3" s="1"/>
  <c r="BL511" i="3"/>
  <c r="AZ511" i="3" s="1"/>
  <c r="BL509" i="3"/>
  <c r="AZ509" i="3" s="1"/>
  <c r="BA509" i="3"/>
  <c r="AC42" i="33"/>
  <c r="W42" i="33"/>
  <c r="W27" i="35"/>
  <c r="AC27" i="35"/>
  <c r="S37" i="40"/>
  <c r="S39" i="40"/>
  <c r="AC23" i="33"/>
  <c r="W29" i="39"/>
  <c r="S27" i="39"/>
  <c r="C22" i="59"/>
  <c r="C21" i="59" s="1"/>
  <c r="C20" i="59" s="1"/>
  <c r="W29" i="40"/>
  <c r="W17" i="37"/>
  <c r="W19" i="37"/>
  <c r="AB14" i="36"/>
  <c r="AA20" i="36"/>
  <c r="S32" i="40"/>
  <c r="W28" i="36"/>
  <c r="AB45" i="39"/>
  <c r="U25" i="33"/>
  <c r="AA27" i="34"/>
  <c r="W14" i="35"/>
  <c r="W32" i="40"/>
  <c r="U21" i="39"/>
  <c r="AA29" i="35"/>
  <c r="AB41" i="40"/>
  <c r="AC12" i="21"/>
  <c r="AZ496" i="3"/>
  <c r="AB29" i="35"/>
  <c r="AZ298" i="3"/>
  <c r="U12" i="37"/>
  <c r="AB12" i="37"/>
  <c r="AB44" i="21"/>
  <c r="AA37" i="34"/>
  <c r="S37" i="34"/>
  <c r="U39" i="21"/>
  <c r="AB39" i="21"/>
  <c r="AZ510" i="3"/>
  <c r="AZ196" i="3"/>
  <c r="AB20" i="36"/>
  <c r="S27" i="21"/>
  <c r="G29" i="6"/>
  <c r="W25" i="40"/>
  <c r="AC11" i="33"/>
  <c r="W37" i="34"/>
  <c r="AA34" i="33"/>
  <c r="AA11" i="36"/>
  <c r="AB37" i="39"/>
  <c r="W41" i="40"/>
  <c r="U8" i="33"/>
  <c r="AZ571" i="3"/>
  <c r="AC14" i="37"/>
  <c r="U23" i="37"/>
  <c r="AB23" i="37"/>
  <c r="U45" i="34"/>
  <c r="AB45" i="34"/>
  <c r="AC37" i="37"/>
  <c r="W37" i="37"/>
  <c r="W28" i="33"/>
  <c r="AC28" i="33"/>
  <c r="H9" i="34"/>
  <c r="J9" i="34"/>
  <c r="AZ374" i="3"/>
  <c r="AZ381" i="3"/>
  <c r="AZ331" i="3"/>
  <c r="AZ322" i="3"/>
  <c r="AC30" i="21"/>
  <c r="AB28" i="36"/>
  <c r="AB13" i="35"/>
  <c r="H30" i="33"/>
  <c r="H31" i="21"/>
  <c r="C23" i="39"/>
  <c r="U30" i="37"/>
  <c r="W35" i="21"/>
  <c r="AC35" i="21"/>
  <c r="J44" i="21"/>
  <c r="F44" i="21"/>
  <c r="F9" i="21"/>
  <c r="J9" i="21"/>
  <c r="AA33" i="33"/>
  <c r="S33" i="33"/>
  <c r="AC40" i="33"/>
  <c r="W40" i="33"/>
  <c r="J36" i="35"/>
  <c r="F31" i="33"/>
  <c r="J31" i="33"/>
  <c r="G525" i="3"/>
  <c r="AZ533" i="3"/>
  <c r="AZ352" i="3"/>
  <c r="AZ336" i="3"/>
  <c r="AZ320" i="3"/>
  <c r="AZ339" i="3"/>
  <c r="AZ184" i="3"/>
  <c r="AC33" i="21"/>
  <c r="AC37" i="33"/>
  <c r="J27" i="21"/>
  <c r="W33" i="33"/>
  <c r="AB26" i="36"/>
  <c r="U26" i="36"/>
  <c r="H39" i="37"/>
  <c r="J39" i="37"/>
  <c r="H27" i="33"/>
  <c r="J27" i="33"/>
  <c r="J24" i="36"/>
  <c r="H24" i="36"/>
  <c r="J27" i="37"/>
  <c r="H27" i="37"/>
  <c r="G541" i="3"/>
  <c r="G524" i="3"/>
  <c r="G511" i="3"/>
  <c r="G481" i="3"/>
  <c r="G395" i="3"/>
  <c r="BA395" i="3"/>
  <c r="AZ395" i="3" s="1"/>
  <c r="BA397" i="3"/>
  <c r="BL397" i="3"/>
  <c r="BA400" i="3"/>
  <c r="G404" i="3"/>
  <c r="G407" i="3"/>
  <c r="BL407" i="3"/>
  <c r="BL412" i="3"/>
  <c r="G413" i="3"/>
  <c r="G415" i="3"/>
  <c r="BA415" i="3"/>
  <c r="BA417" i="3"/>
  <c r="BL417" i="3"/>
  <c r="AZ417" i="3" s="1"/>
  <c r="G423" i="3"/>
  <c r="BL423" i="3"/>
  <c r="BL429" i="3"/>
  <c r="G432" i="3"/>
  <c r="G433" i="3"/>
  <c r="G435" i="3"/>
  <c r="BL435" i="3"/>
  <c r="BA437" i="3"/>
  <c r="AZ437" i="3" s="1"/>
  <c r="BL437" i="3"/>
  <c r="BA440" i="3"/>
  <c r="BL445" i="3"/>
  <c r="G451" i="3"/>
  <c r="BA451" i="3"/>
  <c r="BL456" i="3"/>
  <c r="G457" i="3"/>
  <c r="G459" i="3"/>
  <c r="BA459" i="3"/>
  <c r="BL461" i="3"/>
  <c r="BA464" i="3"/>
  <c r="BA470" i="3"/>
  <c r="BL472" i="3"/>
  <c r="G473" i="3"/>
  <c r="G391" i="3"/>
  <c r="BL391" i="3"/>
  <c r="BL396" i="3"/>
  <c r="G397" i="3"/>
  <c r="BA399" i="3"/>
  <c r="BL401" i="3"/>
  <c r="BA404" i="3"/>
  <c r="BA414" i="3"/>
  <c r="BL416" i="3"/>
  <c r="G417" i="3"/>
  <c r="BL419" i="3"/>
  <c r="BL425" i="3"/>
  <c r="G428" i="3"/>
  <c r="G429" i="3"/>
  <c r="BA434" i="3"/>
  <c r="BL436" i="3"/>
  <c r="G437" i="3"/>
  <c r="BA439" i="3"/>
  <c r="BL441" i="3"/>
  <c r="G444" i="3"/>
  <c r="G445" i="3"/>
  <c r="BA448" i="3"/>
  <c r="AZ448" i="3" s="1"/>
  <c r="BL453" i="3"/>
  <c r="BA458" i="3"/>
  <c r="G463" i="3"/>
  <c r="BA463" i="3"/>
  <c r="BA465" i="3"/>
  <c r="BL465" i="3"/>
  <c r="BA468" i="3"/>
  <c r="G564" i="3"/>
  <c r="G551" i="3"/>
  <c r="G505" i="3"/>
  <c r="G496" i="3"/>
  <c r="G495" i="3"/>
  <c r="G15" i="3"/>
  <c r="BL393" i="3"/>
  <c r="G396" i="3"/>
  <c r="BA398" i="3"/>
  <c r="BL400" i="3"/>
  <c r="G401" i="3"/>
  <c r="BA403" i="3"/>
  <c r="BA405" i="3"/>
  <c r="BL405" i="3"/>
  <c r="BA412" i="3"/>
  <c r="BA447" i="3"/>
  <c r="BL449" i="3"/>
  <c r="BA456" i="3"/>
  <c r="BA462" i="3"/>
  <c r="BL464" i="3"/>
  <c r="G465" i="3"/>
  <c r="G467" i="3"/>
  <c r="BA467" i="3"/>
  <c r="BL469" i="3"/>
  <c r="BA472" i="3"/>
  <c r="AZ472" i="3" s="1"/>
  <c r="G548" i="3"/>
  <c r="G536" i="3"/>
  <c r="G519" i="3"/>
  <c r="G497" i="3"/>
  <c r="G411" i="3"/>
  <c r="BA411" i="3"/>
  <c r="BA413" i="3"/>
  <c r="BL413" i="3"/>
  <c r="AZ413" i="3" s="1"/>
  <c r="BA416" i="3"/>
  <c r="G427" i="3"/>
  <c r="BA427" i="3"/>
  <c r="BA433" i="3"/>
  <c r="AZ433" i="3" s="1"/>
  <c r="BL433" i="3"/>
  <c r="BA436" i="3"/>
  <c r="G443" i="3"/>
  <c r="BA443" i="3"/>
  <c r="AZ443" i="3" s="1"/>
  <c r="G455" i="3"/>
  <c r="BL455" i="3"/>
  <c r="BA457" i="3"/>
  <c r="BL457" i="3"/>
  <c r="AZ457" i="3" s="1"/>
  <c r="BA460" i="3"/>
  <c r="BA466" i="3"/>
  <c r="G471" i="3"/>
  <c r="BA471" i="3"/>
  <c r="G475" i="3"/>
  <c r="BA475" i="3"/>
  <c r="BA480" i="3"/>
  <c r="G315" i="3"/>
  <c r="BA341" i="3"/>
  <c r="AZ341" i="3" s="1"/>
  <c r="BA350" i="3"/>
  <c r="G383" i="3"/>
  <c r="BA385" i="3"/>
  <c r="BL386" i="3"/>
  <c r="BL207" i="3"/>
  <c r="G208" i="3"/>
  <c r="G209" i="3"/>
  <c r="BA211" i="3"/>
  <c r="BL215" i="3"/>
  <c r="G216" i="3"/>
  <c r="G217" i="3"/>
  <c r="BL218" i="3"/>
  <c r="G228" i="3"/>
  <c r="G229" i="3"/>
  <c r="BA231" i="3"/>
  <c r="AZ231" i="3" s="1"/>
  <c r="G235" i="3"/>
  <c r="G236" i="3"/>
  <c r="G238" i="3"/>
  <c r="BL238" i="3"/>
  <c r="BA240" i="3"/>
  <c r="BL240" i="3"/>
  <c r="BA245" i="3"/>
  <c r="BL247" i="3"/>
  <c r="G248" i="3"/>
  <c r="G250" i="3"/>
  <c r="BL250" i="3"/>
  <c r="G255" i="3"/>
  <c r="BA257" i="3"/>
  <c r="BA260" i="3"/>
  <c r="BL260" i="3"/>
  <c r="BA263" i="3"/>
  <c r="G267" i="3"/>
  <c r="G268" i="3"/>
  <c r="G274" i="3"/>
  <c r="BL274" i="3"/>
  <c r="BL280" i="3"/>
  <c r="G283" i="3"/>
  <c r="G284" i="3"/>
  <c r="G290" i="3"/>
  <c r="BA292" i="3"/>
  <c r="AZ292" i="3" s="1"/>
  <c r="BL296" i="3"/>
  <c r="BL114" i="3"/>
  <c r="AZ114" i="3" s="1"/>
  <c r="BA115" i="3"/>
  <c r="AZ115" i="3" s="1"/>
  <c r="BL117" i="3"/>
  <c r="G118" i="3"/>
  <c r="BA125" i="3"/>
  <c r="BA127" i="3"/>
  <c r="AZ127" i="3" s="1"/>
  <c r="G133" i="3"/>
  <c r="BL133" i="3"/>
  <c r="BL136" i="3"/>
  <c r="BA474" i="3"/>
  <c r="G479" i="3"/>
  <c r="BA479" i="3"/>
  <c r="BA301" i="3"/>
  <c r="AZ301" i="3" s="1"/>
  <c r="BL346" i="3"/>
  <c r="AZ346" i="3" s="1"/>
  <c r="BA368" i="3"/>
  <c r="BL380" i="3"/>
  <c r="AZ380" i="3" s="1"/>
  <c r="BA237" i="3"/>
  <c r="G242" i="3"/>
  <c r="BL242" i="3"/>
  <c r="BA249" i="3"/>
  <c r="BL270" i="3"/>
  <c r="BL286" i="3"/>
  <c r="BA478" i="3"/>
  <c r="BL480" i="3"/>
  <c r="BL335" i="3"/>
  <c r="BA353" i="3"/>
  <c r="AZ353" i="3" s="1"/>
  <c r="G365" i="3"/>
  <c r="BA221" i="3"/>
  <c r="BL223" i="3"/>
  <c r="G226" i="3"/>
  <c r="BA227" i="3"/>
  <c r="BL231" i="3"/>
  <c r="G234" i="3"/>
  <c r="BL234" i="3"/>
  <c r="BA241" i="3"/>
  <c r="BA247" i="3"/>
  <c r="G254" i="3"/>
  <c r="BL254" i="3"/>
  <c r="BA256" i="3"/>
  <c r="BL256" i="3"/>
  <c r="BA261" i="3"/>
  <c r="BL263" i="3"/>
  <c r="G266" i="3"/>
  <c r="BL266" i="3"/>
  <c r="G282" i="3"/>
  <c r="BL282" i="3"/>
  <c r="BA113" i="3"/>
  <c r="BA117" i="3"/>
  <c r="BA119" i="3"/>
  <c r="AZ119" i="3" s="1"/>
  <c r="G123" i="3"/>
  <c r="BA123" i="3"/>
  <c r="AZ123" i="3" s="1"/>
  <c r="BL125" i="3"/>
  <c r="BA132" i="3"/>
  <c r="BA148" i="3"/>
  <c r="BA476" i="3"/>
  <c r="BL316" i="3"/>
  <c r="AZ316" i="3" s="1"/>
  <c r="BA319" i="3"/>
  <c r="BA325" i="3"/>
  <c r="AZ325" i="3" s="1"/>
  <c r="BL332" i="3"/>
  <c r="AZ332" i="3" s="1"/>
  <c r="G333" i="3"/>
  <c r="BA335" i="3"/>
  <c r="G345" i="3"/>
  <c r="BA371" i="3"/>
  <c r="BA205" i="3"/>
  <c r="BL206" i="3"/>
  <c r="G211" i="3"/>
  <c r="BA213" i="3"/>
  <c r="BL214" i="3"/>
  <c r="BA219" i="3"/>
  <c r="G223" i="3"/>
  <c r="BA225" i="3"/>
  <c r="BA233" i="3"/>
  <c r="BA236" i="3"/>
  <c r="BL236" i="3"/>
  <c r="BA239" i="3"/>
  <c r="AZ239" i="3" s="1"/>
  <c r="G246" i="3"/>
  <c r="BL246" i="3"/>
  <c r="BA248" i="3"/>
  <c r="AZ248" i="3" s="1"/>
  <c r="BL248" i="3"/>
  <c r="BA253" i="3"/>
  <c r="BL255" i="3"/>
  <c r="AZ255" i="3" s="1"/>
  <c r="G256" i="3"/>
  <c r="G258" i="3"/>
  <c r="BL258" i="3"/>
  <c r="G263" i="3"/>
  <c r="BA265" i="3"/>
  <c r="BA268" i="3"/>
  <c r="BL268" i="3"/>
  <c r="G278" i="3"/>
  <c r="BL278" i="3"/>
  <c r="BA284" i="3"/>
  <c r="BL284"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BA156" i="3"/>
  <c r="BL157" i="3"/>
  <c r="AZ157" i="3" s="1"/>
  <c r="C44" i="59"/>
  <c r="C45" i="59" s="1"/>
  <c r="T45" i="59" s="1"/>
  <c r="D43" i="59"/>
  <c r="D55" i="59"/>
  <c r="C56" i="59"/>
  <c r="D63" i="59"/>
  <c r="C64" i="59"/>
  <c r="G161" i="3"/>
  <c r="BL167" i="3"/>
  <c r="BL169" i="3"/>
  <c r="AZ169" i="3" s="1"/>
  <c r="BA170" i="3"/>
  <c r="AZ170" i="3" s="1"/>
  <c r="BL172" i="3"/>
  <c r="BA183" i="3"/>
  <c r="BA187" i="3"/>
  <c r="BA191" i="3"/>
  <c r="BA195" i="3"/>
  <c r="BA199" i="3"/>
  <c r="G203" i="3"/>
  <c r="BA203" i="3"/>
  <c r="AZ203" i="3" s="1"/>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G103" i="3"/>
  <c r="BA103" i="3"/>
  <c r="BL105" i="3"/>
  <c r="BA108" i="3"/>
  <c r="S31" i="39"/>
  <c r="C79" i="59"/>
  <c r="D79" i="59" s="1"/>
  <c r="D25" i="59"/>
  <c r="BA159" i="3"/>
  <c r="BA164" i="3"/>
  <c r="AZ164" i="3" s="1"/>
  <c r="BA166" i="3"/>
  <c r="AZ166" i="3" s="1"/>
  <c r="G169" i="3"/>
  <c r="BL175" i="3"/>
  <c r="BA186" i="3"/>
  <c r="BA194" i="3"/>
  <c r="G23" i="3"/>
  <c r="BA24" i="3"/>
  <c r="BL28" i="3"/>
  <c r="BL32" i="3"/>
  <c r="G39" i="3"/>
  <c r="BA40" i="3"/>
  <c r="BL44" i="3"/>
  <c r="BL48" i="3"/>
  <c r="G55" i="3"/>
  <c r="BA56" i="3"/>
  <c r="G60" i="3"/>
  <c r="G67" i="3"/>
  <c r="BL79" i="3"/>
  <c r="G82" i="3"/>
  <c r="BA82" i="3"/>
  <c r="G87" i="3"/>
  <c r="BA88" i="3"/>
  <c r="AZ88" i="3" s="1"/>
  <c r="BA90" i="3"/>
  <c r="BL92" i="3"/>
  <c r="BL95" i="3"/>
  <c r="G99" i="3"/>
  <c r="BL104" i="3"/>
  <c r="G107" i="3"/>
  <c r="BA107" i="3"/>
  <c r="BL109" i="3"/>
  <c r="BL111" i="3"/>
  <c r="BA112" i="3"/>
  <c r="AZ112" i="3" s="1"/>
  <c r="S21" i="21"/>
  <c r="D52" i="59"/>
  <c r="C75" i="59"/>
  <c r="D75" i="59" s="1"/>
  <c r="C67" i="59"/>
  <c r="Q69" i="59"/>
  <c r="D69" i="59"/>
  <c r="AB27" i="59"/>
  <c r="AA3" i="59"/>
  <c r="AA30" i="59"/>
  <c r="Y31" i="59"/>
  <c r="Z31" i="59" s="1"/>
  <c r="Y32" i="59"/>
  <c r="Z32" i="59" s="1"/>
  <c r="Y33" i="59"/>
  <c r="Z33" i="59" s="1"/>
  <c r="B35" i="59"/>
  <c r="B36" i="59" s="1"/>
  <c r="B37" i="59" s="1"/>
  <c r="S37" i="59" s="1"/>
  <c r="Y38" i="59"/>
  <c r="Z38" i="59" s="1"/>
  <c r="BA139" i="3"/>
  <c r="AZ139" i="3" s="1"/>
  <c r="BL141" i="3"/>
  <c r="G142" i="3"/>
  <c r="BA145" i="3"/>
  <c r="AZ145" i="3" s="1"/>
  <c r="G152" i="3"/>
  <c r="BL155" i="3"/>
  <c r="BL159" i="3"/>
  <c r="BL163" i="3"/>
  <c r="G166" i="3"/>
  <c r="BA168" i="3"/>
  <c r="BA172" i="3"/>
  <c r="BA174" i="3"/>
  <c r="AZ174" i="3" s="1"/>
  <c r="G177" i="3"/>
  <c r="BA177" i="3"/>
  <c r="BL180" i="3"/>
  <c r="AZ180" i="3" s="1"/>
  <c r="BA182" i="3"/>
  <c r="AZ182" i="3" s="1"/>
  <c r="BL184" i="3"/>
  <c r="G188" i="3"/>
  <c r="BL188" i="3"/>
  <c r="AZ188" i="3" s="1"/>
  <c r="BA190" i="3"/>
  <c r="AZ190" i="3" s="1"/>
  <c r="BL192" i="3"/>
  <c r="AZ192" i="3" s="1"/>
  <c r="G196" i="3"/>
  <c r="BL196" i="3"/>
  <c r="BA198" i="3"/>
  <c r="AZ198" i="3" s="1"/>
  <c r="BL200" i="3"/>
  <c r="AZ200" i="3" s="1"/>
  <c r="G204" i="3"/>
  <c r="G21" i="3"/>
  <c r="BA22" i="3"/>
  <c r="AZ22" i="3" s="1"/>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AB38" i="59"/>
  <c r="AB39" i="59"/>
  <c r="B48" i="59"/>
  <c r="B49" i="59" s="1"/>
  <c r="S49" i="59" s="1"/>
  <c r="E60" i="59"/>
  <c r="E61" i="59" s="1"/>
  <c r="U61" i="59" s="1"/>
  <c r="D77"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D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6" i="3"/>
  <c r="AZ440" i="3"/>
  <c r="AZ456" i="3"/>
  <c r="AZ460" i="3"/>
  <c r="AZ464" i="3"/>
  <c r="AZ468"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BA453" i="3"/>
  <c r="AZ453" i="3" s="1"/>
  <c r="BL458" i="3"/>
  <c r="AZ458" i="3" s="1"/>
  <c r="BA461" i="3"/>
  <c r="AZ461" i="3" s="1"/>
  <c r="BL462" i="3"/>
  <c r="AZ462" i="3" s="1"/>
  <c r="BL466" i="3"/>
  <c r="AZ466" i="3" s="1"/>
  <c r="BA469" i="3"/>
  <c r="AZ469" i="3" s="1"/>
  <c r="BL470" i="3"/>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AZ219" i="3" s="1"/>
  <c r="BA222" i="3"/>
  <c r="AZ222" i="3" s="1"/>
  <c r="BA226" i="3"/>
  <c r="AZ226" i="3" s="1"/>
  <c r="BL227" i="3"/>
  <c r="AZ113"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BA152" i="3"/>
  <c r="AZ152" i="3" s="1"/>
  <c r="BA230" i="3"/>
  <c r="AZ230" i="3" s="1"/>
  <c r="BA234" i="3"/>
  <c r="AZ234" i="3" s="1"/>
  <c r="BL235" i="3"/>
  <c r="BA238" i="3"/>
  <c r="BA242" i="3"/>
  <c r="AZ242" i="3" s="1"/>
  <c r="BL243" i="3"/>
  <c r="AZ243" i="3" s="1"/>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BL279" i="3"/>
  <c r="AZ279" i="3" s="1"/>
  <c r="BA282" i="3"/>
  <c r="AZ282" i="3" s="1"/>
  <c r="BL283" i="3"/>
  <c r="AZ283" i="3" s="1"/>
  <c r="BA286" i="3"/>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G112" i="3"/>
  <c r="AZ172" i="3"/>
  <c r="BL183" i="3"/>
  <c r="AZ183" i="3" s="1"/>
  <c r="BL191" i="3"/>
  <c r="AZ191" i="3" s="1"/>
  <c r="BL199" i="3"/>
  <c r="AZ199" i="3" s="1"/>
  <c r="BL204" i="3"/>
  <c r="AZ204" i="3" s="1"/>
  <c r="BL24" i="3"/>
  <c r="AZ24" i="3" s="1"/>
  <c r="BL36" i="3"/>
  <c r="AZ36" i="3" s="1"/>
  <c r="BL40" i="3"/>
  <c r="AZ40" i="3" s="1"/>
  <c r="BL52" i="3"/>
  <c r="AZ52" i="3" s="1"/>
  <c r="BL56" i="3"/>
  <c r="AZ56" i="3" s="1"/>
  <c r="BL59" i="3"/>
  <c r="BA65" i="3"/>
  <c r="AZ65" i="3" s="1"/>
  <c r="BL70" i="3"/>
  <c r="AZ70" i="3" s="1"/>
  <c r="BA72" i="3"/>
  <c r="AZ72" i="3" s="1"/>
  <c r="BL73" i="3"/>
  <c r="AZ73" i="3" s="1"/>
  <c r="BA85" i="3"/>
  <c r="AZ85" i="3" s="1"/>
  <c r="AZ95" i="3"/>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AZ21" i="3" s="1"/>
  <c r="BL22" i="3"/>
  <c r="BA25" i="3"/>
  <c r="AZ25" i="3" s="1"/>
  <c r="BL26" i="3"/>
  <c r="AZ26" i="3" s="1"/>
  <c r="BA37" i="3"/>
  <c r="AZ37" i="3" s="1"/>
  <c r="BL38" i="3"/>
  <c r="AZ38" i="3" s="1"/>
  <c r="BA41" i="3"/>
  <c r="AZ41" i="3" s="1"/>
  <c r="BL42" i="3"/>
  <c r="AZ42" i="3" s="1"/>
  <c r="BA53" i="3"/>
  <c r="AZ53" i="3" s="1"/>
  <c r="BL54" i="3"/>
  <c r="AZ54" i="3" s="1"/>
  <c r="BL84" i="3"/>
  <c r="AZ84" i="3" s="1"/>
  <c r="AZ93" i="3"/>
  <c r="AZ104" i="3"/>
  <c r="BA105" i="3"/>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K15" i="1" s="1"/>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AZ484" i="3"/>
  <c r="AZ397" i="3"/>
  <c r="AZ405" i="3"/>
  <c r="AZ411" i="3"/>
  <c r="AZ427" i="3"/>
  <c r="AZ447" i="3"/>
  <c r="AZ451" i="3"/>
  <c r="AZ465" i="3"/>
  <c r="AZ473" i="3"/>
  <c r="AZ206" i="3"/>
  <c r="AZ116" i="3"/>
  <c r="BT5" i="3"/>
  <c r="G28" i="6" s="1"/>
  <c r="G30" i="6" s="1"/>
  <c r="G31" i="6" s="1"/>
  <c r="BI5" i="3"/>
  <c r="BG5" i="3"/>
  <c r="AZ208" i="3"/>
  <c r="AZ211" i="3"/>
  <c r="AZ227" i="3"/>
  <c r="AZ235" i="3"/>
  <c r="AZ251" i="3"/>
  <c r="AZ259" i="3"/>
  <c r="AZ271" i="3"/>
  <c r="AZ287" i="3"/>
  <c r="AZ168" i="3"/>
  <c r="AZ176" i="3"/>
  <c r="AZ186" i="3"/>
  <c r="AZ194" i="3"/>
  <c r="AZ29" i="3"/>
  <c r="AZ33" i="3"/>
  <c r="AZ45"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C15" i="43"/>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Q73" i="44"/>
  <c r="C6" i="15"/>
  <c r="F65" i="15"/>
  <c r="C29" i="44"/>
  <c r="J1" i="65"/>
  <c r="F67" i="15"/>
  <c r="F50" i="15"/>
  <c r="C27" i="15"/>
  <c r="F64" i="15"/>
  <c r="F70" i="15"/>
  <c r="M9" i="44"/>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F40" i="44"/>
  <c r="C16" i="15"/>
  <c r="M10" i="44"/>
  <c r="F10" i="44"/>
  <c r="M8" i="44"/>
  <c r="C18" i="44"/>
  <c r="E3" i="65"/>
  <c r="W17" i="21" l="1"/>
  <c r="U19" i="21"/>
  <c r="AB21" i="21"/>
  <c r="U21" i="21"/>
  <c r="AC21" i="21"/>
  <c r="W21" i="21"/>
  <c r="AA15" i="21"/>
  <c r="AA23" i="21"/>
  <c r="W23" i="21"/>
  <c r="AB23" i="21"/>
  <c r="AC19" i="21"/>
  <c r="AA19" i="21"/>
  <c r="AA17" i="21"/>
  <c r="U17" i="21"/>
  <c r="AC15" i="21"/>
  <c r="AB15" i="21"/>
  <c r="AA39" i="39"/>
  <c r="S39" i="39"/>
  <c r="W25" i="39"/>
  <c r="S17" i="39"/>
  <c r="AC17" i="39"/>
  <c r="D21" i="12"/>
  <c r="C21" i="12" s="1"/>
  <c r="AZ13" i="3"/>
  <c r="E15" i="6"/>
  <c r="E61" i="40" s="1"/>
  <c r="AP10" i="1"/>
  <c r="C8" i="44"/>
  <c r="C34" i="44" s="1"/>
  <c r="F33" i="44"/>
  <c r="AC46" i="34"/>
  <c r="W46" i="34"/>
  <c r="AB11" i="36"/>
  <c r="U11" i="36"/>
  <c r="R7" i="54"/>
  <c r="B52" i="63" s="1"/>
  <c r="AZ91" i="3"/>
  <c r="AZ5" i="3" s="1"/>
  <c r="E3" i="6" s="1"/>
  <c r="D16" i="43" s="1"/>
  <c r="C16" i="43" s="1"/>
  <c r="AZ66" i="3"/>
  <c r="AZ148" i="3"/>
  <c r="AZ439" i="3"/>
  <c r="T21" i="59"/>
  <c r="C57" i="59"/>
  <c r="D56" i="59"/>
  <c r="AZ236" i="3"/>
  <c r="W24" i="36"/>
  <c r="AC24" i="36"/>
  <c r="AC9" i="21"/>
  <c r="W9" i="21"/>
  <c r="U31" i="21"/>
  <c r="AB31" i="21"/>
  <c r="AC9" i="34"/>
  <c r="W9" i="34"/>
  <c r="AC11" i="35"/>
  <c r="W11" i="35"/>
  <c r="S12" i="34"/>
  <c r="AA12" i="34"/>
  <c r="AC44" i="33"/>
  <c r="W44" i="33"/>
  <c r="AC44" i="21"/>
  <c r="W44" i="21"/>
  <c r="S44" i="33"/>
  <c r="AA44" i="33"/>
  <c r="C32" i="15"/>
  <c r="AZ106" i="3"/>
  <c r="AZ105" i="3"/>
  <c r="AZ62" i="3"/>
  <c r="D45" i="59"/>
  <c r="AZ59" i="3"/>
  <c r="AZ109" i="3"/>
  <c r="AZ286" i="3"/>
  <c r="AZ278" i="3"/>
  <c r="AZ238" i="3"/>
  <c r="AZ265" i="3"/>
  <c r="AZ391" i="3"/>
  <c r="AZ471" i="3"/>
  <c r="AZ474" i="3"/>
  <c r="AZ449" i="3"/>
  <c r="AZ401" i="3"/>
  <c r="D22" i="59"/>
  <c r="C36" i="59"/>
  <c r="D35" i="59"/>
  <c r="O66" i="59"/>
  <c r="D67" i="59"/>
  <c r="AZ82" i="3"/>
  <c r="AZ247" i="3"/>
  <c r="AZ260" i="3"/>
  <c r="U27" i="37"/>
  <c r="AB27" i="37"/>
  <c r="AC27" i="33"/>
  <c r="W27" i="33"/>
  <c r="AC39" i="37"/>
  <c r="W39" i="37"/>
  <c r="AC31" i="33"/>
  <c r="W31" i="33"/>
  <c r="S9" i="21"/>
  <c r="AA9" i="21"/>
  <c r="AB30" i="33"/>
  <c r="U30" i="33"/>
  <c r="AB9" i="34"/>
  <c r="U9" i="34"/>
  <c r="AZ536" i="3"/>
  <c r="S11" i="35"/>
  <c r="AA11" i="35"/>
  <c r="U12" i="34"/>
  <c r="AB12" i="34"/>
  <c r="AA14" i="33"/>
  <c r="S14" i="33"/>
  <c r="J8" i="44"/>
  <c r="J20" i="44" s="1"/>
  <c r="AZ263" i="3"/>
  <c r="AB24" i="36"/>
  <c r="U24" i="36"/>
  <c r="AC36" i="35"/>
  <c r="W36" i="35"/>
  <c r="U14" i="33"/>
  <c r="AB14" i="33"/>
  <c r="G10" i="1"/>
  <c r="AZ187" i="3"/>
  <c r="AZ163" i="3"/>
  <c r="AZ385" i="3"/>
  <c r="AZ470" i="3"/>
  <c r="AZ398" i="3"/>
  <c r="AZ159" i="3"/>
  <c r="C65" i="59"/>
  <c r="D64" i="59"/>
  <c r="AZ284" i="3"/>
  <c r="AZ268" i="3"/>
  <c r="AZ256" i="3"/>
  <c r="AZ240" i="3"/>
  <c r="W27" i="37"/>
  <c r="AC27" i="37"/>
  <c r="U27" i="33"/>
  <c r="AB27" i="33"/>
  <c r="AB39" i="37"/>
  <c r="U39" i="37"/>
  <c r="W27" i="21"/>
  <c r="AC27" i="21"/>
  <c r="AA31" i="33"/>
  <c r="S31" i="33"/>
  <c r="AA44" i="21"/>
  <c r="S44" i="21"/>
  <c r="S46" i="34"/>
  <c r="AA46" i="34"/>
  <c r="U44" i="33"/>
  <c r="AB44" i="33"/>
  <c r="W14" i="33"/>
  <c r="AC14" i="33"/>
  <c r="C66" i="40"/>
  <c r="A1" i="70"/>
  <c r="P28" i="46"/>
  <c r="B67" i="40" s="1"/>
  <c r="P25" i="46"/>
  <c r="P26" i="46"/>
  <c r="C71" i="39"/>
  <c r="O23" i="46"/>
  <c r="P29" i="46"/>
  <c r="B72" i="39" s="1"/>
  <c r="P27" i="46"/>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F33" i="12"/>
  <c r="C34" i="12" s="1"/>
  <c r="D33" i="12" s="1"/>
  <c r="H7" i="34"/>
  <c r="U7" i="34" s="1"/>
  <c r="F7" i="34"/>
  <c r="AA7" i="34" s="1"/>
  <c r="R49" i="34" s="1"/>
  <c r="J7" i="34"/>
  <c r="W7" i="34" s="1"/>
  <c r="G16" i="1"/>
  <c r="J12" i="40" s="1"/>
  <c r="F7" i="21"/>
  <c r="AA7" i="21" s="1"/>
  <c r="H7" i="21"/>
  <c r="AB7" i="21" s="1"/>
  <c r="B12" i="59"/>
  <c r="S13" i="59"/>
  <c r="F58" i="15"/>
  <c r="H7" i="35"/>
  <c r="U7" i="35" s="1"/>
  <c r="E64" i="40"/>
  <c r="D66" i="40"/>
  <c r="J7" i="37"/>
  <c r="D71" i="39"/>
  <c r="E69" i="39"/>
  <c r="H7" i="33"/>
  <c r="F7" i="33"/>
  <c r="J46" i="36"/>
  <c r="J7" i="35"/>
  <c r="F7" i="35"/>
  <c r="H7" i="37"/>
  <c r="F7" i="37"/>
  <c r="M19" i="44"/>
  <c r="F17" i="11"/>
  <c r="C17" i="11" s="1"/>
  <c r="C19" i="11" s="1"/>
  <c r="Q62" i="15"/>
  <c r="Q75" i="15"/>
  <c r="M13" i="44"/>
  <c r="J12" i="44" s="1"/>
  <c r="F11" i="15"/>
  <c r="M11" i="15"/>
  <c r="F13" i="44"/>
  <c r="C12" i="44" s="1"/>
  <c r="Q75" i="44"/>
  <c r="Q62" i="44"/>
  <c r="C48" i="15"/>
  <c r="M32" i="46"/>
  <c r="P32" i="46"/>
  <c r="O32" i="46"/>
  <c r="N32" i="46"/>
  <c r="F1" i="44"/>
  <c r="Q54" i="44"/>
  <c r="Q63" i="44"/>
  <c r="Q76" i="44"/>
  <c r="F1" i="15"/>
  <c r="Q53" i="15"/>
  <c r="Q61" i="15"/>
  <c r="Q74" i="15"/>
  <c r="J6" i="15"/>
  <c r="J18" i="15" s="1"/>
  <c r="AE6" i="1"/>
  <c r="AE12" i="1"/>
  <c r="AE8" i="1"/>
  <c r="AE9" i="1"/>
  <c r="AE10" i="1"/>
  <c r="AE11" i="1"/>
  <c r="E2" i="65"/>
  <c r="AE7" i="1"/>
  <c r="F41" i="15"/>
  <c r="F46" i="44"/>
  <c r="E66" i="39" l="1"/>
  <c r="E63" i="39"/>
  <c r="C7" i="44"/>
  <c r="C40" i="44" s="1"/>
  <c r="J7" i="44"/>
  <c r="J26" i="44" s="1"/>
  <c r="AC7" i="33"/>
  <c r="V48" i="33" s="1"/>
  <c r="I48" i="33" s="1"/>
  <c r="B40" i="1"/>
  <c r="L36" i="46" s="1"/>
  <c r="L37" i="46" s="1"/>
  <c r="T65" i="59"/>
  <c r="D65" i="59"/>
  <c r="C37" i="59"/>
  <c r="D36" i="59"/>
  <c r="D57" i="59"/>
  <c r="T57" i="59"/>
  <c r="W7" i="21"/>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47" i="15" s="1"/>
  <c r="C10" i="15"/>
  <c r="C5" i="15" s="1"/>
  <c r="C38" i="15" s="1"/>
  <c r="C20" i="11"/>
  <c r="C21" i="11" s="1"/>
  <c r="C22" i="11" s="1"/>
  <c r="C23" i="11" s="1"/>
  <c r="B2" i="11" s="1"/>
  <c r="M29" i="44"/>
  <c r="M27" i="15"/>
  <c r="D22" i="12" l="1"/>
  <c r="C22" i="12" s="1"/>
  <c r="C20" i="12" s="1"/>
  <c r="B6" i="66"/>
  <c r="O36" i="46"/>
  <c r="P36" i="46"/>
  <c r="M36" i="46"/>
  <c r="N36" i="46"/>
  <c r="Q36" i="46"/>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B5" i="11" l="1"/>
  <c r="C40" i="39"/>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B5" i="66"/>
  <c r="E14" i="66"/>
  <c r="E7" i="67"/>
  <c r="C17" i="15"/>
  <c r="B7" i="67"/>
  <c r="C19" i="44"/>
  <c r="R22" i="6" l="1"/>
  <c r="R9" i="1" s="1"/>
  <c r="F40" i="39"/>
  <c r="J40" i="39"/>
  <c r="H40" i="39"/>
  <c r="D30" i="6"/>
  <c r="S16" i="1"/>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35" i="15"/>
  <c r="F37" i="44"/>
  <c r="M21" i="15"/>
  <c r="C14" i="15"/>
  <c r="C16" i="44"/>
  <c r="M23" i="44"/>
  <c r="AB40" i="39" l="1"/>
  <c r="U40" i="39"/>
  <c r="AC40" i="39"/>
  <c r="W40" i="39"/>
  <c r="D31" i="6"/>
  <c r="I5" i="6" s="1"/>
  <c r="AA40" i="39"/>
  <c r="S40" i="39"/>
  <c r="D15" i="59"/>
  <c r="C14" i="59"/>
  <c r="B3" i="46"/>
  <c r="B4" i="46"/>
  <c r="C36" i="44"/>
  <c r="J20" i="15"/>
  <c r="C34" i="15"/>
  <c r="R27" i="6"/>
  <c r="H27" i="6"/>
  <c r="C15" i="15"/>
  <c r="C18" i="15"/>
  <c r="C17" i="44"/>
  <c r="C20" i="44"/>
  <c r="T16" i="1"/>
  <c r="E7" i="59"/>
  <c r="B7" i="59"/>
  <c r="F6" i="59"/>
  <c r="I6" i="6"/>
  <c r="J22" i="44"/>
  <c r="F62" i="15"/>
  <c r="C61" i="15" s="1"/>
  <c r="R16" i="1"/>
  <c r="C18" i="43"/>
  <c r="C18" i="12"/>
  <c r="C23" i="12" s="1"/>
  <c r="O46" i="36"/>
  <c r="J7" i="36" s="1"/>
  <c r="F7" i="36"/>
  <c r="H7" i="36"/>
  <c r="J64" i="40"/>
  <c r="I66" i="40"/>
  <c r="J69" i="39"/>
  <c r="I71" i="39"/>
  <c r="B3" i="67"/>
  <c r="B4" i="67"/>
  <c r="C11" i="21" l="1"/>
  <c r="C13" i="39"/>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H13" i="39" l="1"/>
  <c r="J13" i="39"/>
  <c r="F13" i="39"/>
  <c r="F11" i="21"/>
  <c r="J11" i="21"/>
  <c r="H11" i="21"/>
  <c r="C12" i="59"/>
  <c r="T13" i="59"/>
  <c r="D13" i="59"/>
  <c r="E5" i="59"/>
  <c r="U5" i="59" s="1"/>
  <c r="B5" i="59"/>
  <c r="C21" i="43"/>
  <c r="R37" i="36"/>
  <c r="E36" i="36"/>
  <c r="I41" i="36" s="1"/>
  <c r="J41" i="36" s="1"/>
  <c r="K66" i="40"/>
  <c r="L64" i="40"/>
  <c r="G41" i="36"/>
  <c r="H41" i="36" s="1"/>
  <c r="G40" i="36"/>
  <c r="H40" i="36" s="1"/>
  <c r="I40" i="36"/>
  <c r="J40" i="36" s="1"/>
  <c r="L69" i="39"/>
  <c r="K71" i="39"/>
  <c r="S11" i="21" l="1"/>
  <c r="AA11" i="21"/>
  <c r="R48" i="21" s="1"/>
  <c r="AA13" i="39"/>
  <c r="S13" i="39"/>
  <c r="U11" i="21"/>
  <c r="AB11" i="21"/>
  <c r="T48" i="21" s="1"/>
  <c r="G48" i="21" s="1"/>
  <c r="AC13" i="39"/>
  <c r="W13" i="39"/>
  <c r="W11" i="21"/>
  <c r="AC11" i="21"/>
  <c r="V48" i="21" s="1"/>
  <c r="I48" i="21" s="1"/>
  <c r="AB13" i="39"/>
  <c r="U13" i="39"/>
  <c r="C11" i="59"/>
  <c r="D12" i="59"/>
  <c r="S5" i="59"/>
  <c r="L71" i="39"/>
  <c r="M69" i="39"/>
  <c r="M64" i="40"/>
  <c r="L66" i="40"/>
  <c r="E40" i="36"/>
  <c r="F40" i="36" s="1"/>
  <c r="E41" i="36"/>
  <c r="F41" i="36" s="1"/>
  <c r="C37" i="36"/>
  <c r="B3" i="36" s="1"/>
  <c r="B2" i="36" s="1"/>
  <c r="C36" i="36"/>
  <c r="G52" i="21" l="1"/>
  <c r="H52" i="21" s="1"/>
  <c r="G53" i="21"/>
  <c r="H53" i="21" s="1"/>
  <c r="I52" i="21"/>
  <c r="J52" i="21" s="1"/>
  <c r="R49" i="21"/>
  <c r="E48" i="21"/>
  <c r="I53" i="21" s="1"/>
  <c r="J53" i="21" s="1"/>
  <c r="C10" i="59"/>
  <c r="D11" i="59"/>
  <c r="N64" i="40"/>
  <c r="N66" i="40" s="1"/>
  <c r="M66" i="40"/>
  <c r="N69" i="39"/>
  <c r="N71" i="39" s="1"/>
  <c r="M71" i="39"/>
  <c r="C48" i="21" l="1"/>
  <c r="C49" i="21"/>
  <c r="E52" i="21"/>
  <c r="F52" i="21" s="1"/>
  <c r="E53" i="21"/>
  <c r="F53" i="21" s="1"/>
  <c r="C9" i="59"/>
  <c r="D10" i="59"/>
  <c r="J9" i="40"/>
  <c r="H9" i="40"/>
  <c r="F9" i="40"/>
  <c r="J9" i="39"/>
  <c r="H9" i="39"/>
  <c r="F9" i="39"/>
  <c r="B3" i="21" l="1"/>
  <c r="B2" i="21" s="1"/>
  <c r="C10" i="12" s="1"/>
  <c r="C8" i="12"/>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s="1"/>
  <c r="B2" i="12" s="1"/>
  <c r="D19" i="9"/>
  <c r="G19" i="9" l="1"/>
  <c r="L44" i="9"/>
  <c r="D22" i="9"/>
  <c r="B3" i="12"/>
  <c r="B4" i="12"/>
  <c r="B5" i="12"/>
  <c r="D21" i="9"/>
  <c r="D20" i="9"/>
  <c r="G20" i="9" l="1"/>
  <c r="G21" i="9"/>
  <c r="C32" i="9"/>
  <c r="N43" i="9"/>
  <c r="G22" i="9"/>
  <c r="C42" i="9" l="1"/>
  <c r="O38" i="9"/>
  <c r="C33" i="9"/>
  <c r="O43" i="9"/>
  <c r="C35" i="9"/>
  <c r="F42" i="9" s="1"/>
  <c r="C34" i="9"/>
  <c r="E42" i="9" l="1"/>
  <c r="P5" i="54" s="1"/>
  <c r="B46" i="63" s="1"/>
  <c r="M38" i="9"/>
  <c r="K27" i="9" s="1"/>
  <c r="K26" i="9"/>
  <c r="K25" i="9"/>
  <c r="D42" i="9"/>
  <c r="Q5" i="54" s="1"/>
  <c r="B47" i="63" s="1"/>
  <c r="N38" i="9"/>
  <c r="K28" i="9" s="1"/>
  <c r="C44" i="9"/>
  <c r="R5" i="54"/>
  <c r="B48" i="63" s="1"/>
  <c r="D63" i="9"/>
  <c r="N68" i="9"/>
  <c r="D44" i="9" l="1"/>
  <c r="O39" i="9"/>
  <c r="N69" i="9"/>
  <c r="F44" i="9"/>
  <c r="E44" i="9"/>
  <c r="C111" i="9"/>
  <c r="C104" i="9" s="1"/>
  <c r="D70" i="9"/>
  <c r="C96" i="9"/>
  <c r="C91" i="9" s="1"/>
  <c r="C90" i="9"/>
  <c r="C82" i="9"/>
  <c r="C81" i="9" s="1"/>
  <c r="C85" i="9" s="1"/>
  <c r="C86" i="9" s="1"/>
  <c r="D72" i="9" s="1"/>
  <c r="D73" i="9"/>
  <c r="N73" i="9" s="1"/>
  <c r="C103" i="9"/>
  <c r="D71" i="9"/>
  <c r="D66" i="9" s="1"/>
  <c r="N72" i="9" s="1"/>
  <c r="C113" i="9" l="1"/>
  <c r="M85" i="9"/>
  <c r="N85" i="9" s="1"/>
  <c r="M87" i="9"/>
  <c r="N87" i="9" s="1"/>
  <c r="M84" i="9"/>
  <c r="N84" i="9" s="1"/>
  <c r="M83" i="9"/>
  <c r="N83" i="9" s="1"/>
  <c r="M86" i="9"/>
  <c r="N86" i="9" s="1"/>
  <c r="M88" i="9"/>
  <c r="N88" i="9" s="1"/>
  <c r="R6" i="54"/>
  <c r="B50" i="63" s="1"/>
  <c r="K29" i="9"/>
  <c r="K30" i="9" s="1"/>
  <c r="C97" i="9"/>
  <c r="N89" i="9" l="1"/>
  <c r="O89" i="9" s="1"/>
  <c r="C98" i="9"/>
  <c r="E98" i="9" s="1"/>
  <c r="E99" i="9" s="1"/>
  <c r="C114" i="9"/>
  <c r="E114" i="9" s="1"/>
  <c r="E115" i="9" s="1"/>
  <c r="C99" i="9" l="1"/>
  <c r="C115" i="9"/>
  <c r="D76" i="9" s="1"/>
  <c r="D74" i="9" s="1"/>
  <c r="N74" i="9" s="1"/>
  <c r="O77" i="9" s="1"/>
  <c r="O78" i="9" s="1"/>
  <c r="O79" i="9" l="1"/>
  <c r="O80" i="9" s="1"/>
  <c r="Q77"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<sst xmlns="http://schemas.openxmlformats.org/spreadsheetml/2006/main" count="8898" uniqueCount="3625">
  <si>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</si>
  <si>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</si>
  <si>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</si>
  <si>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</si>
  <si>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</si>
  <si>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</si>
  <si>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</si>
  <si>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</si>
  <si>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</si>
  <si>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</si>
  <si>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</si>
  <si>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</si>
  <si>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</si>
  <si>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</si>
  <si>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</si>
  <si>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</si>
  <si>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</si>
  <si>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</si>
  <si>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</si>
  <si>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</si>
  <si>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</si>
  <si>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</si>
  <si>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</si>
  <si>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</si>
  <si>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</si>
  <si>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</si>
  <si>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</si>
  <si>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</si>
  <si>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</si>
  <si>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</si>
  <si>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</si>
  <si>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</si>
  <si>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</si>
  <si>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</si>
  <si>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</si>
  <si>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</si>
  <si>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</si>
  <si>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</si>
  <si>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</si>
  <si>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</si>
  <si>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</si>
  <si>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</si>
  <si>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</si>
  <si>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</si>
  <si>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</si>
  <si>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</si>
  <si>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</si>
  <si>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</si>
  <si>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</si>
  <si>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</si>
  <si>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</si>
  <si>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</si>
  <si>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</si>
  <si>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</si>
  <si>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</si>
  <si>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</si>
  <si>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</si>
  <si>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</si>
  <si>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</si>
  <si>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</si>
  <si>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</si>
  <si>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</si>
  <si>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</si>
  <si>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</si>
  <si>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</si>
  <si>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</si>
  <si>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</si>
  <si>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</si>
  <si>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</si>
  <si>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</si>
  <si>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</si>
  <si>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</si>
  <si>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</si>
  <si>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</si>
  <si>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</si>
  <si>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</si>
  <si>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</si>
  <si>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</si>
  <si>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</si>
  <si>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</si>
  <si>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</si>
  <si>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</si>
  <si>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</si>
  <si>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</si>
  <si>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</si>
  <si>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</si>
  <si>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</si>
  <si>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</si>
  <si>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</si>
  <si>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</si>
  <si>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</si>
  <si>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</si>
  <si>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</si>
  <si>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</si>
  <si>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</si>
  <si>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</si>
  <si>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</si>
  <si>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</si>
  <si>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</si>
  <si>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</si>
  <si>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</si>
  <si>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</si>
  <si>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</si>
  <si>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</si>
  <si>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</si>
  <si>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</si>
  <si>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</si>
  <si>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</si>
  <si>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</si>
  <si>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</si>
  <si>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</si>
  <si>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</si>
  <si>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</si>
  <si>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</si>
  <si>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</si>
  <si>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</si>
  <si>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</si>
  <si>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</si>
  <si>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</si>
  <si>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</si>
  <si>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</si>
  <si>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</si>
  <si>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</si>
  <si>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</si>
  <si>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</si>
  <si>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</si>
  <si>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</si>
  <si>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</si>
  <si>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</si>
  <si>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</si>
  <si>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</si>
  <si>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</si>
  <si>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</si>
  <si>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</si>
  <si>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</si>
  <si>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</si>
  <si>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</si>
  <si>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</si>
  <si>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</si>
  <si>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</si>
  <si>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</si>
  <si>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</si>
  <si>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</si>
  <si>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</si>
  <si>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</si>
  <si>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</si>
  <si>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</si>
  <si>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</si>
  <si>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</si>
  <si>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</si>
  <si>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</si>
  <si>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</si>
  <si>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</si>
  <si>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</si>
  <si>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</si>
  <si>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</si>
  <si>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</si>
  <si>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</si>
  <si>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</si>
  <si>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</si>
  <si>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</si>
  <si>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</si>
  <si>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</si>
  <si>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</si>
  <si>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</si>
  <si>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</si>
  <si>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</si>
  <si>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</si>
  <si>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</si>
  <si>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</si>
  <si>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</si>
  <si>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</si>
  <si>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</si>
  <si>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</si>
  <si>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</si>
  <si>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</si>
  <si>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</si>
  <si>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</si>
  <si>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</si>
  <si>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</si>
  <si>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</si>
  <si>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</si>
  <si>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</si>
  <si>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</si>
  <si>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</si>
  <si>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</si>
  <si>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</si>
  <si>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</si>
  <si>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</si>
  <si>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</si>
  <si>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</si>
  <si>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</si>
  <si>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</si>
  <si>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</si>
  <si>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</si>
  <si>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</si>
  <si>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</si>
  <si>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</si>
  <si>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</si>
  <si>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</si>
  <si>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</si>
  <si>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</si>
  <si>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</si>
  <si>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</si>
  <si>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</si>
  <si>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</si>
  <si>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</si>
  <si>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</si>
  <si>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</si>
  <si>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</si>
  <si>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</si>
  <si>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</si>
  <si>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</si>
  <si>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</si>
  <si>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</si>
  <si>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</si>
  <si>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</si>
  <si>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</si>
  <si>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</si>
  <si>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</si>
  <si>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</si>
  <si>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</si>
  <si>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</si>
  <si>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</si>
  <si>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</si>
  <si>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</si>
  <si>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</si>
  <si>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</si>
  <si>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</si>
  <si>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</si>
  <si>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</si>
  <si>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</si>
  <si>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</si>
  <si>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</si>
  <si>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</si>
  <si>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</si>
  <si>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</si>
  <si>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</si>
  <si>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</si>
  <si>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</si>
  <si>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</si>
  <si>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</si>
  <si>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</si>
  <si>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</si>
  <si>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</si>
  <si>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</si>
  <si>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</si>
  <si>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</si>
  <si>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</si>
  <si>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</si>
  <si>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</si>
  <si>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</si>
  <si>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</si>
  <si>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</si>
  <si>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</si>
  <si>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</si>
  <si>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</si>
  <si>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</si>
  <si>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</si>
  <si>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</si>
  <si>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</si>
  <si>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</si>
  <si>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</si>
  <si>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</si>
  <si>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</si>
  <si>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</si>
  <si>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</si>
  <si>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</si>
  <si>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</si>
  <si>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</si>
  <si>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</si>
  <si>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</si>
  <si>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</si>
  <si>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</si>
  <si>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</si>
  <si>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</si>
  <si>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</si>
  <si>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</si>
  <si>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</si>
  <si>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</si>
  <si>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</si>
  <si>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</si>
  <si>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</si>
  <si>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</si>
  <si>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</si>
  <si>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</si>
  <si>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</si>
  <si>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</si>
  <si>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</si>
  <si>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</si>
  <si>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</si>
  <si>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</si>
  <si>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</si>
  <si>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</si>
  <si>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</si>
  <si>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</si>
  <si>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</si>
  <si>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</si>
  <si>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</si>
  <si>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</si>
  <si>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</si>
  <si>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</si>
  <si>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</si>
  <si>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</si>
  <si>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</si>
  <si>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</si>
  <si>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</si>
  <si>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</si>
  <si>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</si>
  <si>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</si>
  <si>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</si>
  <si>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</si>
  <si>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</si>
  <si>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</si>
  <si>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</si>
  <si>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</si>
  <si>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</si>
  <si>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</si>
  <si>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</si>
  <si>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</si>
  <si>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</si>
  <si>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</si>
  <si>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</si>
  <si>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</si>
  <si>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</si>
  <si>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</si>
  <si>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</si>
  <si>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</si>
  <si>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</si>
  <si>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</si>
  <si>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</si>
  <si>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</si>
  <si>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</si>
  <si>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</si>
  <si>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</si>
  <si>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</si>
  <si>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</si>
  <si>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</si>
  <si>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</si>
  <si>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</si>
  <si>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</si>
  <si>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</si>
  <si>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</si>
  <si>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</si>
  <si>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</si>
  <si>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</si>
  <si>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</si>
  <si>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</si>
  <si>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</si>
  <si>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</si>
  <si>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</si>
  <si>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</si>
  <si>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</si>
  <si>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</si>
  <si>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</si>
  <si>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</si>
  <si>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</si>
  <si>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</si>
  <si>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</si>
  <si>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</si>
  <si>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</si>
  <si>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</si>
  <si>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</si>
  <si>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</si>
  <si>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</si>
  <si>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</si>
  <si>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</si>
  <si>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</si>
  <si>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</si>
  <si>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</si>
  <si>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</si>
  <si>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</si>
  <si>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</si>
  <si>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</si>
  <si>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</si>
  <si>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</si>
  <si>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</si>
  <si>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</si>
  <si>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</si>
  <si>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</si>
  <si>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</si>
  <si>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</si>
  <si>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</si>
  <si>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</si>
  <si>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</si>
  <si>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</si>
  <si>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</si>
  <si>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</si>
  <si>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</si>
  <si>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</si>
  <si>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</si>
  <si>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</si>
  <si>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</si>
  <si>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</si>
  <si>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</si>
  <si>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</si>
  <si>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</si>
  <si>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</si>
  <si>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</si>
  <si>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</si>
  <si>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</si>
  <si>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</si>
  <si>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</si>
  <si>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</si>
  <si>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</si>
  <si>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</si>
  <si>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</si>
  <si>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</si>
  <si>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</si>
  <si>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</si>
  <si>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</si>
  <si>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</si>
  <si>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</si>
  <si>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</si>
  <si>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</si>
  <si>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</si>
  <si>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</si>
  <si>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</si>
  <si>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</si>
  <si>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</si>
  <si>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</si>
  <si>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</si>
  <si>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</si>
  <si>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</si>
  <si>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</si>
  <si>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</si>
  <si>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</si>
  <si>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</si>
  <si>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</si>
  <si>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</si>
  <si>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</si>
  <si>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</si>
  <si>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</si>
  <si>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</si>
  <si>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</si>
  <si>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</si>
  <si>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</si>
  <si>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</si>
  <si>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</si>
  <si>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</si>
  <si>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</si>
  <si>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</si>
  <si>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</si>
  <si>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</si>
  <si>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</si>
  <si>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</si>
  <si>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</si>
  <si>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</si>
  <si>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</si>
  <si>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</si>
  <si>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</si>
  <si>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</si>
  <si>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</si>
  <si>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</si>
  <si>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</si>
  <si>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</si>
  <si>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</si>
  <si>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</si>
  <si>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</si>
  <si>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</si>
  <si>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</si>
  <si>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</si>
  <si>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</si>
  <si>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</si>
  <si>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</si>
  <si>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</si>
  <si>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</si>
  <si>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</si>
  <si>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</si>
  <si>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</si>
  <si>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</si>
  <si>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</si>
  <si>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</si>
  <si>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</si>
  <si>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</si>
  <si>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</si>
  <si>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</si>
  <si>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</si>
  <si>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</si>
  <si>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</si>
  <si>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</si>
  <si>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</si>
  <si>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</si>
  <si>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</si>
  <si>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</si>
  <si>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</si>
  <si>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</si>
  <si>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</si>
  <si>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</si>
  <si>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</si>
  <si>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</si>
  <si>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</si>
  <si>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</si>
  <si>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</si>
  <si>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</si>
  <si>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</si>
  <si>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</si>
  <si>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</si>
  <si>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</si>
  <si>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</si>
  <si>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</si>
  <si>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</si>
  <si>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</si>
  <si>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</si>
  <si>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</si>
  <si>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</si>
  <si>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</si>
  <si>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</si>
  <si>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</si>
  <si>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</si>
  <si>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</si>
  <si>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</si>
  <si>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</si>
  <si>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</si>
  <si>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</si>
  <si>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</si>
  <si>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</si>
  <si>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</si>
  <si>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</si>
  <si>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</si>
  <si>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</si>
  <si>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</si>
  <si>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</si>
  <si>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</si>
  <si>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</si>
  <si>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</si>
  <si>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</si>
  <si>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</si>
  <si>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</si>
  <si>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</si>
  <si>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</si>
  <si>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</si>
  <si>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</si>
  <si>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</si>
  <si>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</si>
  <si>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</si>
  <si>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</si>
  <si>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</si>
  <si>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</si>
  <si>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</si>
  <si>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</si>
  <si>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</si>
  <si>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</si>
  <si>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</si>
  <si>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</si>
  <si>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</si>
  <si>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</si>
  <si>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</si>
  <si>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</si>
  <si>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</si>
  <si>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</si>
  <si>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</si>
  <si>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</si>
  <si>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</si>
  <si>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</si>
  <si>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</si>
  <si>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</si>
  <si>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</si>
  <si>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</si>
  <si>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</si>
  <si>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</si>
  <si>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</si>
  <si>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</si>
  <si>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</si>
  <si>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</si>
  <si>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</si>
  <si>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</si>
  <si>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</si>
  <si>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</si>
  <si>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</si>
  <si>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</si>
  <si>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</si>
  <si>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</si>
  <si>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</si>
  <si>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</si>
  <si>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</si>
  <si>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</si>
  <si>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</si>
  <si>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</si>
  <si>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</si>
  <si>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</si>
  <si>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</si>
  <si>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</si>
  <si>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</si>
  <si>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</si>
  <si>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</si>
  <si>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</si>
  <si>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</si>
  <si>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</si>
  <si>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</si>
  <si>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</si>
  <si>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</si>
  <si>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</si>
  <si>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</si>
  <si>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</si>
  <si>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</si>
  <si>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</si>
  <si>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</si>
  <si>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</si>
  <si>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</si>
  <si>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</si>
  <si>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</si>
  <si>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</si>
  <si>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</si>
  <si>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</si>
  <si>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</si>
  <si>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</si>
  <si>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</si>
  <si>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</si>
  <si>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</si>
  <si>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</si>
  <si>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</si>
  <si>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</si>
  <si>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</si>
  <si>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</si>
  <si>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</si>
  <si>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</si>
  <si>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</si>
  <si>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</si>
  <si>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</si>
  <si>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</si>
  <si>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</si>
  <si>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</si>
  <si>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</si>
  <si>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</si>
  <si>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</si>
  <si>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</si>
  <si>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</si>
  <si>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</si>
  <si>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</si>
  <si>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</si>
  <si>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</si>
  <si>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</si>
  <si>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</si>
  <si>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</si>
  <si>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</si>
  <si>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</si>
  <si>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</si>
  <si>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</si>
  <si>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</si>
  <si>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</si>
  <si>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</si>
  <si>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</si>
  <si>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</si>
  <si>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</si>
  <si>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</si>
  <si>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</si>
  <si>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</si>
  <si>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</si>
  <si>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</si>
  <si>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</si>
  <si>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</si>
  <si>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</si>
  <si>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</si>
  <si>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</si>
  <si>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</si>
  <si>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</si>
  <si>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</si>
  <si>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</si>
  <si>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</si>
  <si>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</si>
  <si>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</si>
  <si>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</si>
  <si>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</si>
  <si>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</si>
  <si>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</si>
  <si>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</si>
  <si>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</si>
  <si>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</si>
  <si>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</si>
  <si>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</si>
  <si>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</si>
  <si>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</si>
  <si>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</si>
  <si>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</si>
  <si>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</si>
  <si>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</si>
  <si>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</si>
  <si>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</si>
  <si>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</si>
  <si>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</si>
  <si>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</si>
  <si>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</si>
  <si>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</si>
  <si>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</si>
  <si>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</si>
  <si>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</si>
  <si>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</si>
  <si>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</si>
  <si>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</si>
  <si>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</si>
  <si>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</si>
  <si>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</si>
  <si>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</si>
  <si>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</si>
  <si>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</si>
  <si>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</si>
  <si>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</si>
  <si>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</si>
  <si>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</si>
  <si>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</si>
  <si>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</si>
  <si>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</si>
  <si>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</si>
  <si>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</si>
  <si>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</si>
  <si>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</si>
  <si>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</si>
  <si>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</si>
  <si>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</si>
  <si>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</si>
  <si>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</si>
  <si>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</si>
  <si>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</si>
  <si>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</si>
  <si>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</si>
  <si>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</si>
  <si>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</si>
  <si>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</si>
  <si>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</si>
  <si>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</si>
  <si>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</si>
  <si>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</si>
  <si>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</si>
  <si>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</si>
  <si>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</si>
  <si>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</si>
  <si>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</si>
  <si>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</si>
  <si>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</si>
  <si>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</si>
  <si>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</si>
  <si>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</si>
  <si>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</si>
  <si>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</si>
  <si>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</si>
  <si>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</si>
  <si>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</si>
  <si>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</si>
  <si>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</si>
  <si>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</si>
  <si>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</si>
  <si>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</si>
  <si>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</si>
  <si>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</si>
  <si>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</si>
  <si>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</si>
  <si>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</si>
  <si>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</si>
  <si>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</si>
  <si>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</si>
  <si>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</si>
  <si>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</si>
  <si>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</si>
  <si>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</si>
  <si>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</si>
  <si>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</si>
  <si>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</si>
  <si>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</si>
  <si>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</si>
  <si>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</si>
  <si>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</si>
  <si>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</si>
  <si>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</si>
  <si>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</si>
  <si>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</si>
  <si>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</si>
  <si>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</si>
  <si>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</si>
  <si>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</si>
  <si>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</si>
  <si>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</si>
  <si>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</si>
  <si>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</si>
  <si>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</si>
  <si>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</si>
  <si>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</si>
  <si>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</si>
  <si>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</si>
  <si>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</si>
  <si>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</si>
  <si>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</si>
  <si>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</si>
  <si>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</si>
  <si>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</si>
  <si>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</si>
  <si>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</si>
  <si>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</si>
  <si>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</si>
  <si>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</si>
  <si>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</si>
  <si>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</si>
  <si>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</si>
  <si>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</si>
  <si>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</si>
  <si>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</si>
  <si>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</si>
  <si>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</si>
  <si>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</si>
  <si>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</si>
  <si>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</si>
  <si>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</si>
  <si>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</si>
  <si>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</si>
  <si>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</si>
  <si>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</si>
  <si>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</si>
  <si>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</si>
  <si>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</si>
  <si>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</si>
  <si>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</si>
  <si>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</si>
  <si>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</si>
  <si>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</si>
  <si>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</si>
  <si>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</si>
  <si>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</si>
  <si>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</si>
  <si>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</si>
  <si>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</si>
  <si>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</si>
  <si>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</si>
  <si>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</si>
  <si>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</si>
  <si>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</si>
  <si>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</si>
  <si>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</si>
  <si>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</si>
  <si>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</si>
  <si>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</si>
  <si>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</si>
  <si>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</si>
  <si>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</si>
  <si>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</si>
  <si>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</si>
  <si>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</si>
  <si>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</si>
  <si>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</si>
  <si>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</si>
  <si>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</si>
  <si>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</si>
  <si>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</si>
  <si>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</si>
  <si>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</si>
  <si>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</si>
  <si>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</si>
  <si>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</si>
  <si>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</si>
  <si>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</si>
  <si>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</si>
  <si>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</si>
  <si>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</si>
  <si>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</si>
  <si>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</si>
  <si>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</si>
  <si>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</si>
  <si>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</si>
  <si>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</si>
  <si>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</si>
  <si>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</si>
  <si>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</si>
  <si>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</si>
  <si>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</si>
  <si>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</si>
  <si>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</si>
  <si>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</si>
  <si>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</si>
  <si>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</si>
  <si>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</si>
  <si>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</si>
  <si>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</si>
  <si>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</si>
  <si>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</si>
  <si>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</si>
  <si>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</si>
  <si>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</si>
  <si>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</si>
  <si>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</si>
  <si>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</si>
  <si>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</si>
  <si>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</si>
  <si>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</si>
  <si>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</si>
  <si>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</si>
  <si>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</si>
  <si>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</si>
  <si>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</si>
  <si>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</si>
  <si>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</si>
  <si>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</si>
  <si>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</si>
  <si>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</si>
  <si>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</si>
  <si>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</si>
  <si>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</si>
  <si>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</si>
  <si>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</si>
  <si>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</si>
  <si>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</si>
  <si>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</si>
  <si>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</si>
  <si>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</si>
  <si>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</si>
  <si>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</si>
  <si>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</si>
  <si>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</si>
  <si>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</si>
  <si>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</si>
  <si>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</si>
  <si>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</si>
  <si>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</si>
  <si>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</si>
  <si>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</si>
  <si>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</si>
  <si>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</si>
  <si>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</si>
  <si>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</si>
  <si>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</si>
  <si>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</si>
  <si>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</si>
  <si>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</si>
  <si>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</si>
  <si>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</si>
  <si>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</si>
  <si>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</si>
  <si>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</si>
  <si>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</si>
  <si>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</si>
  <si>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</si>
  <si>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</si>
  <si>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</si>
  <si>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</si>
  <si>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</si>
  <si>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</si>
  <si>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</si>
  <si>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</si>
  <si>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</si>
  <si>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</si>
  <si>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</si>
  <si>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</si>
  <si>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</si>
  <si>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</si>
  <si>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</si>
  <si>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</si>
  <si>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</si>
  <si>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</si>
  <si>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</si>
  <si>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</si>
  <si>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</si>
  <si>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</si>
  <si>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</si>
  <si>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</si>
  <si>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</si>
  <si>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</si>
  <si>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</si>
  <si>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</si>
  <si>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</si>
  <si>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</si>
  <si>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</si>
  <si>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</si>
  <si>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</si>
  <si>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</si>
  <si>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</si>
  <si>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</si>
  <si>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</si>
  <si>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</si>
  <si>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</si>
  <si>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</si>
  <si>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</si>
  <si>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</si>
  <si>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</si>
  <si>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</si>
  <si>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</si>
  <si>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</si>
  <si>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</si>
  <si>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</si>
  <si>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</si>
  <si>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</si>
  <si>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</si>
  <si>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</si>
  <si>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</si>
  <si>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</si>
  <si>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</si>
  <si>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</si>
  <si>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</si>
  <si>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</si>
  <si>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</si>
  <si>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</si>
  <si>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</si>
  <si>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</si>
  <si>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</si>
  <si>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</si>
  <si>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</si>
  <si>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</si>
  <si>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</si>
  <si>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</si>
  <si>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</si>
  <si>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</si>
  <si>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</si>
  <si>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</si>
  <si>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</si>
  <si>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</si>
  <si>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</si>
  <si>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</si>
  <si>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</si>
  <si>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</si>
  <si>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</si>
  <si>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</si>
  <si>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</si>
  <si>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</si>
  <si>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</si>
  <si>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</si>
  <si>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</si>
  <si>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</si>
  <si>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</si>
  <si>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</si>
  <si>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</si>
  <si>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</si>
  <si>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</si>
  <si>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</si>
  <si>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</si>
  <si>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</si>
  <si>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</si>
  <si>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</si>
  <si>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</si>
  <si>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</si>
  <si>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</si>
  <si>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</si>
  <si>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</si>
  <si>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</si>
  <si>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</si>
  <si>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</si>
  <si>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</si>
  <si>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</si>
  <si>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</si>
  <si>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</si>
  <si>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</si>
  <si>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</si>
  <si>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</si>
  <si>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</si>
  <si>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</si>
  <si>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</si>
  <si>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</si>
  <si>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</si>
  <si>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</si>
  <si>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</si>
  <si>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</si>
  <si>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</si>
  <si>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</si>
  <si>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</si>
  <si>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</si>
  <si>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</si>
  <si>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</si>
  <si>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</si>
  <si>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</si>
  <si>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</si>
  <si>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</si>
  <si>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</si>
  <si>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</si>
  <si>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</si>
  <si>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</si>
  <si>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</si>
  <si>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</si>
  <si>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</si>
  <si>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</si>
  <si>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</si>
  <si>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</si>
  <si>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</si>
  <si>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</si>
  <si>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</si>
  <si>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</si>
  <si>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</si>
  <si>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</si>
  <si>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</si>
  <si>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</si>
  <si>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</si>
  <si>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</si>
  <si>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</si>
  <si>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</si>
  <si>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</si>
  <si>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</si>
  <si>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</si>
  <si>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</si>
  <si>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</si>
  <si>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</si>
  <si>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</si>
  <si>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</si>
  <si>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</si>
  <si>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</si>
  <si>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</si>
  <si>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</si>
  <si>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</si>
  <si>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</si>
  <si>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</si>
  <si>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</si>
  <si>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</si>
  <si>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</si>
  <si>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</si>
  <si>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</si>
  <si>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</si>
  <si>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</si>
  <si>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</si>
  <si>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</si>
  <si>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</si>
  <si>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</si>
  <si>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</si>
  <si>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</si>
  <si>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</si>
  <si>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</si>
  <si>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</si>
  <si>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</si>
  <si>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</si>
  <si>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</si>
  <si>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</si>
  <si>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</si>
  <si>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</si>
  <si>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</si>
  <si>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</si>
  <si>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</si>
  <si>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</si>
  <si>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</si>
  <si>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</si>
  <si>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</si>
  <si>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</si>
  <si>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</si>
  <si>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</si>
  <si>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</si>
  <si>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</si>
  <si>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</si>
  <si>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</si>
  <si>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</si>
  <si>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</si>
  <si>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</si>
  <si>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</si>
  <si>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</si>
  <si>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</si>
  <si>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</si>
  <si>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</si>
  <si>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</si>
  <si>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</si>
  <si>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</si>
  <si>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</si>
  <si>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</si>
  <si>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</si>
  <si>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</si>
  <si>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</si>
  <si>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</si>
  <si>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</si>
  <si>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</si>
  <si>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</si>
  <si>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</si>
  <si>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</si>
  <si>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</si>
  <si>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</si>
  <si>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</si>
  <si>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</si>
  <si>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</si>
  <si>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</si>
  <si>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</si>
  <si>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</si>
  <si>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</si>
  <si>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</si>
  <si>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</si>
  <si>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</si>
  <si>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</si>
  <si>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</si>
  <si>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</si>
  <si>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</si>
  <si>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</si>
  <si>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</si>
  <si>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</si>
  <si>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</si>
  <si>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</si>
  <si>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</si>
  <si>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</si>
  <si>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</si>
  <si>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</si>
  <si>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</si>
  <si>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</si>
  <si>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</si>
  <si>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</si>
  <si>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</si>
  <si>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</si>
  <si>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</si>
  <si>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</si>
  <si>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</si>
  <si>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</si>
  <si>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</si>
  <si>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</si>
  <si>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</si>
  <si>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</si>
  <si>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</si>
  <si>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</si>
  <si>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</si>
  <si>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</si>
  <si>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</si>
  <si>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</si>
  <si>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</si>
  <si>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</si>
  <si>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</si>
  <si>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</si>
  <si>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</si>
  <si>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</si>
  <si>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</si>
  <si>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</si>
  <si>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</si>
  <si>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</si>
  <si>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</si>
  <si>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</si>
  <si>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</si>
  <si>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</si>
  <si>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</si>
  <si>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</si>
  <si>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</si>
  <si>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</si>
  <si>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</si>
  <si>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</si>
  <si>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</si>
  <si>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</si>
  <si>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</si>
  <si>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</si>
  <si>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</si>
  <si>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</si>
  <si>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</si>
  <si>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</si>
  <si>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</si>
  <si>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</si>
  <si>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</si>
  <si>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</si>
  <si>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</si>
  <si>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</si>
  <si>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</si>
  <si>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</si>
  <si>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</si>
  <si>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</si>
  <si>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</si>
  <si>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</si>
  <si>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</si>
  <si>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</si>
  <si>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</si>
  <si>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</si>
  <si>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</si>
  <si>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</si>
  <si>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</si>
  <si>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</si>
  <si>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</si>
  <si>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</si>
  <si>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</si>
  <si>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</si>
  <si>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</si>
  <si>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</si>
  <si>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</si>
  <si>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</si>
  <si>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</si>
  <si>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</si>
  <si>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</si>
  <si>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</si>
  <si>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</si>
  <si>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</si>
  <si>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</si>
  <si>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</si>
  <si>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</si>
  <si>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</si>
  <si>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</si>
  <si>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</si>
  <si>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</si>
  <si>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</si>
  <si>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</si>
  <si>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</si>
  <si>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</si>
  <si>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</si>
  <si>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</si>
  <si>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</si>
  <si>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</si>
  <si>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</si>
  <si>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</si>
  <si>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</si>
  <si>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</si>
  <si>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</si>
  <si>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</si>
  <si>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</si>
  <si>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</si>
  <si>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</si>
  <si>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</si>
  <si>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</si>
  <si>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</si>
  <si>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</si>
  <si>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</si>
  <si>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</si>
  <si>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</si>
  <si>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</si>
  <si>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</si>
  <si>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</si>
  <si>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</si>
  <si>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</si>
  <si>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</si>
  <si>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</si>
  <si>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</si>
  <si>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</si>
  <si>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</si>
  <si>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</si>
  <si>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</si>
  <si>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</si>
  <si>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</si>
  <si>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</si>
  <si>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</si>
  <si>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</si>
  <si>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</si>
  <si>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</si>
  <si>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</si>
  <si>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</si>
  <si>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</si>
  <si>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</si>
  <si>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</si>
  <si>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</si>
  <si>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</si>
  <si>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</si>
  <si>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</si>
  <si>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</si>
  <si>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</si>
  <si>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</si>
  <si>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</si>
  <si>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</si>
  <si>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</si>
  <si>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</si>
  <si>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</si>
  <si>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</si>
  <si>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</si>
  <si>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</si>
  <si>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</si>
  <si>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</si>
  <si>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</si>
  <si>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</si>
  <si>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</si>
  <si>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</si>
  <si>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</si>
  <si>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</si>
  <si>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</si>
  <si>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</si>
  <si>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</si>
  <si>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</si>
  <si>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</si>
  <si>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</si>
  <si>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</si>
  <si>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</si>
  <si>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</si>
  <si>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</si>
  <si>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</si>
  <si>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</si>
  <si>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</si>
  <si>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</si>
  <si>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</si>
  <si>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</si>
  <si>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</si>
  <si>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</si>
  <si>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</si>
  <si>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</si>
  <si>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</si>
  <si>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</si>
  <si>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</si>
  <si>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</si>
  <si>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</si>
  <si>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</si>
  <si>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</si>
  <si>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</si>
  <si>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</si>
  <si>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</si>
  <si>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</si>
  <si>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</si>
  <si>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</si>
  <si>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</si>
  <si>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</si>
  <si>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</si>
  <si>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</si>
  <si>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</si>
  <si>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</si>
  <si>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</si>
  <si>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</si>
  <si>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</si>
  <si>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</si>
  <si>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</si>
  <si>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</si>
  <si>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</si>
  <si>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</si>
  <si>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</si>
  <si>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</si>
  <si>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</si>
  <si>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</si>
  <si>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</si>
  <si>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</si>
  <si>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</si>
  <si>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</si>
  <si>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</si>
  <si>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</si>
  <si>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</si>
  <si>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</si>
  <si>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</si>
  <si>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</si>
  <si>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</si>
  <si>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</si>
  <si>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</si>
  <si>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</si>
  <si>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</si>
  <si>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</si>
  <si>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</si>
  <si>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</si>
  <si>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</si>
  <si>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</si>
  <si>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</si>
  <si>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</si>
  <si>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</si>
  <si>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</si>
  <si>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</si>
  <si>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</si>
  <si>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</si>
  <si>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</si>
  <si>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</si>
  <si>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</si>
  <si>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</si>
  <si>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</si>
  <si>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</si>
  <si>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</si>
  <si>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</si>
  <si>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</si>
  <si>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</si>
  <si>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</si>
  <si>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</si>
  <si>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</si>
  <si>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</si>
  <si>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</si>
  <si>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</si>
  <si>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</si>
  <si>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</si>
  <si>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</si>
  <si>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</si>
  <si>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</si>
  <si>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</si>
  <si>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</si>
  <si>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</si>
  <si>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</si>
  <si>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</si>
  <si>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</si>
  <si>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</si>
  <si>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</si>
  <si>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</si>
  <si>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</si>
  <si>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</si>
  <si>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</si>
  <si>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</si>
  <si>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</si>
  <si>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</si>
  <si>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</si>
  <si>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</si>
  <si>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</si>
  <si>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</si>
  <si>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</si>
  <si>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</si>
  <si>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</si>
  <si>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</si>
  <si>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</si>
  <si>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</si>
  <si>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</si>
  <si>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</si>
  <si>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</si>
  <si>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</si>
  <si>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</si>
  <si>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</si>
  <si>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</si>
  <si>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</si>
  <si>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</si>
  <si>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</si>
  <si>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</si>
  <si>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</si>
  <si>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</si>
  <si>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</si>
  <si>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</si>
  <si>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</si>
  <si>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</si>
  <si>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</si>
  <si>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</si>
  <si>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</si>
  <si>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</si>
  <si>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</si>
  <si>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</si>
  <si>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</si>
  <si>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</si>
  <si>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</si>
  <si>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</si>
  <si>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</si>
  <si>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</si>
  <si>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</si>
  <si>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</si>
  <si>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</si>
  <si>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</si>
  <si>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</si>
  <si>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</si>
  <si>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</si>
  <si>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</si>
  <si>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</si>
  <si>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</si>
  <si>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</si>
  <si>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</si>
  <si>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</si>
  <si>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</si>
  <si>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</si>
  <si>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</si>
  <si>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</si>
  <si>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</si>
  <si>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</si>
  <si>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</si>
  <si>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</si>
  <si>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</si>
  <si>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</si>
  <si>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</si>
  <si>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</si>
  <si>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</si>
  <si>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</si>
  <si>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</si>
  <si>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</si>
  <si>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</si>
  <si>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</si>
  <si>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</si>
  <si>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</si>
  <si>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</si>
  <si>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</si>
  <si>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</si>
  <si>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</si>
  <si>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</si>
  <si>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</si>
  <si>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</si>
  <si>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</si>
  <si>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</si>
  <si>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</si>
  <si>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</si>
  <si>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</si>
  <si>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</si>
  <si>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</si>
  <si>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</si>
  <si>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</si>
  <si>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</si>
  <si>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</si>
  <si>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</si>
  <si>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</si>
  <si>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</si>
  <si>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</si>
  <si>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</si>
  <si>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</si>
  <si>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</si>
  <si>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</si>
  <si>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</si>
  <si>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</si>
  <si>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</si>
  <si>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</si>
  <si>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</si>
  <si>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</si>
  <si>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</si>
  <si>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</si>
  <si>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</si>
  <si>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</si>
  <si>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</si>
  <si>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</si>
  <si>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</si>
  <si>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</si>
  <si>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</si>
  <si>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</si>
  <si>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</si>
  <si>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</si>
  <si>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</si>
  <si>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</si>
  <si>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</si>
  <si>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</si>
  <si>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</si>
  <si>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</si>
  <si>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</si>
  <si>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</si>
  <si>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</si>
  <si>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</si>
  <si>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</si>
  <si>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</si>
  <si>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</si>
  <si>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</si>
  <si>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</si>
  <si>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</si>
  <si>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</si>
  <si>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</si>
  <si>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</si>
  <si>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</si>
  <si>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</si>
  <si>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</si>
  <si>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</si>
  <si>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</si>
  <si>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</si>
  <si>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</si>
  <si>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</si>
  <si>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</si>
  <si>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</si>
  <si>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</si>
  <si>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</si>
  <si>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</si>
  <si>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</si>
  <si>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</si>
  <si>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</si>
  <si>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</si>
  <si>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</si>
  <si>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</si>
  <si>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</si>
  <si>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</si>
  <si>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</si>
  <si>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</si>
  <si>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</si>
  <si>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</si>
  <si>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</si>
  <si>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</si>
  <si>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</si>
  <si>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</si>
  <si>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</si>
  <si>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</si>
  <si>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</si>
  <si>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</si>
  <si>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</si>
  <si>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</si>
  <si>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</si>
  <si>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</si>
  <si>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</si>
  <si>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</si>
  <si>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</si>
  <si>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</si>
  <si>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</si>
  <si>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</si>
  <si>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</si>
  <si>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</si>
  <si>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</si>
  <si>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</si>
  <si>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</si>
  <si>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</si>
  <si>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</si>
  <si>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</si>
  <si>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</si>
  <si>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</si>
  <si>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</si>
  <si>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</si>
  <si>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</si>
  <si>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</si>
  <si>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</si>
  <si>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</si>
  <si>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</si>
  <si>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</si>
  <si>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</si>
  <si>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</si>
  <si>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</si>
  <si>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</si>
  <si>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</si>
  <si>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</si>
  <si>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</si>
  <si>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</si>
  <si>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</si>
  <si>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</si>
  <si>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</si>
  <si>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</si>
  <si>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</si>
  <si>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</si>
  <si>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</si>
  <si>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</si>
  <si>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</si>
  <si>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</si>
  <si>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</si>
  <si>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</si>
  <si>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</si>
  <si>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</si>
  <si>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</si>
  <si>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</si>
  <si>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</si>
  <si>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</si>
  <si>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</si>
  <si>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</si>
  <si>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</si>
  <si>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</si>
  <si>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</si>
  <si>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</si>
  <si>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</si>
  <si>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</si>
  <si>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</si>
  <si>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</si>
  <si>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</si>
  <si>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</si>
  <si>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</si>
  <si>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</si>
  <si>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</si>
  <si>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</si>
  <si>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</si>
  <si>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</si>
  <si>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</si>
  <si>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</si>
  <si>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</si>
  <si>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</si>
  <si>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</si>
  <si>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</si>
  <si>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</si>
  <si>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</si>
  <si>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</si>
  <si>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</si>
  <si>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</si>
  <si>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</si>
  <si>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</si>
  <si>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</si>
  <si>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</si>
  <si>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</si>
  <si>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</si>
  <si>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</si>
  <si>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</si>
  <si>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</si>
  <si>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</si>
  <si>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</si>
  <si>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</si>
  <si>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</si>
  <si>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</si>
  <si>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</si>
  <si>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</si>
  <si>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</si>
  <si>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</si>
  <si>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</si>
  <si>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</si>
  <si>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</si>
  <si>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</si>
  <si>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</si>
  <si>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</si>
  <si>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</si>
  <si>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</si>
  <si>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</si>
  <si>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</si>
  <si>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</si>
  <si>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</si>
  <si>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</si>
  <si>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</si>
  <si>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</si>
  <si>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</si>
  <si>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</si>
  <si>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</si>
  <si>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</si>
  <si>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</si>
  <si>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</si>
  <si>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</si>
  <si>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</si>
  <si>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</si>
  <si>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</si>
  <si>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</si>
  <si>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</si>
  <si>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</si>
  <si>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</si>
  <si>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</si>
  <si>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</si>
  <si>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</si>
  <si>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</si>
  <si>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</si>
  <si>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</si>
  <si>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</si>
  <si>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</si>
  <si>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</si>
  <si>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</si>
  <si>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</si>
  <si>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</si>
  <si>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</si>
  <si>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</si>
  <si>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</si>
  <si>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</si>
  <si>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</si>
  <si>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</si>
  <si>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</si>
  <si>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</si>
  <si>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</si>
  <si>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</si>
  <si>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</si>
  <si>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</si>
  <si>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</si>
  <si>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</si>
  <si>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</si>
  <si>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</si>
  <si>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</si>
  <si>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</si>
  <si>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</si>
  <si>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</si>
  <si>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</si>
  <si>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</si>
  <si>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</si>
  <si>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</si>
  <si>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</si>
  <si>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</si>
  <si>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</si>
  <si>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</si>
  <si>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</si>
  <si>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</si>
  <si>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</si>
  <si>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</si>
  <si>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</si>
  <si>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</si>
  <si>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</si>
  <si>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</si>
  <si>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</si>
  <si>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</si>
  <si>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</si>
  <si>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</si>
  <si>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</si>
  <si>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</si>
  <si>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</si>
  <si>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</si>
  <si>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</si>
  <si>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</si>
  <si>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</si>
  <si>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</si>
  <si>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</si>
  <si>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</si>
  <si>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</si>
  <si>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</si>
  <si>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</si>
  <si>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</si>
  <si>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</si>
  <si>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</si>
  <si>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</si>
  <si>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</si>
  <si>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</si>
  <si>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</si>
  <si>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</si>
  <si>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</si>
  <si>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</si>
  <si>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</si>
  <si>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</si>
  <si>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</si>
  <si>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</si>
  <si>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</si>
  <si>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</si>
  <si>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</si>
  <si>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</si>
  <si>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</si>
  <si>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</si>
  <si>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</si>
  <si>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</si>
  <si>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</si>
  <si>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</si>
  <si>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</si>
  <si>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</si>
  <si>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</si>
  <si>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</si>
  <si>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</si>
  <si>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</si>
  <si>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</si>
  <si>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</si>
  <si>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</si>
  <si>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</si>
  <si>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</si>
  <si>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</si>
  <si>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</si>
  <si>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</si>
  <si>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</si>
  <si>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</si>
  <si>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</si>
  <si>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</si>
  <si>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</si>
  <si>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</si>
  <si>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</si>
  <si>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</si>
  <si>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</si>
  <si>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</si>
  <si>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</si>
  <si>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</si>
  <si>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</si>
  <si>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</si>
  <si>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</si>
  <si>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</si>
  <si>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</si>
  <si>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</si>
  <si>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</si>
  <si>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</si>
  <si>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</si>
  <si>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</si>
  <si>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</si>
  <si>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</si>
  <si>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</si>
  <si>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</si>
  <si>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</si>
  <si>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</si>
  <si>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</si>
  <si>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</si>
  <si>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</si>
  <si>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</si>
  <si>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</si>
  <si>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</si>
  <si>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</si>
  <si>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</si>
  <si>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</si>
  <si>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</si>
  <si>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</si>
  <si>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</si>
  <si>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</si>
  <si>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</si>
  <si>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</si>
  <si>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</si>
  <si>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</si>
  <si>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</si>
  <si>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</si>
  <si>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</si>
  <si>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</si>
  <si>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</si>
  <si>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</si>
  <si>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</si>
  <si>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</si>
  <si>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</si>
  <si>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</si>
  <si>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</si>
  <si>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</si>
  <si>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</si>
  <si>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</si>
  <si>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</si>
  <si>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</si>
  <si>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</si>
  <si>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</si>
  <si>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</si>
  <si>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</si>
  <si>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</si>
  <si>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</si>
  <si>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</si>
  <si>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</si>
  <si>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</si>
  <si>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</si>
  <si>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</si>
  <si>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</si>
  <si>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</si>
  <si>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</si>
  <si>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</si>
  <si>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</si>
  <si>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</si>
  <si>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</si>
  <si>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</si>
  <si>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</si>
  <si>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</si>
  <si>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</si>
  <si>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</si>
  <si>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</si>
  <si>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</si>
  <si>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</si>
  <si>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</si>
  <si>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</si>
  <si>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</si>
  <si>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</si>
  <si>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</si>
  <si>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</si>
  <si>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</si>
  <si>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</si>
  <si>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</si>
  <si>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</si>
  <si>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</si>
  <si>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</si>
  <si>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</si>
  <si>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</si>
  <si>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</si>
  <si>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</si>
  <si>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</si>
  <si>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</si>
  <si>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</si>
  <si>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</si>
  <si>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</si>
  <si>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</si>
  <si>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</si>
  <si>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</si>
  <si>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</si>
  <si>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</si>
  <si>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</si>
  <si>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</si>
  <si>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</si>
  <si>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</si>
  <si>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</si>
  <si>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</si>
  <si>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</si>
  <si>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</si>
  <si>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</si>
  <si>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</si>
  <si>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</si>
  <si>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</si>
  <si>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</si>
  <si>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</si>
  <si>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</si>
  <si>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</si>
  <si>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</si>
  <si>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</si>
  <si>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</si>
  <si>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</si>
  <si>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</si>
  <si>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</si>
  <si>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</si>
  <si>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</si>
  <si>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</si>
  <si>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</si>
  <si>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</si>
  <si>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</si>
  <si>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</si>
  <si>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</si>
  <si>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</si>
  <si>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</si>
  <si>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</si>
  <si>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</si>
  <si>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</si>
  <si>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</si>
  <si>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</si>
  <si>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</si>
  <si>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</si>
  <si>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</si>
  <si>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</si>
  <si>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</si>
  <si>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</si>
  <si>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</si>
  <si>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</si>
  <si>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</si>
  <si>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</si>
  <si>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</si>
  <si>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</si>
  <si>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</si>
  <si>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</si>
  <si>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</si>
  <si>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</si>
  <si>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</si>
  <si>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</si>
  <si>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</si>
  <si>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</si>
  <si>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</si>
  <si>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</si>
  <si>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</si>
  <si>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</si>
  <si>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</si>
  <si>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</si>
  <si>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</si>
  <si>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</si>
  <si>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</si>
  <si>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</si>
  <si>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</si>
  <si>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</si>
  <si>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</si>
  <si>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</si>
  <si>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</si>
  <si>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</si>
  <si>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</si>
  <si>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</si>
  <si>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</si>
  <si>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</si>
  <si>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</si>
  <si>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</si>
  <si>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</si>
  <si>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</si>
  <si>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</si>
  <si>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</si>
  <si>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</si>
  <si>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</si>
  <si>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</si>
  <si>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</si>
  <si>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</si>
  <si>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</si>
  <si>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</si>
  <si>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</si>
  <si>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</si>
  <si>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</si>
  <si>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</si>
  <si>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</si>
  <si>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</si>
  <si>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</si>
  <si>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</si>
  <si>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</si>
  <si>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</si>
  <si>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</si>
  <si>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</si>
  <si>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</si>
  <si>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</si>
  <si>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</si>
  <si>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</si>
  <si>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</si>
  <si>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</si>
  <si>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</si>
  <si>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</si>
  <si>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</si>
  <si>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</si>
  <si>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</si>
  <si>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</si>
  <si>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</si>
  <si>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</si>
  <si>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</si>
  <si>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</si>
  <si>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</si>
  <si>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</si>
  <si>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</si>
  <si>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</si>
  <si>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</si>
  <si>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</si>
  <si>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</si>
  <si>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</si>
  <si>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</si>
  <si>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</si>
  <si>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</si>
  <si>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</si>
  <si>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</si>
  <si>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</si>
  <si>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</si>
  <si>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</si>
  <si>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</si>
  <si>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</si>
  <si>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</si>
  <si>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</si>
  <si>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</si>
  <si>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</si>
  <si>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</si>
  <si>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</si>
  <si>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</si>
  <si>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</si>
  <si>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</si>
  <si>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</si>
  <si>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</si>
  <si>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</si>
  <si>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</si>
  <si>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</si>
  <si>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</si>
  <si>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</si>
  <si>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</si>
  <si>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</si>
  <si>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</si>
  <si>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</si>
  <si>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</si>
  <si>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</si>
  <si>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</si>
  <si>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</si>
  <si>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</si>
  <si>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</si>
  <si>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</si>
  <si>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</si>
  <si>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</si>
  <si>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</si>
  <si>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</si>
  <si>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</si>
  <si>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</si>
  <si>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</si>
  <si>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</si>
  <si>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</si>
  <si>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</si>
  <si>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</si>
  <si>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</si>
  <si>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</si>
  <si>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</si>
  <si>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</si>
  <si>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</si>
  <si>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</si>
  <si>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</si>
  <si>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</si>
  <si>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</si>
  <si>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</si>
  <si>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</si>
  <si>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</si>
  <si>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</si>
  <si>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</si>
  <si>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</si>
  <si>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</si>
  <si>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</si>
  <si>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</si>
  <si>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</si>
  <si>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</si>
  <si>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</si>
  <si>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</si>
  <si>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</si>
  <si>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</si>
  <si>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</si>
  <si>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</si>
  <si>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</si>
  <si>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</si>
  <si>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</si>
  <si>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</si>
  <si>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</si>
  <si>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</si>
  <si>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</si>
  <si>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</si>
  <si>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</si>
  <si>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</si>
  <si>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</si>
  <si>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</si>
  <si>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</si>
  <si>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</si>
  <si>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</si>
  <si>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</si>
  <si>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</si>
  <si>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</si>
  <si>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</si>
  <si>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</si>
  <si>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</si>
  <si>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</si>
  <si>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</si>
  <si>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</si>
  <si>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</si>
  <si>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</si>
  <si>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</si>
  <si>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</si>
  <si>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</si>
  <si>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</si>
  <si>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</si>
  <si>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</si>
  <si>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</si>
  <si>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</si>
  <si>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</si>
  <si>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</si>
  <si>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</si>
  <si>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</si>
  <si>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</si>
  <si>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</si>
  <si>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</si>
  <si>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</si>
  <si>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</si>
  <si>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</si>
  <si>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</si>
  <si>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</si>
  <si>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</si>
  <si>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</si>
  <si>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</si>
  <si>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</si>
  <si>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</si>
  <si>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</si>
  <si>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</si>
  <si>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</si>
  <si>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</si>
  <si>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</si>
  <si>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</si>
  <si>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</si>
  <si>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</si>
  <si>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</si>
  <si>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</si>
  <si>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</si>
  <si>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</si>
  <si>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</si>
  <si>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</si>
  <si>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</si>
  <si>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</si>
  <si>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</si>
  <si>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</si>
  <si>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</si>
  <si>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</si>
  <si>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</si>
  <si>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</si>
  <si>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</si>
  <si>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</si>
  <si>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</si>
  <si>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</si>
  <si>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</si>
  <si>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</si>
  <si>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</si>
  <si>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</si>
  <si>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</si>
  <si>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</si>
  <si>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</si>
  <si>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</si>
  <si>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</si>
  <si>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</si>
  <si>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</si>
  <si>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</si>
  <si>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</si>
  <si>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</si>
  <si>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</si>
  <si>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</si>
  <si>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</si>
  <si>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</si>
  <si>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</si>
  <si>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</si>
  <si>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</si>
  <si>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</si>
  <si>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</si>
  <si>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</si>
  <si>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</si>
  <si>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</si>
  <si>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</si>
  <si>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</si>
  <si>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</si>
  <si>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</si>
  <si>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</si>
  <si>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</si>
  <si>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</si>
  <si>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</si>
  <si>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</si>
  <si>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</si>
  <si>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</si>
  <si>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</si>
  <si>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</si>
  <si>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</si>
  <si>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</si>
  <si>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</si>
  <si>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</si>
  <si>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</si>
  <si>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</si>
  <si>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</si>
  <si>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</si>
  <si>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</si>
  <si>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</si>
  <si>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</si>
  <si>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</si>
  <si>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</si>
  <si>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</si>
  <si>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</si>
  <si>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</si>
  <si>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</si>
  <si>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</si>
  <si>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</si>
  <si>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</si>
  <si>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</si>
  <si>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</si>
  <si>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</si>
  <si>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</si>
  <si>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</si>
  <si>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</si>
  <si>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</si>
  <si>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</si>
  <si>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</si>
  <si>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</si>
  <si>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</si>
  <si>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</si>
  <si>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</si>
  <si>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</si>
  <si>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</si>
  <si>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</si>
  <si>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</si>
  <si>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</si>
  <si>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</si>
  <si>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</si>
  <si>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</si>
  <si>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</si>
  <si>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</si>
  <si>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</si>
  <si>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</si>
  <si>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</si>
  <si>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</si>
  <si>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</si>
  <si>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</si>
  <si>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</si>
  <si>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</si>
  <si>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</si>
  <si>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</si>
  <si>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</si>
  <si>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</si>
  <si>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</si>
  <si>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</si>
  <si>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</si>
  <si>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</si>
  <si>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</si>
  <si>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</si>
  <si>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</si>
  <si>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</si>
  <si>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</si>
  <si>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</si>
  <si>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</si>
  <si>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</si>
  <si>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</si>
  <si>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</si>
  <si>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</si>
  <si>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</si>
  <si>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</si>
  <si>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</si>
  <si>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</si>
  <si>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</si>
  <si>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</si>
  <si>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</si>
  <si>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</si>
  <si>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</si>
  <si>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</si>
  <si>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</si>
  <si>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</si>
  <si>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</si>
  <si>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</si>
  <si>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</si>
  <si>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</si>
  <si>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</si>
  <si>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</si>
  <si>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</si>
  <si>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</si>
  <si>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</si>
  <si>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</si>
  <si>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</si>
  <si>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</si>
  <si>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</si>
  <si>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</si>
  <si>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</si>
  <si>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</si>
  <si>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</si>
  <si>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</si>
  <si>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</si>
  <si>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</si>
  <si>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</si>
  <si>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</si>
  <si>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</si>
  <si>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</si>
  <si>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</si>
  <si>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</si>
  <si>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</si>
  <si>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</si>
  <si>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</si>
  <si>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</si>
  <si>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</si>
  <si>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</si>
  <si>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</si>
  <si>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</si>
  <si>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</si>
  <si>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</si>
  <si>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</si>
  <si>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</si>
  <si>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</si>
  <si>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</si>
  <si>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</si>
  <si>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</si>
  <si>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</si>
  <si>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</si>
  <si>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</si>
  <si>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</si>
  <si>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</si>
  <si>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</si>
  <si>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</si>
  <si>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</si>
  <si>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</si>
  <si>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</si>
  <si>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</si>
  <si>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</si>
  <si>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</si>
  <si>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</si>
  <si>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</si>
  <si>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</si>
  <si>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</si>
  <si>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</si>
  <si>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</si>
  <si>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</si>
  <si>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</si>
  <si>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</si>
  <si>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</si>
  <si>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</si>
  <si>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</si>
  <si>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</si>
  <si>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</si>
  <si>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</si>
  <si>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</si>
  <si>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</si>
  <si>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</si>
  <si>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</si>
  <si>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</si>
  <si>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</si>
  <si>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</si>
  <si>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</si>
  <si>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</si>
  <si>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</si>
  <si>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</si>
  <si>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</si>
  <si>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</si>
  <si>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</si>
  <si>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</si>
  <si>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</si>
  <si>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</si>
  <si>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</si>
  <si>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</si>
  <si>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</si>
  <si>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</si>
  <si>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</si>
  <si>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</si>
  <si>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</si>
  <si>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</si>
  <si>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</si>
  <si>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</si>
  <si>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</si>
  <si>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</si>
  <si>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</si>
  <si>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</si>
  <si>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</si>
  <si>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</si>
  <si>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</si>
  <si>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</si>
  <si>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</si>
  <si>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</si>
  <si>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</si>
  <si>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</si>
  <si>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</si>
  <si>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</si>
  <si>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</si>
  <si>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</si>
  <si>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</si>
  <si>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</si>
  <si>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</si>
  <si>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</si>
  <si>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</si>
  <si>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</si>
  <si>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</si>
  <si>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</si>
  <si>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</si>
  <si>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</si>
  <si>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</si>
  <si>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</si>
  <si>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</si>
  <si>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</si>
  <si>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</si>
  <si>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</si>
  <si>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</si>
  <si>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</si>
  <si>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</si>
  <si>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</si>
  <si>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</si>
  <si>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</si>
  <si>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</si>
  <si>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</si>
  <si>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</si>
  <si>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</si>
  <si>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</si>
  <si>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</si>
  <si>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</si>
  <si>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</si>
  <si>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</si>
  <si>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</si>
  <si>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</si>
  <si>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</si>
  <si>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</si>
  <si>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</si>
  <si>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</si>
  <si>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</si>
  <si>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</si>
  <si>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</si>
  <si>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</si>
  <si>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</si>
  <si>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</si>
  <si>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</si>
  <si>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</si>
  <si>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</si>
  <si>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</si>
  <si>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</si>
  <si>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</si>
  <si>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</si>
  <si>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</si>
  <si>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</si>
  <si>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</si>
  <si>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</si>
  <si>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</si>
  <si>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</si>
  <si>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</si>
  <si>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</si>
  <si>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</si>
  <si>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</si>
  <si>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</si>
  <si>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</si>
  <si>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</si>
  <si>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</si>
  <si>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</si>
  <si>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</si>
  <si>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</si>
  <si>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</si>
  <si>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</si>
  <si>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</si>
  <si>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</si>
  <si>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</si>
  <si>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</si>
  <si>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</si>
  <si>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</si>
  <si>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</si>
  <si>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</si>
  <si>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</si>
  <si>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</si>
  <si>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</si>
  <si>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</si>
  <si>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</si>
  <si>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</si>
  <si>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</si>
  <si>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</si>
  <si>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</si>
  <si>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</si>
  <si>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</si>
  <si>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</si>
  <si>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</si>
  <si>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</si>
  <si>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</si>
  <si>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</si>
  <si>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</si>
  <si>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</si>
  <si>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</si>
  <si>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</si>
  <si>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</si>
  <si>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</si>
  <si>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</si>
  <si>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</si>
  <si>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</si>
  <si>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</si>
  <si>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</si>
  <si>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</si>
  <si>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</si>
  <si>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</si>
  <si>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</si>
  <si>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</si>
  <si>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</si>
  <si>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</si>
  <si>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</si>
  <si>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</si>
  <si>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</si>
  <si>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</si>
  <si>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</si>
  <si>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</si>
  <si>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</si>
  <si>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</si>
  <si>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</si>
  <si>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</si>
  <si>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</si>
  <si>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</si>
  <si>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</si>
  <si>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</si>
  <si>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</si>
  <si>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</si>
  <si>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</si>
  <si>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</si>
  <si>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</si>
  <si>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</si>
  <si>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</si>
  <si>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</si>
  <si>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</si>
  <si>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</si>
  <si>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</si>
  <si>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</si>
  <si>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</si>
  <si>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</si>
  <si>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</si>
  <si>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</si>
  <si>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</si>
  <si>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</si>
  <si>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</si>
  <si>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</si>
  <si>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</si>
  <si>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</si>
  <si>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</si>
  <si>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</si>
  <si>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</si>
  <si>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</si>
  <si>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</si>
  <si>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</si>
  <si>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</si>
  <si>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</si>
  <si>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</si>
  <si>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</si>
  <si>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</si>
  <si>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</si>
  <si>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</si>
  <si>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</si>
  <si>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</si>
  <si>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</si>
  <si>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</si>
  <si>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</si>
  <si>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</si>
  <si>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</si>
  <si>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</si>
  <si>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</si>
  <si>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</si>
  <si>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</si>
  <si>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</si>
  <si>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</si>
  <si>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</si>
  <si>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</si>
  <si>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</si>
  <si>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</si>
  <si>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</si>
  <si>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</si>
  <si>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</si>
  <si>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</si>
  <si>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</si>
  <si>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</si>
  <si>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</si>
  <si>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</si>
  <si>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</si>
  <si>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</si>
  <si>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</si>
  <si>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</si>
  <si>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</si>
  <si>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</si>
  <si>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</si>
  <si>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</si>
  <si>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</si>
  <si>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</si>
  <si>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</si>
  <si>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</si>
  <si>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</si>
  <si>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</si>
  <si>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</si>
  <si>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</si>
  <si>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</si>
  <si>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</si>
  <si>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</si>
  <si>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</si>
  <si>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</si>
  <si>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</si>
  <si>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</si>
  <si>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</si>
  <si>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</si>
  <si>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</si>
  <si>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</si>
  <si>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</si>
  <si>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</si>
  <si>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</si>
  <si>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</si>
  <si>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</si>
  <si>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</si>
  <si>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</si>
  <si>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</si>
  <si>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</si>
  <si>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</si>
  <si>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</si>
  <si>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</si>
  <si>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</si>
  <si>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</si>
  <si>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</si>
  <si>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</si>
  <si>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</si>
  <si>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</si>
  <si>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</si>
  <si>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</si>
  <si>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</si>
  <si>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</si>
  <si>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</si>
  <si>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</si>
  <si>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</si>
  <si>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</si>
  <si>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</si>
  <si>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</si>
  <si>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</si>
  <si>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</si>
  <si>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</si>
  <si>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</si>
  <si>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</si>
  <si>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</si>
  <si>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</si>
  <si>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</si>
  <si>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</si>
  <si>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</si>
  <si>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</si>
  <si>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</si>
  <si>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</si>
  <si>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</si>
  <si>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</si>
  <si>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</si>
  <si>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</si>
  <si>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</si>
  <si>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</si>
  <si>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</si>
  <si>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</si>
  <si>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</si>
  <si>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</si>
  <si>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</si>
  <si>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</si>
  <si>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</si>
  <si>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</si>
  <si>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</si>
  <si>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</si>
  <si>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</si>
  <si>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</si>
  <si>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</si>
  <si>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</si>
  <si>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</si>
  <si>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</si>
  <si>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</si>
  <si>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</si>
  <si>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</si>
  <si>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</si>
  <si>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</si>
  <si>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</si>
  <si>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</si>
  <si>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</si>
  <si>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</si>
  <si>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</si>
  <si>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</si>
  <si>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</si>
  <si>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</si>
  <si>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</si>
  <si>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</si>
  <si>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</si>
  <si>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</si>
  <si>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</si>
  <si>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</si>
  <si>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</si>
  <si>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</si>
  <si>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</si>
  <si>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</si>
  <si>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</si>
  <si>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</si>
  <si>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</si>
  <si>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</si>
  <si>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</si>
  <si>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</si>
  <si>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</si>
  <si>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</si>
  <si>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</si>
  <si>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</si>
  <si>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</si>
  <si>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</si>
  <si>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</si>
  <si>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</si>
  <si>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</si>
  <si>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</si>
  <si>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</si>
  <si>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</si>
  <si>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</si>
  <si>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</si>
  <si>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</si>
  <si>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</si>
  <si>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</si>
  <si>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</si>
  <si>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</si>
  <si>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</si>
  <si>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</si>
  <si>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</si>
  <si>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</si>
  <si>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</si>
  <si>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</si>
  <si>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</si>
  <si>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</si>
  <si>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</si>
  <si>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</si>
  <si>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</si>
  <si>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</si>
  <si>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</si>
  <si>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</si>
  <si>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</si>
  <si>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</si>
  <si>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</si>
  <si>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</si>
  <si>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</si>
  <si>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</si>
  <si>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</si>
  <si>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</si>
  <si>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</si>
  <si>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</si>
  <si>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</si>
  <si>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</si>
  <si>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</si>
  <si>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</si>
  <si>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</si>
  <si>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</si>
  <si>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</si>
  <si>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</si>
  <si>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</si>
  <si>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</si>
  <si>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</si>
  <si>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</si>
  <si>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</si>
  <si>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</si>
  <si>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</si>
  <si>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</si>
  <si>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</si>
  <si>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</si>
  <si>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</si>
  <si>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</si>
  <si>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</si>
  <si>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</si>
  <si>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</si>
  <si>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</si>
  <si>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</si>
  <si>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</si>
  <si>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</si>
  <si>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</si>
  <si>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</si>
  <si>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</si>
  <si>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</si>
  <si>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</si>
  <si>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</si>
  <si>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</si>
  <si>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</si>
  <si>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</si>
  <si>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</si>
  <si>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</si>
  <si>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</si>
  <si>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</si>
  <si>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</si>
  <si>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</si>
  <si>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</si>
  <si>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</si>
  <si>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</si>
  <si>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</si>
  <si>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</si>
  <si>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</si>
  <si>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</si>
  <si>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</si>
  <si>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</si>
  <si>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</si>
  <si>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</si>
  <si>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</si>
  <si>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</si>
  <si>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</si>
  <si>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</si>
  <si>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</si>
  <si>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</si>
  <si>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</si>
  <si>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</si>
  <si>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</si>
  <si>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</si>
  <si>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</si>
  <si>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</si>
  <si>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</si>
  <si>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</si>
  <si>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</si>
  <si>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</si>
  <si>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</si>
  <si>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</si>
  <si>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</si>
  <si>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</si>
  <si>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</si>
  <si>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</si>
  <si>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</si>
  <si>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</si>
  <si>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</si>
  <si>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</si>
  <si>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</si>
  <si>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</si>
  <si>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</si>
  <si>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</si>
  <si>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</si>
  <si>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</si>
  <si>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</si>
  <si>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</si>
  <si>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</si>
  <si>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</si>
  <si>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</si>
  <si>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</si>
  <si>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</si>
  <si>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</si>
  <si>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</si>
  <si>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</si>
  <si>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</si>
  <si>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</si>
  <si>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</si>
  <si>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</si>
  <si>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</si>
  <si>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</si>
  <si>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</si>
  <si>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</si>
  <si>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</si>
  <si>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</si>
  <si>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</si>
  <si>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</si>
  <si>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</si>
  <si>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</si>
  <si>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</si>
  <si>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</si>
  <si>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</si>
  <si>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</si>
  <si>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</si>
  <si>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</si>
  <si>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</si>
  <si>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</si>
  <si>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</si>
  <si>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</si>
  <si>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</si>
  <si>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</si>
  <si>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</si>
  <si>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</si>
  <si>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</si>
  <si>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</si>
  <si>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</si>
  <si>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</si>
  <si>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</si>
  <si>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</si>
  <si>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</si>
  <si>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</si>
  <si>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</si>
  <si>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</si>
  <si>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</si>
  <si>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</si>
  <si>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</si>
  <si>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</si>
  <si>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</si>
  <si>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</si>
  <si>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</si>
  <si>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</si>
  <si>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</si>
  <si>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</si>
  <si>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</si>
  <si>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</si>
  <si>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</si>
  <si>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</si>
  <si>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</si>
  <si>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</si>
  <si>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</si>
  <si>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</si>
  <si>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</si>
  <si>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</si>
  <si>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</si>
  <si>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</si>
  <si>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</si>
  <si>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</si>
  <si>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</si>
  <si>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</si>
  <si>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</si>
  <si>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</si>
  <si>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</si>
  <si>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</si>
  <si>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</si>
  <si>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</si>
  <si>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</si>
  <si>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</si>
  <si>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</si>
  <si>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</si>
  <si>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</si>
  <si>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</si>
  <si>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</si>
  <si>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</si>
  <si>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</si>
  <si>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</si>
  <si>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</si>
  <si>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</si>
  <si>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</si>
  <si>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</si>
  <si>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</si>
  <si>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</si>
  <si>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</si>
  <si>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</si>
  <si>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</si>
  <si>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</si>
  <si>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</si>
  <si>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</si>
  <si>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</si>
  <si>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</si>
  <si>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</si>
  <si>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</si>
  <si>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</si>
  <si>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</si>
  <si>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</si>
  <si>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</si>
  <si>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</si>
  <si>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</si>
  <si>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</si>
  <si>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</si>
  <si>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</si>
  <si>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</si>
  <si>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</si>
  <si>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</si>
  <si>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</si>
  <si>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</si>
  <si>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</si>
  <si>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</si>
  <si>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</si>
  <si>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</si>
  <si>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</si>
  <si>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</si>
  <si>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</si>
  <si>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</si>
  <si>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</si>
  <si>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</si>
  <si>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</si>
  <si>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</si>
  <si>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</si>
  <si>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</si>
  <si>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</si>
  <si>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</si>
  <si>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</si>
  <si>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</si>
  <si>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</si>
  <si>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</si>
  <si>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</si>
  <si>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</si>
  <si>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</si>
  <si>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</si>
  <si>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</si>
  <si>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</si>
  <si>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</si>
  <si>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</si>
  <si>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</si>
  <si>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</si>
  <si>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</si>
  <si>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</si>
  <si>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</si>
  <si>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</si>
  <si>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</si>
  <si>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</si>
  <si>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</si>
  <si>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</si>
  <si>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</si>
  <si>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</si>
  <si>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</si>
  <si>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</si>
  <si>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</si>
  <si>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</si>
  <si>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</si>
  <si>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</si>
  <si>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</si>
  <si>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</si>
  <si>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</si>
  <si>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</si>
  <si>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</si>
  <si>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</si>
  <si>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</si>
  <si>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</si>
  <si>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</si>
  <si>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</si>
  <si>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</si>
  <si>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</si>
  <si>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</si>
  <si>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</si>
  <si>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</si>
  <si>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</si>
  <si>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</si>
  <si>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</si>
  <si>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</si>
  <si>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</si>
  <si>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</si>
  <si>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</si>
  <si>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</si>
  <si>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</si>
  <si>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</si>
  <si>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</si>
  <si>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</si>
  <si>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</si>
  <si>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</si>
  <si>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</si>
  <si>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</si>
  <si>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</si>
  <si>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</si>
  <si>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</si>
  <si>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</si>
  <si>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</si>
  <si>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</si>
  <si>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</si>
  <si>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</si>
  <si>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</si>
  <si>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</si>
  <si>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</si>
  <si>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</si>
  <si>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</si>
  <si>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</si>
  <si>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</si>
  <si>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</si>
  <si>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</si>
  <si>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</si>
  <si>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</si>
  <si>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</si>
  <si>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</si>
  <si>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</si>
  <si>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</si>
  <si>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</si>
  <si>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</si>
  <si>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</si>
  <si>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</si>
  <si>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</si>
  <si>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</si>
  <si>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</si>
  <si>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</si>
  <si>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</si>
  <si>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</si>
  <si>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</si>
  <si>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</si>
  <si>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</si>
  <si>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</si>
  <si>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</si>
  <si>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</si>
  <si>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</si>
  <si>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</si>
  <si>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</si>
  <si>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</si>
  <si>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</si>
  <si>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</si>
  <si>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</si>
  <si>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</si>
  <si>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</si>
  <si>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</si>
  <si>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</si>
  <si>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</si>
  <si>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</si>
  <si>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</si>
  <si>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</si>
  <si>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</si>
  <si>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</si>
  <si>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</si>
  <si>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</si>
  <si>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</si>
  <si>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</si>
  <si>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</si>
  <si>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</si>
  <si>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</si>
  <si>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</si>
  <si>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</si>
  <si>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</si>
  <si>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</si>
  <si>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</si>
  <si>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</si>
  <si>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</si>
  <si>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</si>
  <si>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</si>
  <si>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</si>
  <si>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</si>
  <si>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</si>
  <si>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</si>
  <si>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</si>
  <si>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</si>
  <si>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</si>
  <si>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</si>
  <si>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</si>
  <si>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</si>
  <si>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</si>
  <si>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</si>
  <si>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</si>
  <si>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</si>
  <si>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</si>
  <si>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</si>
  <si>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</si>
  <si>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</si>
  <si>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</si>
  <si>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</si>
  <si>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</si>
  <si>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</si>
  <si>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</si>
  <si>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</si>
  <si>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</si>
  <si>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</si>
  <si>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</si>
  <si>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</si>
  <si>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</si>
  <si>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</si>
  <si>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</si>
  <si>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</si>
  <si>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</si>
  <si>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</si>
  <si>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</si>
  <si>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</si>
  <si>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</si>
  <si>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</si>
  <si>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</si>
  <si>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</si>
  <si>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</si>
  <si>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</si>
  <si>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</si>
  <si>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</si>
  <si>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</si>
  <si>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</si>
  <si>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</si>
  <si>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</si>
  <si>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</si>
  <si>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</si>
  <si>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</si>
  <si>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</si>
  <si>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</si>
  <si>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</si>
  <si>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</si>
  <si>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</si>
  <si>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</si>
  <si>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</si>
  <si>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</si>
  <si>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</si>
  <si>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</si>
  <si>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</si>
  <si>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</si>
  <si>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</si>
  <si>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</si>
  <si>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</si>
  <si>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</si>
  <si>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</si>
  <si>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</si>
  <si>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</si>
  <si>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</si>
  <si>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</si>
  <si>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</si>
  <si>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</si>
  <si>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</si>
  <si>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</si>
  <si>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</si>
  <si>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</si>
  <si>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</si>
  <si>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</si>
  <si>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</si>
  <si>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</si>
  <si>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</si>
  <si>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</si>
  <si>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</si>
  <si>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</si>
  <si>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</si>
  <si>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</si>
  <si>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</si>
  <si>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</si>
  <si>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</si>
  <si>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</si>
  <si>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</si>
  <si>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</si>
  <si>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</si>
  <si>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</si>
  <si>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</si>
  <si>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</si>
  <si>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</si>
  <si>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</si>
  <si>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</si>
  <si>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</si>
  <si>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</si>
  <si>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</si>
  <si>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</si>
  <si>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</si>
  <si>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</si>
  <si>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</si>
  <si>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</si>
  <si>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</si>
  <si>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</si>
  <si>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</si>
  <si>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</si>
  <si>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</si>
  <si>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</si>
  <si>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</si>
  <si>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</si>
  <si>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</si>
  <si>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</si>
  <si>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</si>
  <si>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</si>
  <si>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</si>
  <si>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</si>
  <si>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</si>
  <si>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2025-4</t>
    <phoneticPr fontId="3" type="noConversion"/>
  </si>
  <si>
    <t>2024-4</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</si>
  <si>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</si>
  <si>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</si>
  <si>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</si>
  <si>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</si>
  <si>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</si>
  <si>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</si>
  <si>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</si>
  <si>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</si>
  <si>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</si>
  <si>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</si>
  <si>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</si>
  <si>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2025-3</t>
    <phoneticPr fontId="3" type="noConversion"/>
  </si>
  <si>
    <t>2025-2</t>
    <phoneticPr fontId="3" type="noConversion"/>
  </si>
  <si>
    <t>2025-3</t>
    <phoneticPr fontId="3" type="noConversion"/>
  </si>
  <si>
    <t>抵押</t>
  </si>
  <si>
    <t>抵押价格</t>
  </si>
  <si>
    <t>其他：</t>
  </si>
  <si>
    <t>住宅</t>
    <phoneticPr fontId="3" type="noConversion"/>
  </si>
  <si>
    <t>商业</t>
    <phoneticPr fontId="3" type="noConversion"/>
  </si>
  <si>
    <t>是</t>
  </si>
  <si>
    <t>地上</t>
  </si>
  <si>
    <t>住宅</t>
    <phoneticPr fontId="7" type="noConversion"/>
  </si>
  <si>
    <t>商业</t>
    <phoneticPr fontId="7" type="noConversion"/>
  </si>
  <si>
    <t>老城区（以迎宾大道、南河、金马河为界，形成的老城区所在地）</t>
    <phoneticPr fontId="3" type="noConversion"/>
  </si>
  <si>
    <t>五津街道（老城区除外）、花源街道、花桥街道、兴义镇、永商镇、宝墩镇</t>
  </si>
  <si>
    <t>普兴街道</t>
    <phoneticPr fontId="3" type="noConversion"/>
  </si>
  <si>
    <t>安西镇</t>
    <phoneticPr fontId="3" type="noConversion"/>
  </si>
  <si>
    <t>新津区</t>
  </si>
  <si>
    <t>新津区</t>
    <phoneticPr fontId="3" type="noConversion"/>
  </si>
  <si>
    <t>https://www.xinjin.gov.cn/xjxrmzf/c1256263/2024-12/02/content_7d984233fc314de3914ae8f4ebc8b02a.shtml</t>
    <phoneticPr fontId="3" type="noConversion"/>
  </si>
  <si>
    <t>成都市盛城投资发展有限公司</t>
  </si>
  <si>
    <t>2022-12-13</t>
  </si>
  <si>
    <t>2022年第4批次</t>
  </si>
  <si>
    <t>拍卖</t>
  </si>
  <si>
    <t>1.0&lt;容积率≤2.0</t>
  </si>
  <si>
    <t>住宅用地70年、商服用地40年</t>
  </si>
  <si>
    <t>住宅兼容商业服务业设施用地(商业兼容比例为25%-30%)</t>
  </si>
  <si>
    <t>综合用地(含住宅)</t>
  </si>
  <si>
    <t>XJ2022-34(0701/09)</t>
  </si>
  <si>
    <t>成都市</t>
  </si>
  <si>
    <t>新津区花源街道杨柳村一组、四组、五组</t>
  </si>
  <si>
    <t>成都山水渡建设有限责任公司</t>
  </si>
  <si>
    <t>1.0&lt;容积率≤1.2</t>
  </si>
  <si>
    <t>二类住宅兼商业服务业设施用地,兼容比例大于15%,且不大于20%</t>
  </si>
  <si>
    <t>XJ2022-23(0701/09)</t>
  </si>
  <si>
    <t>新津区兴义镇田渡村一组、十组,兴场社区四组</t>
  </si>
  <si>
    <t>2023-05-19</t>
  </si>
  <si>
    <t/>
  </si>
  <si>
    <t>1.0&lt;容积率≤3.0</t>
  </si>
  <si>
    <t>住宅用地70年</t>
  </si>
  <si>
    <t>住宅用地</t>
  </si>
  <si>
    <t>XJ2022-04(0701)</t>
  </si>
  <si>
    <t>新津区普兴街道骑龙社区一组、二组</t>
  </si>
  <si>
    <t>成都新程房地产开发有限公司</t>
  </si>
  <si>
    <t>2023-08-24</t>
  </si>
  <si>
    <t>1.5&lt;容积率≤2.0</t>
  </si>
  <si>
    <t>二类住宅用地</t>
  </si>
  <si>
    <t>XJ2023-03(0701)</t>
  </si>
  <si>
    <t>新津区五津街道城东社区六组</t>
  </si>
  <si>
    <t>成都市竹栖文化旅游发展有限公司</t>
  </si>
  <si>
    <t>2024-06-27</t>
  </si>
  <si>
    <t>容积率≤2.5</t>
  </si>
  <si>
    <t>XJ2023-41(0701)</t>
  </si>
  <si>
    <t>新津区宝墩镇迎先村四组、七组</t>
  </si>
  <si>
    <t>2024-07-24</t>
  </si>
  <si>
    <t>≥1,≤2.5</t>
  </si>
  <si>
    <t>二类城镇住宅用地70年</t>
  </si>
  <si>
    <t>二类城镇住宅用地</t>
  </si>
  <si>
    <t>XJ2024-03(0701)</t>
  </si>
  <si>
    <t>成都瑞新汇创实业有限公司 、四川新创鑫房地产开发有限公司</t>
  </si>
  <si>
    <t>2024-11-11</t>
  </si>
  <si>
    <t>大于1.5小于2</t>
  </si>
  <si>
    <t>70</t>
  </si>
  <si>
    <t>XJ2024-06(0701)</t>
  </si>
  <si>
    <t>四川蓝城雅和房地产开发有限公司</t>
  </si>
  <si>
    <t>2024-12-17</t>
  </si>
  <si>
    <t>0.6-0.7</t>
  </si>
  <si>
    <t>城镇住宅用地70年</t>
  </si>
  <si>
    <t>XJ2024-07(0701)</t>
  </si>
  <si>
    <t>新津区花源街道杨柳村一组、四组、八组</t>
  </si>
  <si>
    <t>成都市盛城投资发展有限公司 、四川同协嘉房地产开发有限公司</t>
  </si>
  <si>
    <t>2025-03-18</t>
  </si>
  <si>
    <t>大于1.0且小于1.8</t>
  </si>
  <si>
    <t>二类城镇住宅用地、商业用地住宅70年、商业40年</t>
  </si>
  <si>
    <t>城镇住宅用地混合商业用地(商业计容建筑面积≥15%且≤20%)</t>
  </si>
  <si>
    <t>XJ2022-35(0701/09)</t>
  </si>
  <si>
    <t>新津区花源街道杨柳村一组、四组</t>
  </si>
  <si>
    <t>成都鑫华置业有限公司</t>
  </si>
  <si>
    <t>2025-10-16</t>
  </si>
  <si>
    <t>不大于2</t>
  </si>
  <si>
    <t>XJ2025-13(0701)</t>
  </si>
  <si>
    <t>新津区五津街道红石社区2组</t>
  </si>
  <si>
    <t>成都瑞新汇创实业有限公司 、成都川昱古建筑工程有限公司</t>
  </si>
  <si>
    <t>2025-11-28</t>
  </si>
  <si>
    <t>大于1且不大于2</t>
  </si>
  <si>
    <t>XJ2025-15(0701)</t>
  </si>
  <si>
    <t>新津区花源街道杨柳村7组、10组</t>
  </si>
  <si>
    <t>成都信航启达房地产开发有限公司 、四川瑞新汇创置业有限公司</t>
  </si>
  <si>
    <t>2025-12-03</t>
  </si>
  <si>
    <t>不大于1.8</t>
  </si>
  <si>
    <t>XJ2025-14(0701)</t>
  </si>
  <si>
    <t>新津区五津街道城东社区6组</t>
  </si>
  <si>
    <t>受让单位</t>
  </si>
  <si>
    <t>溢价率(%)</t>
  </si>
  <si>
    <t>成交每亩价(万元/亩)</t>
  </si>
  <si>
    <t>成交总价(万元)</t>
  </si>
  <si>
    <t>成交时间</t>
  </si>
  <si>
    <t>集中供地</t>
  </si>
  <si>
    <t>出让方式</t>
  </si>
  <si>
    <t>商业比例(%)</t>
  </si>
  <si>
    <t>出让年限(年)</t>
  </si>
  <si>
    <t>详细规划</t>
  </si>
  <si>
    <t>用地性质</t>
  </si>
  <si>
    <t>规划建筑面积(㎡)</t>
  </si>
  <si>
    <t>建设用地面积(㎡)</t>
  </si>
  <si>
    <t>地块编号</t>
  </si>
  <si>
    <t>城市</t>
  </si>
  <si>
    <t>地块名称</t>
  </si>
  <si>
    <t>新津牧马山</t>
  </si>
  <si>
    <t>板块</t>
  </si>
  <si>
    <t>区县</t>
  </si>
  <si>
    <t>正常</t>
  </si>
  <si>
    <t>二类住宅用地</t>
    <phoneticPr fontId="26" type="noConversion"/>
  </si>
  <si>
    <r>
      <rPr>
        <sz val="11"/>
        <rFont val="宋体"/>
        <family val="3"/>
        <charset val="134"/>
      </rPr>
      <t>城镇住宅用地混合商业用地</t>
    </r>
    <r>
      <rPr>
        <sz val="11"/>
        <rFont val="Arial"/>
        <family val="2"/>
      </rPr>
      <t>(</t>
    </r>
    <r>
      <rPr>
        <sz val="11"/>
        <rFont val="宋体"/>
        <family val="3"/>
        <charset val="134"/>
      </rPr>
      <t>商业计容建筑面积≥</t>
    </r>
    <r>
      <rPr>
        <sz val="11"/>
        <rFont val="Arial"/>
        <family val="2"/>
      </rPr>
      <t>15%</t>
    </r>
    <r>
      <rPr>
        <sz val="11"/>
        <rFont val="宋体"/>
        <family val="3"/>
        <charset val="134"/>
      </rPr>
      <t>且≤</t>
    </r>
    <r>
      <rPr>
        <sz val="11"/>
        <rFont val="Arial"/>
        <family val="2"/>
      </rPr>
      <t>20%)</t>
    </r>
    <phoneticPr fontId="26" type="noConversion"/>
  </si>
  <si>
    <r>
      <rPr>
        <sz val="11"/>
        <rFont val="宋体"/>
        <family val="3"/>
        <charset val="134"/>
      </rPr>
      <t>二类住宅兼商业服务业设施用地</t>
    </r>
    <r>
      <rPr>
        <sz val="11"/>
        <rFont val="Arial"/>
        <family val="2"/>
      </rPr>
      <t>,</t>
    </r>
    <r>
      <rPr>
        <sz val="11"/>
        <rFont val="宋体"/>
        <family val="3"/>
        <charset val="134"/>
      </rPr>
      <t>兼容比例大于</t>
    </r>
    <r>
      <rPr>
        <sz val="11"/>
        <rFont val="Arial"/>
        <family val="2"/>
      </rPr>
      <t>20%,</t>
    </r>
    <r>
      <rPr>
        <sz val="11"/>
        <rFont val="宋体"/>
        <family val="3"/>
        <charset val="134"/>
      </rPr>
      <t>且不大于</t>
    </r>
    <r>
      <rPr>
        <sz val="11"/>
        <rFont val="Arial"/>
        <family val="2"/>
      </rPr>
      <t>25%</t>
    </r>
    <phoneticPr fontId="26" type="noConversion"/>
  </si>
  <si>
    <t>一般</t>
  </si>
  <si>
    <t>较差</t>
  </si>
  <si>
    <t>六通</t>
  </si>
  <si>
    <t>较好</t>
  </si>
  <si>
    <t>成交楼面价(元/㎡)</t>
    <phoneticPr fontId="224" type="noConversion"/>
  </si>
  <si>
    <t>楼面地价</t>
  </si>
  <si>
    <t>适用的基准地价</t>
    <phoneticPr fontId="224" type="noConversion"/>
  </si>
  <si>
    <t>期日修正</t>
    <phoneticPr fontId="224" type="noConversion"/>
  </si>
  <si>
    <t>使用年期修正</t>
    <phoneticPr fontId="224" type="noConversion"/>
  </si>
  <si>
    <t>容积率修正</t>
    <phoneticPr fontId="224" type="noConversion"/>
  </si>
  <si>
    <t>区域因素修正</t>
    <phoneticPr fontId="224" type="noConversion"/>
  </si>
  <si>
    <t>个别因素修正</t>
    <phoneticPr fontId="224" type="noConversion"/>
  </si>
  <si>
    <t>配建修正值</t>
    <phoneticPr fontId="224" type="noConversion"/>
  </si>
  <si>
    <t>开发程度修正</t>
    <phoneticPr fontId="224" type="noConversion"/>
  </si>
  <si>
    <t>结果</t>
    <phoneticPr fontId="224" type="noConversion"/>
  </si>
  <si>
    <t>新津老城</t>
  </si>
  <si>
    <t>新筑巴伦西亚</t>
  </si>
  <si>
    <t>东原华宇·印江澜</t>
  </si>
  <si>
    <t>翡翠湾</t>
  </si>
  <si>
    <t>津门港湾</t>
  </si>
  <si>
    <t>金融街金悦府</t>
  </si>
  <si>
    <t>新津城市绿心</t>
  </si>
  <si>
    <t>华景川丽晶悦府</t>
  </si>
  <si>
    <t>欧郡源里小区</t>
  </si>
  <si>
    <t>翡翠湾.学苑</t>
  </si>
  <si>
    <t>新津老码头中国长街</t>
  </si>
  <si>
    <t>新津邓双小镇</t>
  </si>
  <si>
    <t>恒大牧云天峰</t>
  </si>
  <si>
    <t>天馨花园</t>
  </si>
  <si>
    <t>人居蜀津峰荟</t>
  </si>
  <si>
    <t>国信璟院</t>
  </si>
  <si>
    <t>水韵雅苑</t>
  </si>
  <si>
    <t>玖云府</t>
  </si>
  <si>
    <t>新希望东原·锦官印悦</t>
  </si>
  <si>
    <t>秀城</t>
  </si>
  <si>
    <t>翰澜学苑</t>
  </si>
  <si>
    <t>武阳郡邸</t>
  </si>
  <si>
    <t>新城金樾府邸</t>
  </si>
  <si>
    <t>金沙城·云津观棠</t>
  </si>
  <si>
    <t>隆鑫印象城邦</t>
  </si>
  <si>
    <t>南岸华庭</t>
  </si>
  <si>
    <t>雅居乐锦城</t>
  </si>
  <si>
    <t>翡翠湾书苑</t>
  </si>
  <si>
    <t>岷江新城</t>
  </si>
  <si>
    <t>天府明珠里</t>
  </si>
  <si>
    <t>丽都佳苑</t>
  </si>
  <si>
    <t>花样年好未来</t>
  </si>
  <si>
    <t>华邑南宸府</t>
  </si>
  <si>
    <t>海悦豪庭</t>
  </si>
  <si>
    <t>中洲天府珑悦</t>
  </si>
  <si>
    <t>锦悦尚玺</t>
  </si>
  <si>
    <t>恒大天府城邦</t>
  </si>
  <si>
    <t>翡翠名邸</t>
  </si>
  <si>
    <t>隆鑫首府</t>
  </si>
  <si>
    <t>中建望津城</t>
  </si>
  <si>
    <t>御景华庭</t>
  </si>
  <si>
    <t>旭辉恒基江山府</t>
  </si>
  <si>
    <t>锦熙名邸</t>
  </si>
  <si>
    <t>翠湖郡</t>
  </si>
  <si>
    <t>花屿岛·澜庭</t>
  </si>
  <si>
    <t>盛瑞沁源府</t>
  </si>
  <si>
    <t>铁投牧山溪岸</t>
  </si>
  <si>
    <t>翡翠湾壹号</t>
  </si>
  <si>
    <t>天府龙智壹号小区</t>
  </si>
  <si>
    <t>天府映屿</t>
  </si>
  <si>
    <t>翡翠滨江苑</t>
  </si>
  <si>
    <t>津城雅苑</t>
  </si>
  <si>
    <t>恒大林溪郡</t>
  </si>
  <si>
    <t>旭辉天府未来城</t>
  </si>
  <si>
    <t>当页汇总</t>
  </si>
  <si>
    <t>认购金额(万元)</t>
  </si>
  <si>
    <t>认购价格</t>
  </si>
  <si>
    <t>认购面积(㎡)</t>
  </si>
  <si>
    <t>认购套数</t>
  </si>
  <si>
    <t>可售面积(㎡)</t>
  </si>
  <si>
    <t>可售套数</t>
  </si>
  <si>
    <t>批准上市面积(㎡)</t>
  </si>
  <si>
    <t>批准上市套数</t>
  </si>
  <si>
    <t>成交金额(万元)</t>
  </si>
  <si>
    <t>成交价格</t>
  </si>
  <si>
    <t>成交面积(㎡)</t>
  </si>
  <si>
    <t>成交套数</t>
  </si>
  <si>
    <t>项目名称</t>
  </si>
  <si>
    <t>2024-12</t>
  </si>
  <si>
    <t>2025-01</t>
  </si>
  <si>
    <t>2025-02</t>
  </si>
  <si>
    <t>2025-03</t>
  </si>
  <si>
    <t>2025-04</t>
  </si>
  <si>
    <t>2025-05</t>
  </si>
  <si>
    <t>2025-06</t>
  </si>
  <si>
    <t>2025-07</t>
  </si>
  <si>
    <t>2025-08</t>
  </si>
  <si>
    <t>2025-09</t>
  </si>
  <si>
    <t>2025-10</t>
  </si>
  <si>
    <t>2025-11</t>
  </si>
  <si>
    <t>2025-12</t>
  </si>
  <si>
    <t>全量汇总</t>
  </si>
  <si>
    <t>认购价格(元/㎡)</t>
  </si>
  <si>
    <t>认购套数(套)</t>
  </si>
  <si>
    <t>可售套数(套)</t>
  </si>
  <si>
    <t>批准上市套数(套)</t>
  </si>
  <si>
    <t>成交价格(元/㎡)</t>
  </si>
  <si>
    <t>成交套数(套)</t>
  </si>
  <si>
    <t>时间</t>
  </si>
  <si>
    <t>精装修</t>
  </si>
  <si>
    <t>普通装修</t>
  </si>
  <si>
    <t>简单装修</t>
  </si>
  <si>
    <t>毛坯</t>
  </si>
  <si>
    <t>售价</t>
  </si>
  <si>
    <t>押一</t>
  </si>
  <si>
    <t>钢混</t>
  </si>
  <si>
    <t>不动产收益法</t>
  </si>
  <si>
    <t>比较法-住宅、综合</t>
  </si>
  <si>
    <t>剩余法-待开发</t>
  </si>
  <si>
    <t>土地（套用方法）</t>
  </si>
  <si>
    <t>住宅</t>
    <phoneticPr fontId="21" type="noConversion"/>
  </si>
  <si>
    <r>
      <t>70</t>
    </r>
    <r>
      <rPr>
        <sz val="11"/>
        <color indexed="8"/>
        <rFont val="宋体"/>
        <family val="3"/>
        <charset val="134"/>
      </rPr>
      <t>年</t>
    </r>
    <phoneticPr fontId="21" type="noConversion"/>
  </si>
  <si>
    <t>小高层</t>
    <phoneticPr fontId="3" type="noConversion"/>
  </si>
  <si>
    <t>高档</t>
    <phoneticPr fontId="3" type="noConversion"/>
  </si>
  <si>
    <t>精装修</t>
    <phoneticPr fontId="3" type="noConversion"/>
  </si>
  <si>
    <t>专业</t>
    <phoneticPr fontId="3" type="noConversion"/>
  </si>
  <si>
    <t>平层</t>
    <phoneticPr fontId="3" type="noConversion"/>
  </si>
  <si>
    <t>高层</t>
  </si>
  <si>
    <t>高档</t>
  </si>
  <si>
    <t>专业</t>
  </si>
  <si>
    <t>平层</t>
  </si>
  <si>
    <t>装修</t>
  </si>
  <si>
    <t>毛坯, 毛坯, 毛坯, 毛坯</t>
  </si>
  <si>
    <t>新津郊区</t>
  </si>
  <si>
    <t>花样年君山</t>
  </si>
  <si>
    <t>沁风御庭</t>
  </si>
  <si>
    <t>花桥雅苑</t>
  </si>
  <si>
    <t>汇祥华楠半岛</t>
  </si>
  <si>
    <t>毛坯, 毛坯</t>
  </si>
  <si>
    <t>领地天府籣台</t>
  </si>
  <si>
    <t>香榭湾</t>
  </si>
  <si>
    <t>城投中南智在云辰</t>
  </si>
  <si>
    <t>融信澜天</t>
  </si>
  <si>
    <t>新津农博小镇</t>
  </si>
  <si>
    <t>文旅蓝城竹里春风花园</t>
  </si>
  <si>
    <t>保利荔园天府和悦花园</t>
  </si>
  <si>
    <t>装修, 毛坯</t>
  </si>
  <si>
    <t>装修状况</t>
  </si>
  <si>
    <t>区县：新津区；分析周期：2024年12月 至 2025年12月；物业类型：普通住宅,花园洋房</t>
  </si>
  <si>
    <t>旭辉天府未来城</t>
    <phoneticPr fontId="21" type="noConversion"/>
  </si>
  <si>
    <t>天府映屿</t>
    <phoneticPr fontId="21" type="noConversion"/>
  </si>
  <si>
    <t>天府龙智壹号小区</t>
    <phoneticPr fontId="21" type="noConversion"/>
  </si>
  <si>
    <t>较规则</t>
    <phoneticPr fontId="3" type="noConversion"/>
  </si>
  <si>
    <t>较适宜</t>
    <phoneticPr fontId="3" type="noConversion"/>
  </si>
  <si>
    <t>较好</t>
    <phoneticPr fontId="3" type="noConversion"/>
  </si>
  <si>
    <t>较规则</t>
  </si>
  <si>
    <t>较适宜</t>
  </si>
  <si>
    <t>一层</t>
    <phoneticPr fontId="3" type="noConversion"/>
  </si>
  <si>
    <t>租金</t>
    <phoneticPr fontId="3" type="noConversion"/>
  </si>
  <si>
    <t>二层</t>
    <phoneticPr fontId="3" type="noConversion"/>
  </si>
  <si>
    <t>80-120</t>
    <phoneticPr fontId="3" type="noConversion"/>
  </si>
  <si>
    <t>40-80</t>
    <phoneticPr fontId="3" type="noConversion"/>
  </si>
  <si>
    <t>售价</t>
    <phoneticPr fontId="3" type="noConversion"/>
  </si>
  <si>
    <r>
      <t>2-2.5</t>
    </r>
    <r>
      <rPr>
        <sz val="10"/>
        <color indexed="8"/>
        <rFont val="宋体"/>
        <family val="3"/>
        <charset val="134"/>
      </rPr>
      <t>万</t>
    </r>
    <phoneticPr fontId="3" type="noConversion"/>
  </si>
  <si>
    <r>
      <t>1</t>
    </r>
    <r>
      <rPr>
        <sz val="10"/>
        <color indexed="8"/>
        <rFont val="宋体"/>
        <family val="3"/>
        <charset val="134"/>
      </rPr>
      <t>万出头</t>
    </r>
    <phoneticPr fontId="3" type="noConversion"/>
  </si>
  <si>
    <t>平均</t>
    <phoneticPr fontId="3" type="noConversion"/>
  </si>
  <si>
    <t>修正</t>
    <phoneticPr fontId="3" type="noConversion"/>
  </si>
  <si>
    <t>地上</t>
    <phoneticPr fontId="3" type="noConversion"/>
  </si>
  <si>
    <t>地下</t>
    <phoneticPr fontId="3" type="noConversion"/>
  </si>
  <si>
    <t>面积</t>
    <phoneticPr fontId="3" type="noConversion"/>
  </si>
  <si>
    <t>建安</t>
    <phoneticPr fontId="3" type="noConversion"/>
  </si>
  <si>
    <t>监测样点数量</t>
  </si>
  <si>
    <t>监测地价（元/平方米）</t>
  </si>
  <si>
    <t>监测地价指数</t>
  </si>
  <si>
    <t>商业用地</t>
  </si>
  <si>
    <t>居住用地</t>
  </si>
  <si>
    <t>综合地价</t>
  </si>
  <si>
    <t>商业地价</t>
  </si>
  <si>
    <t>居住地价</t>
  </si>
  <si>
    <t>工业地价</t>
  </si>
  <si>
    <t>成都</t>
  </si>
  <si>
    <t>宜宾</t>
  </si>
  <si>
    <t>南充</t>
  </si>
  <si>
    <t>泸州</t>
  </si>
  <si>
    <t>2022年第一季度城市地价动态监测数据</t>
  </si>
  <si>
    <t>2022年第三季度城市地价动态监测数据</t>
    <phoneticPr fontId="224" type="noConversion"/>
  </si>
  <si>
    <t>2022年第四季度城市地价动态监测数据</t>
  </si>
  <si>
    <t>2023年第一季度城市地价动态监测数据</t>
    <phoneticPr fontId="224" type="noConversion"/>
  </si>
  <si>
    <t>2023年第二季度城市地价动态监测数据</t>
    <phoneticPr fontId="224" type="noConversion"/>
  </si>
  <si>
    <t>2023年第三季度城市地价动态监测数据</t>
    <phoneticPr fontId="224" type="noConversion"/>
  </si>
  <si>
    <t>2023年第四季度城市地价动态监测数据</t>
    <phoneticPr fontId="224" type="noConversion"/>
  </si>
  <si>
    <t>2024年第四季度城市地价动态监测数据</t>
    <phoneticPr fontId="224" type="noConversion"/>
  </si>
  <si>
    <t>2024年第一季度城市地价动态监测数据</t>
    <phoneticPr fontId="224" type="noConversion"/>
  </si>
  <si>
    <t>2024年第二季度城市地价动态监测数据</t>
  </si>
  <si>
    <t>2024年第三季度城市地价动态监测数据</t>
    <phoneticPr fontId="224" type="noConversion"/>
  </si>
  <si>
    <t>2025年第一季度城市地价动态监测数据</t>
    <phoneticPr fontId="224" type="noConversion"/>
  </si>
  <si>
    <t>2025年第二季度城市地价动态监测数据</t>
    <phoneticPr fontId="224" type="noConversion"/>
  </si>
  <si>
    <t>2025年第三季度城市地价动态监测数据</t>
    <phoneticPr fontId="224" type="noConversion"/>
  </si>
  <si>
    <t>2022年第二季度城市地价动态监测数据</t>
    <phoneticPr fontId="224" type="noConversion"/>
  </si>
  <si>
    <t>居住地价增长率</t>
    <phoneticPr fontId="224" type="noConversion"/>
  </si>
  <si>
    <t>商铺</t>
    <phoneticPr fontId="3" type="noConversion"/>
  </si>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</sst>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1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u/>
      <sz val="11"/>
      <color theme="10"/>
      <name val="宋体"/>
      <family val="3"/>
      <charset val="134"/>
      <scheme val="minor"/>
    </font>
    <font>
      <sz val="12"/>
      <color theme="1"/>
      <name val="宋体"/>
      <family val="2"/>
      <scheme val="minor"/>
    </font>
    <font>
      <sz val="11"/>
      <name val="Arial"/>
      <family val="3"/>
      <charset val="134"/>
    </font>
    <font>
      <sz val="11"/>
      <color theme="9" tint="-0.249977111117893"/>
      <name val="宋体"/>
      <family val="3"/>
      <charset val="134"/>
    </font>
    <font>
      <sz val="11"/>
      <color rgb="FF000000"/>
      <name val="等线"/>
      <family val="3"/>
      <charset val="134"/>
    </font>
    <font>
      <sz val="11"/>
      <color rgb="FF000000"/>
      <name val="黑体"/>
      <family val="3"/>
      <charset val="134"/>
    </font>
    <font>
      <b/>
      <sz val="12"/>
      <color rgb="FF000000"/>
      <name val="Noto Sans SC"/>
      <family val="2"/>
      <charset val="134"/>
    </font>
    <font>
      <b/>
      <sz val="12"/>
      <color rgb="FF000000"/>
      <name val="宋体"/>
      <family val="3"/>
      <charset val="134"/>
      <scheme val="minor"/>
    </font>
    <font>
      <sz val="11"/>
      <color theme="1"/>
      <name val="黑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9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applyNumberFormat="0" applyFill="0" applyBorder="0" applyAlignment="0" applyProtection="0">
      <alignment vertical="center"/>
    </xf>
    <xf numFmtId="0" fontId="302" fillId="0" borderId="0"/>
  </cellStyleXfs>
  <cellXfs count="377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301" fillId="12" borderId="0" xfId="18" applyFill="1" applyAlignment="1">
      <alignment horizontal="left" vertical="center"/>
    </xf>
    <xf numFmtId="0" fontId="160" fillId="0" borderId="0" xfId="19" applyFont="1" applyAlignment="1">
      <alignment horizontal="left" vertical="center"/>
    </xf>
    <xf numFmtId="0" fontId="166" fillId="0" borderId="0" xfId="19" applyFont="1" applyAlignment="1">
      <alignment horizontal="left" vertical="center"/>
    </xf>
    <xf numFmtId="0" fontId="140" fillId="0" borderId="6" xfId="0" applyFont="1" applyBorder="1" applyAlignment="1" applyProtection="1">
      <alignment horizontal="center" vertical="center" wrapText="1"/>
      <protection locked="0"/>
    </xf>
    <xf numFmtId="0" fontId="303" fillId="0" borderId="6" xfId="0" applyFont="1" applyBorder="1" applyAlignment="1" applyProtection="1">
      <alignment horizontal="center" vertical="center" wrapText="1"/>
      <protection locked="0"/>
    </xf>
    <xf numFmtId="0" fontId="141" fillId="0" borderId="0" xfId="1">
      <alignment vertical="center"/>
    </xf>
    <xf numFmtId="0" fontId="67" fillId="5" borderId="42"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60" fillId="6" borderId="0" xfId="19" applyFont="1" applyFill="1" applyAlignment="1">
      <alignment horizontal="left" vertical="center"/>
    </xf>
    <xf numFmtId="0" fontId="78" fillId="12" borderId="0" xfId="0" applyFont="1" applyFill="1" applyProtection="1">
      <alignment vertical="center"/>
      <protection locked="0"/>
    </xf>
    <xf numFmtId="177" fontId="72" fillId="12" borderId="0" xfId="0" applyNumberFormat="1" applyFont="1" applyFill="1" applyProtection="1">
      <alignment vertical="center"/>
      <protection locked="0"/>
    </xf>
    <xf numFmtId="0" fontId="72" fillId="12" borderId="0" xfId="0" applyFont="1" applyFill="1" applyAlignment="1" applyProtection="1">
      <alignment horizontal="left" vertical="center"/>
      <protection locked="0"/>
    </xf>
    <xf numFmtId="0" fontId="78" fillId="12" borderId="0" xfId="0" applyFont="1" applyFill="1" applyAlignment="1" applyProtection="1">
      <alignment horizontal="left" vertical="center"/>
      <protection locked="0"/>
    </xf>
    <xf numFmtId="177" fontId="72" fillId="12" borderId="0" xfId="0" applyNumberFormat="1" applyFont="1" applyFill="1" applyAlignment="1" applyProtection="1">
      <alignment horizontal="left" vertical="center"/>
      <protection locked="0"/>
    </xf>
    <xf numFmtId="0" fontId="305" fillId="12" borderId="173" xfId="0" applyFont="1" applyFill="1" applyBorder="1" applyAlignment="1">
      <alignment horizontal="center" vertical="center"/>
    </xf>
    <xf numFmtId="0" fontId="306" fillId="12" borderId="173" xfId="0" applyFont="1" applyFill="1" applyBorder="1" applyAlignment="1">
      <alignment horizontal="center" vertical="center"/>
    </xf>
    <xf numFmtId="0" fontId="306" fillId="12" borderId="173" xfId="0" applyFont="1" applyFill="1" applyBorder="1" applyAlignment="1">
      <alignment horizontal="center" vertical="center" wrapText="1"/>
    </xf>
    <xf numFmtId="0" fontId="307" fillId="0" borderId="0" xfId="0" applyFont="1">
      <alignment vertical="center"/>
    </xf>
    <xf numFmtId="0" fontId="305" fillId="12" borderId="185" xfId="0" applyFont="1" applyFill="1" applyBorder="1" applyAlignment="1">
      <alignment horizontal="center" vertical="center"/>
    </xf>
    <xf numFmtId="0" fontId="305" fillId="12" borderId="186" xfId="0" applyFont="1" applyFill="1" applyBorder="1" applyAlignment="1">
      <alignment horizontal="center" vertical="center"/>
    </xf>
    <xf numFmtId="0" fontId="306" fillId="12" borderId="185" xfId="0" applyFont="1" applyFill="1" applyBorder="1" applyAlignment="1">
      <alignment horizontal="center" vertical="center"/>
    </xf>
    <xf numFmtId="0" fontId="305" fillId="12" borderId="187" xfId="0" applyFont="1" applyFill="1" applyBorder="1" applyAlignment="1">
      <alignment horizontal="center" vertical="center"/>
    </xf>
    <xf numFmtId="0" fontId="306" fillId="12" borderId="188" xfId="0" applyFont="1" applyFill="1" applyBorder="1" applyAlignment="1">
      <alignment horizontal="center" vertical="center"/>
    </xf>
    <xf numFmtId="0" fontId="306" fillId="12" borderId="188" xfId="0" applyFont="1" applyFill="1" applyBorder="1" applyAlignment="1">
      <alignment horizontal="center" vertical="center" wrapText="1"/>
    </xf>
    <xf numFmtId="0" fontId="306" fillId="12" borderId="189" xfId="0" applyFont="1" applyFill="1" applyBorder="1" applyAlignment="1">
      <alignment horizontal="center" vertical="center"/>
    </xf>
    <xf numFmtId="0" fontId="308" fillId="0" borderId="0" xfId="0" applyFont="1">
      <alignment vertical="center"/>
    </xf>
    <xf numFmtId="0" fontId="0" fillId="0" borderId="2" xfId="0" applyBorder="1" applyAlignment="1">
      <alignment horizontal="center" vertical="center"/>
    </xf>
    <xf numFmtId="0" fontId="0" fillId="0" borderId="2" xfId="0" applyBorder="1">
      <alignment vertical="center"/>
    </xf>
    <xf numFmtId="0" fontId="309" fillId="0" borderId="2" xfId="0" applyFont="1" applyBorder="1" applyAlignment="1">
      <alignment horizontal="center" vertical="center"/>
    </xf>
    <xf numFmtId="0" fontId="309" fillId="0" borderId="2" xfId="0" applyFont="1" applyBorder="1" applyAlignment="1">
      <alignment horizontal="center" vertical="center" wrapText="1"/>
    </xf>
    <xf numFmtId="0" fontId="163" fillId="0" borderId="2" xfId="0" applyFont="1" applyBorder="1" applyAlignment="1">
      <alignment horizontal="center" vertical="center"/>
    </xf>
    <xf numFmtId="0" fontId="160" fillId="0" borderId="2" xfId="0" applyFont="1" applyBorder="1" applyAlignment="1">
      <alignment horizontal="center" vertical="center"/>
    </xf>
    <xf numFmtId="178" fontId="163" fillId="0" borderId="2" xfId="0" applyNumberFormat="1" applyFont="1" applyBorder="1" applyAlignment="1">
      <alignment horizontal="center" vertical="center"/>
    </xf>
    <xf numFmtId="0" fontId="140" fillId="0" borderId="2" xfId="0" applyFont="1" applyBorder="1" applyAlignment="1">
      <alignment horizontal="center" vertical="center" wrapText="1"/>
    </xf>
    <xf numFmtId="180" fontId="160" fillId="0" borderId="2" xfId="0" applyNumberFormat="1" applyFont="1" applyBorder="1" applyAlignment="1">
      <alignment horizontal="center"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160" fillId="0" borderId="0" xfId="19" applyFont="1" applyAlignment="1">
      <alignment horizontal="left" vertical="center"/>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66" fillId="0" borderId="0" xfId="19" applyFont="1" applyAlignment="1">
      <alignment horizontal="left"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0" fillId="0" borderId="2" xfId="0" applyBorder="1" applyAlignment="1">
      <alignment horizontal="center" vertical="center"/>
    </xf>
    <xf numFmtId="0" fontId="305" fillId="12" borderId="174" xfId="0" applyFont="1" applyFill="1" applyBorder="1" applyAlignment="1">
      <alignment horizontal="center" vertical="center"/>
    </xf>
    <xf numFmtId="0" fontId="305" fillId="12" borderId="175" xfId="0" applyFont="1" applyFill="1" applyBorder="1" applyAlignment="1">
      <alignment horizontal="center" vertical="center"/>
    </xf>
    <xf numFmtId="0" fontId="305" fillId="12" borderId="176" xfId="0" applyFont="1" applyFill="1" applyBorder="1" applyAlignment="1">
      <alignment horizontal="center" vertical="center"/>
    </xf>
    <xf numFmtId="0" fontId="305" fillId="12" borderId="177" xfId="0" applyFont="1" applyFill="1" applyBorder="1" applyAlignment="1">
      <alignment horizontal="center" vertical="center"/>
    </xf>
    <xf numFmtId="0" fontId="305" fillId="12" borderId="178" xfId="0" applyFont="1" applyFill="1" applyBorder="1" applyAlignment="1">
      <alignment horizontal="center" vertical="center"/>
    </xf>
    <xf numFmtId="0" fontId="305" fillId="12" borderId="179" xfId="0" applyFont="1" applyFill="1" applyBorder="1" applyAlignment="1">
      <alignment horizontal="center" vertical="center"/>
    </xf>
    <xf numFmtId="0" fontId="305" fillId="12" borderId="184" xfId="0" applyFont="1" applyFill="1" applyBorder="1" applyAlignment="1">
      <alignment horizontal="center" vertical="center"/>
    </xf>
    <xf numFmtId="0" fontId="305" fillId="12" borderId="180" xfId="0" applyFont="1" applyFill="1" applyBorder="1" applyAlignment="1">
      <alignment horizontal="center" vertical="center"/>
    </xf>
    <xf numFmtId="0" fontId="305" fillId="12" borderId="181" xfId="0" applyFont="1" applyFill="1" applyBorder="1" applyAlignment="1">
      <alignment horizontal="center" vertical="center"/>
    </xf>
    <xf numFmtId="0" fontId="305" fillId="12" borderId="182" xfId="0" applyFont="1" applyFill="1" applyBorder="1" applyAlignment="1">
      <alignment horizontal="center" vertical="center"/>
    </xf>
    <xf numFmtId="0" fontId="305" fillId="12" borderId="183"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304" fillId="0" borderId="9" xfId="0" applyFont="1" applyBorder="1" applyAlignment="1" applyProtection="1">
      <alignment horizontal="center" vertical="center" wrapText="1"/>
      <protection locked="0"/>
    </xf>
    <xf numFmtId="0" fontId="304"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0">
    <cellStyle name="百分比" xfId="16" builtinId="5"/>
    <cellStyle name="百分比 2" xfId="11" xr:uid="{00000000-0005-0000-0000-000001000000}"/>
    <cellStyle name="常规" xfId="0" builtinId="0"/>
    <cellStyle name="常规 10" xfId="19" xr:uid="{3FF898D2-5394-459E-9741-58843E6F2257}"/>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超链接" xfId="18" builtinId="8"/>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23917</xdr:rowOff>
    </xdr:from>
    <xdr:to>
      <xdr:col>8</xdr:col>
      <xdr:colOff>1046036</xdr:colOff>
      <xdr:row>43</xdr:row>
      <xdr:rowOff>27695</xdr:rowOff>
    </xdr:to>
    <xdr:pic>
      <xdr:nvPicPr>
        <xdr:cNvPr id="2" name="图片 1">
          <a:extLst>
            <a:ext uri="{FF2B5EF4-FFF2-40B4-BE49-F238E27FC236}">
              <a16:creationId xmlns:a16="http://schemas.microsoft.com/office/drawing/2014/main" id="{CD915363-68EC-E3A0-8BE7-377E6F77596F}"/>
            </a:ext>
          </a:extLst>
        </xdr:cNvPr>
        <xdr:cNvPicPr>
          <a:picLocks noChangeAspect="1"/>
        </xdr:cNvPicPr>
      </xdr:nvPicPr>
      <xdr:blipFill rotWithShape="1">
        <a:blip xmlns:r="http://schemas.openxmlformats.org/officeDocument/2006/relationships" r:embed="rId1"/>
        <a:srcRect t="8120"/>
        <a:stretch>
          <a:fillRect/>
        </a:stretch>
      </xdr:blipFill>
      <xdr:spPr>
        <a:xfrm>
          <a:off x="0" y="2005117"/>
          <a:ext cx="9704261" cy="4575778"/>
        </a:xfrm>
        <a:prstGeom prst="rect">
          <a:avLst/>
        </a:prstGeom>
      </xdr:spPr>
    </xdr:pic>
    <xdr:clientData/>
  </xdr:twoCellAnchor>
  <xdr:twoCellAnchor editAs="oneCell">
    <xdr:from>
      <xdr:col>0</xdr:col>
      <xdr:colOff>0</xdr:colOff>
      <xdr:row>44</xdr:row>
      <xdr:rowOff>50957</xdr:rowOff>
    </xdr:from>
    <xdr:to>
      <xdr:col>10</xdr:col>
      <xdr:colOff>495300</xdr:colOff>
      <xdr:row>76</xdr:row>
      <xdr:rowOff>27939</xdr:rowOff>
    </xdr:to>
    <xdr:pic>
      <xdr:nvPicPr>
        <xdr:cNvPr id="3" name="图片 2">
          <a:extLst>
            <a:ext uri="{FF2B5EF4-FFF2-40B4-BE49-F238E27FC236}">
              <a16:creationId xmlns:a16="http://schemas.microsoft.com/office/drawing/2014/main" id="{4BF2CD81-D688-9827-05C6-D6FC0F92704A}"/>
            </a:ext>
          </a:extLst>
        </xdr:cNvPr>
        <xdr:cNvPicPr>
          <a:picLocks noChangeAspect="1"/>
        </xdr:cNvPicPr>
      </xdr:nvPicPr>
      <xdr:blipFill>
        <a:blip xmlns:r="http://schemas.openxmlformats.org/officeDocument/2006/relationships" r:embed="rId2"/>
        <a:stretch>
          <a:fillRect/>
        </a:stretch>
      </xdr:blipFill>
      <xdr:spPr>
        <a:xfrm>
          <a:off x="0" y="6756557"/>
          <a:ext cx="10734675" cy="4853782"/>
        </a:xfrm>
        <a:prstGeom prst="rect">
          <a:avLst/>
        </a:prstGeom>
      </xdr:spPr>
    </xdr:pic>
    <xdr:clientData/>
  </xdr:twoCellAnchor>
  <xdr:twoCellAnchor editAs="oneCell">
    <xdr:from>
      <xdr:col>0</xdr:col>
      <xdr:colOff>0</xdr:colOff>
      <xdr:row>76</xdr:row>
      <xdr:rowOff>58733</xdr:rowOff>
    </xdr:from>
    <xdr:to>
      <xdr:col>10</xdr:col>
      <xdr:colOff>504825</xdr:colOff>
      <xdr:row>108</xdr:row>
      <xdr:rowOff>94607</xdr:rowOff>
    </xdr:to>
    <xdr:pic>
      <xdr:nvPicPr>
        <xdr:cNvPr id="4" name="图片 3">
          <a:extLst>
            <a:ext uri="{FF2B5EF4-FFF2-40B4-BE49-F238E27FC236}">
              <a16:creationId xmlns:a16="http://schemas.microsoft.com/office/drawing/2014/main" id="{1EF84B96-7085-E171-0D68-7CC3949DF687}"/>
            </a:ext>
          </a:extLst>
        </xdr:cNvPr>
        <xdr:cNvPicPr>
          <a:picLocks noChangeAspect="1"/>
        </xdr:cNvPicPr>
      </xdr:nvPicPr>
      <xdr:blipFill>
        <a:blip xmlns:r="http://schemas.openxmlformats.org/officeDocument/2006/relationships" r:embed="rId3"/>
        <a:stretch>
          <a:fillRect/>
        </a:stretch>
      </xdr:blipFill>
      <xdr:spPr>
        <a:xfrm>
          <a:off x="0" y="11641133"/>
          <a:ext cx="10744200" cy="4912674"/>
        </a:xfrm>
        <a:prstGeom prst="rect">
          <a:avLst/>
        </a:prstGeom>
      </xdr:spPr>
    </xdr:pic>
    <xdr:clientData/>
  </xdr:twoCellAnchor>
  <xdr:twoCellAnchor editAs="oneCell">
    <xdr:from>
      <xdr:col>5</xdr:col>
      <xdr:colOff>657225</xdr:colOff>
      <xdr:row>24</xdr:row>
      <xdr:rowOff>0</xdr:rowOff>
    </xdr:from>
    <xdr:to>
      <xdr:col>6</xdr:col>
      <xdr:colOff>695326</xdr:colOff>
      <xdr:row>30</xdr:row>
      <xdr:rowOff>123825</xdr:rowOff>
    </xdr:to>
    <xdr:pic>
      <xdr:nvPicPr>
        <xdr:cNvPr id="5" name="图片 4">
          <a:extLst>
            <a:ext uri="{FF2B5EF4-FFF2-40B4-BE49-F238E27FC236}">
              <a16:creationId xmlns:a16="http://schemas.microsoft.com/office/drawing/2014/main" id="{63972073-6E01-F1A5-2D1C-DF3E2D94CBB4}"/>
            </a:ext>
          </a:extLst>
        </xdr:cNvPr>
        <xdr:cNvPicPr>
          <a:picLocks noChangeAspect="1"/>
        </xdr:cNvPicPr>
      </xdr:nvPicPr>
      <xdr:blipFill rotWithShape="1">
        <a:blip xmlns:r="http://schemas.openxmlformats.org/officeDocument/2006/relationships" r:embed="rId4"/>
        <a:srcRect l="28511" t="22067" r="12128" b="11025"/>
        <a:stretch>
          <a:fillRect/>
        </a:stretch>
      </xdr:blipFill>
      <xdr:spPr>
        <a:xfrm>
          <a:off x="6867525" y="3657600"/>
          <a:ext cx="1209676" cy="1038225"/>
        </a:xfrm>
        <a:prstGeom prst="rect">
          <a:avLst/>
        </a:prstGeom>
      </xdr:spPr>
    </xdr:pic>
    <xdr:clientData/>
  </xdr:twoCellAnchor>
  <xdr:twoCellAnchor editAs="oneCell">
    <xdr:from>
      <xdr:col>0</xdr:col>
      <xdr:colOff>2057401</xdr:colOff>
      <xdr:row>33</xdr:row>
      <xdr:rowOff>81068</xdr:rowOff>
    </xdr:from>
    <xdr:to>
      <xdr:col>1</xdr:col>
      <xdr:colOff>390525</xdr:colOff>
      <xdr:row>40</xdr:row>
      <xdr:rowOff>76200</xdr:rowOff>
    </xdr:to>
    <xdr:pic>
      <xdr:nvPicPr>
        <xdr:cNvPr id="6" name="图片 5">
          <a:extLst>
            <a:ext uri="{FF2B5EF4-FFF2-40B4-BE49-F238E27FC236}">
              <a16:creationId xmlns:a16="http://schemas.microsoft.com/office/drawing/2014/main" id="{642CB27F-DB03-9EB7-0B6D-B1F6F72B514D}"/>
            </a:ext>
          </a:extLst>
        </xdr:cNvPr>
        <xdr:cNvPicPr>
          <a:picLocks noChangeAspect="1"/>
        </xdr:cNvPicPr>
      </xdr:nvPicPr>
      <xdr:blipFill rotWithShape="1">
        <a:blip xmlns:r="http://schemas.openxmlformats.org/officeDocument/2006/relationships" r:embed="rId5"/>
        <a:srcRect r="48540" b="29208"/>
        <a:stretch>
          <a:fillRect/>
        </a:stretch>
      </xdr:blipFill>
      <xdr:spPr>
        <a:xfrm>
          <a:off x="2057401" y="5110268"/>
          <a:ext cx="981074" cy="1061932"/>
        </a:xfrm>
        <a:prstGeom prst="rect">
          <a:avLst/>
        </a:prstGeom>
      </xdr:spPr>
    </xdr:pic>
    <xdr:clientData/>
  </xdr:twoCellAnchor>
  <xdr:twoCellAnchor editAs="oneCell">
    <xdr:from>
      <xdr:col>1</xdr:col>
      <xdr:colOff>95250</xdr:colOff>
      <xdr:row>20</xdr:row>
      <xdr:rowOff>20742</xdr:rowOff>
    </xdr:from>
    <xdr:to>
      <xdr:col>2</xdr:col>
      <xdr:colOff>790389</xdr:colOff>
      <xdr:row>27</xdr:row>
      <xdr:rowOff>80898</xdr:rowOff>
    </xdr:to>
    <xdr:pic>
      <xdr:nvPicPr>
        <xdr:cNvPr id="7" name="图片 6">
          <a:extLst>
            <a:ext uri="{FF2B5EF4-FFF2-40B4-BE49-F238E27FC236}">
              <a16:creationId xmlns:a16="http://schemas.microsoft.com/office/drawing/2014/main" id="{FBFF1319-7AC3-4C76-CD37-DFF389D52EB0}"/>
            </a:ext>
          </a:extLst>
        </xdr:cNvPr>
        <xdr:cNvPicPr>
          <a:picLocks noChangeAspect="1"/>
        </xdr:cNvPicPr>
      </xdr:nvPicPr>
      <xdr:blipFill>
        <a:blip xmlns:r="http://schemas.openxmlformats.org/officeDocument/2006/relationships" r:embed="rId6"/>
        <a:stretch>
          <a:fillRect/>
        </a:stretch>
      </xdr:blipFill>
      <xdr:spPr>
        <a:xfrm>
          <a:off x="2743200" y="3068742"/>
          <a:ext cx="1238064" cy="1126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142875</xdr:rowOff>
    </xdr:from>
    <xdr:to>
      <xdr:col>11</xdr:col>
      <xdr:colOff>162035</xdr:colOff>
      <xdr:row>55</xdr:row>
      <xdr:rowOff>75461</xdr:rowOff>
    </xdr:to>
    <xdr:pic>
      <xdr:nvPicPr>
        <xdr:cNvPr id="2" name="图片 1">
          <a:extLst>
            <a:ext uri="{FF2B5EF4-FFF2-40B4-BE49-F238E27FC236}">
              <a16:creationId xmlns:a16="http://schemas.microsoft.com/office/drawing/2014/main" id="{7D9D032B-9479-5945-8EE8-4907EBC28366}"/>
            </a:ext>
          </a:extLst>
        </xdr:cNvPr>
        <xdr:cNvPicPr>
          <a:picLocks noChangeAspect="1"/>
        </xdr:cNvPicPr>
      </xdr:nvPicPr>
      <xdr:blipFill>
        <a:blip xmlns:r="http://schemas.openxmlformats.org/officeDocument/2006/relationships" r:embed="rId1"/>
        <a:stretch>
          <a:fillRect/>
        </a:stretch>
      </xdr:blipFill>
      <xdr:spPr>
        <a:xfrm>
          <a:off x="0" y="2886075"/>
          <a:ext cx="9572735" cy="5571386"/>
        </a:xfrm>
        <a:prstGeom prst="rect">
          <a:avLst/>
        </a:prstGeom>
      </xdr:spPr>
    </xdr:pic>
    <xdr:clientData/>
  </xdr:twoCellAnchor>
  <xdr:twoCellAnchor>
    <xdr:from>
      <xdr:col>4</xdr:col>
      <xdr:colOff>38100</xdr:colOff>
      <xdr:row>24</xdr:row>
      <xdr:rowOff>114300</xdr:rowOff>
    </xdr:from>
    <xdr:to>
      <xdr:col>4</xdr:col>
      <xdr:colOff>333375</xdr:colOff>
      <xdr:row>26</xdr:row>
      <xdr:rowOff>76200</xdr:rowOff>
    </xdr:to>
    <xdr:sp macro="" textlink="">
      <xdr:nvSpPr>
        <xdr:cNvPr id="3" name="星形: 五角 2">
          <a:extLst>
            <a:ext uri="{FF2B5EF4-FFF2-40B4-BE49-F238E27FC236}">
              <a16:creationId xmlns:a16="http://schemas.microsoft.com/office/drawing/2014/main" id="{99E88A5C-E665-82FD-367F-CC4E49801D0B}"/>
            </a:ext>
          </a:extLst>
        </xdr:cNvPr>
        <xdr:cNvSpPr/>
      </xdr:nvSpPr>
      <xdr:spPr>
        <a:xfrm>
          <a:off x="3200400" y="3771900"/>
          <a:ext cx="295275" cy="266700"/>
        </a:xfrm>
        <a:prstGeom prst="star5">
          <a:avLst>
            <a:gd name="adj" fmla="val 28789"/>
            <a:gd name="hf" fmla="val 105146"/>
            <a:gd name="vf" fmla="val 110557"/>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53</xdr:row>
      <xdr:rowOff>142875</xdr:rowOff>
    </xdr:from>
    <xdr:to>
      <xdr:col>11</xdr:col>
      <xdr:colOff>197865</xdr:colOff>
      <xdr:row>90</xdr:row>
      <xdr:rowOff>8795</xdr:rowOff>
    </xdr:to>
    <xdr:pic>
      <xdr:nvPicPr>
        <xdr:cNvPr id="4" name="图片 3">
          <a:extLst>
            <a:ext uri="{FF2B5EF4-FFF2-40B4-BE49-F238E27FC236}">
              <a16:creationId xmlns:a16="http://schemas.microsoft.com/office/drawing/2014/main" id="{1E181AA5-CFE0-DA1D-651C-C420C324F926}"/>
            </a:ext>
          </a:extLst>
        </xdr:cNvPr>
        <xdr:cNvPicPr>
          <a:picLocks noChangeAspect="1"/>
        </xdr:cNvPicPr>
      </xdr:nvPicPr>
      <xdr:blipFill>
        <a:blip xmlns:r="http://schemas.openxmlformats.org/officeDocument/2006/relationships" r:embed="rId2"/>
        <a:stretch>
          <a:fillRect/>
        </a:stretch>
      </xdr:blipFill>
      <xdr:spPr>
        <a:xfrm>
          <a:off x="0" y="8220075"/>
          <a:ext cx="9608565" cy="5504720"/>
        </a:xfrm>
        <a:prstGeom prst="rect">
          <a:avLst/>
        </a:prstGeom>
      </xdr:spPr>
    </xdr:pic>
    <xdr:clientData/>
  </xdr:twoCellAnchor>
  <xdr:twoCellAnchor>
    <xdr:from>
      <xdr:col>7</xdr:col>
      <xdr:colOff>161925</xdr:colOff>
      <xdr:row>43</xdr:row>
      <xdr:rowOff>66675</xdr:rowOff>
    </xdr:from>
    <xdr:to>
      <xdr:col>7</xdr:col>
      <xdr:colOff>361950</xdr:colOff>
      <xdr:row>44</xdr:row>
      <xdr:rowOff>95250</xdr:rowOff>
    </xdr:to>
    <xdr:sp macro="" textlink="">
      <xdr:nvSpPr>
        <xdr:cNvPr id="6" name="笑脸 5">
          <a:extLst>
            <a:ext uri="{FF2B5EF4-FFF2-40B4-BE49-F238E27FC236}">
              <a16:creationId xmlns:a16="http://schemas.microsoft.com/office/drawing/2014/main" id="{658E97AA-BB1A-5E9C-FE47-4DC02BCCEAC3}"/>
            </a:ext>
          </a:extLst>
        </xdr:cNvPr>
        <xdr:cNvSpPr/>
      </xdr:nvSpPr>
      <xdr:spPr>
        <a:xfrm>
          <a:off x="6372225" y="66198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704850</xdr:colOff>
      <xdr:row>45</xdr:row>
      <xdr:rowOff>133350</xdr:rowOff>
    </xdr:from>
    <xdr:to>
      <xdr:col>8</xdr:col>
      <xdr:colOff>104775</xdr:colOff>
      <xdr:row>47</xdr:row>
      <xdr:rowOff>9525</xdr:rowOff>
    </xdr:to>
    <xdr:sp macro="" textlink="">
      <xdr:nvSpPr>
        <xdr:cNvPr id="7" name="笑脸 6">
          <a:extLst>
            <a:ext uri="{FF2B5EF4-FFF2-40B4-BE49-F238E27FC236}">
              <a16:creationId xmlns:a16="http://schemas.microsoft.com/office/drawing/2014/main" id="{DC1B41F8-0FC9-47D1-9A8A-5BCD085A52BE}"/>
            </a:ext>
          </a:extLst>
        </xdr:cNvPr>
        <xdr:cNvSpPr/>
      </xdr:nvSpPr>
      <xdr:spPr>
        <a:xfrm>
          <a:off x="6915150" y="6991350"/>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47625</xdr:colOff>
      <xdr:row>45</xdr:row>
      <xdr:rowOff>0</xdr:rowOff>
    </xdr:from>
    <xdr:to>
      <xdr:col>8</xdr:col>
      <xdr:colOff>247650</xdr:colOff>
      <xdr:row>46</xdr:row>
      <xdr:rowOff>28575</xdr:rowOff>
    </xdr:to>
    <xdr:sp macro="" textlink="">
      <xdr:nvSpPr>
        <xdr:cNvPr id="8" name="笑脸 7">
          <a:extLst>
            <a:ext uri="{FF2B5EF4-FFF2-40B4-BE49-F238E27FC236}">
              <a16:creationId xmlns:a16="http://schemas.microsoft.com/office/drawing/2014/main" id="{BA45114D-3904-47EF-BE0B-CC985373FDBC}"/>
            </a:ext>
          </a:extLst>
        </xdr:cNvPr>
        <xdr:cNvSpPr/>
      </xdr:nvSpPr>
      <xdr:spPr>
        <a:xfrm>
          <a:off x="7058025" y="6858000"/>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523875</xdr:colOff>
      <xdr:row>72</xdr:row>
      <xdr:rowOff>66675</xdr:rowOff>
    </xdr:from>
    <xdr:to>
      <xdr:col>2</xdr:col>
      <xdr:colOff>723900</xdr:colOff>
      <xdr:row>73</xdr:row>
      <xdr:rowOff>95250</xdr:rowOff>
    </xdr:to>
    <xdr:sp macro="" textlink="">
      <xdr:nvSpPr>
        <xdr:cNvPr id="9" name="笑脸 8">
          <a:extLst>
            <a:ext uri="{FF2B5EF4-FFF2-40B4-BE49-F238E27FC236}">
              <a16:creationId xmlns:a16="http://schemas.microsoft.com/office/drawing/2014/main" id="{3B21EED5-3BDF-4E46-A66C-FC670B9BA367}"/>
            </a:ext>
          </a:extLst>
        </xdr:cNvPr>
        <xdr:cNvSpPr/>
      </xdr:nvSpPr>
      <xdr:spPr>
        <a:xfrm>
          <a:off x="1895475" y="110394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133350</xdr:colOff>
      <xdr:row>81</xdr:row>
      <xdr:rowOff>66675</xdr:rowOff>
    </xdr:from>
    <xdr:to>
      <xdr:col>5</xdr:col>
      <xdr:colOff>333375</xdr:colOff>
      <xdr:row>82</xdr:row>
      <xdr:rowOff>95250</xdr:rowOff>
    </xdr:to>
    <xdr:sp macro="" textlink="">
      <xdr:nvSpPr>
        <xdr:cNvPr id="10" name="笑脸 9">
          <a:extLst>
            <a:ext uri="{FF2B5EF4-FFF2-40B4-BE49-F238E27FC236}">
              <a16:creationId xmlns:a16="http://schemas.microsoft.com/office/drawing/2014/main" id="{9C8D7F38-C104-4251-BABC-74257D70CBE6}"/>
            </a:ext>
          </a:extLst>
        </xdr:cNvPr>
        <xdr:cNvSpPr/>
      </xdr:nvSpPr>
      <xdr:spPr>
        <a:xfrm>
          <a:off x="4229100" y="124110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523875</xdr:colOff>
      <xdr:row>79</xdr:row>
      <xdr:rowOff>66675</xdr:rowOff>
    </xdr:from>
    <xdr:to>
      <xdr:col>5</xdr:col>
      <xdr:colOff>723900</xdr:colOff>
      <xdr:row>80</xdr:row>
      <xdr:rowOff>95250</xdr:rowOff>
    </xdr:to>
    <xdr:sp macro="" textlink="">
      <xdr:nvSpPr>
        <xdr:cNvPr id="11" name="笑脸 10">
          <a:extLst>
            <a:ext uri="{FF2B5EF4-FFF2-40B4-BE49-F238E27FC236}">
              <a16:creationId xmlns:a16="http://schemas.microsoft.com/office/drawing/2014/main" id="{EC141E99-A692-4B10-BB4C-82BB5751DDFD}"/>
            </a:ext>
          </a:extLst>
        </xdr:cNvPr>
        <xdr:cNvSpPr/>
      </xdr:nvSpPr>
      <xdr:spPr>
        <a:xfrm>
          <a:off x="4619625" y="121062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2" name="图片 1">
          <a:extLst>
            <a:ext uri="{FF2B5EF4-FFF2-40B4-BE49-F238E27FC236}">
              <a16:creationId xmlns:a16="http://schemas.microsoft.com/office/drawing/2014/main" id="{02D32AB2-A4FD-4686-BD0C-73CB8CD6AD09}"/>
            </a:ext>
          </a:extLst>
        </xdr:cNvPr>
        <xdr:cNvPicPr>
          <a:picLocks noChangeAspect="1"/>
        </xdr:cNvPicPr>
      </xdr:nvPicPr>
      <xdr:blipFill>
        <a:blip xmlns:r="http://schemas.openxmlformats.org/officeDocument/2006/relationships" r:embed="rId1"/>
        <a:stretch>
          <a:fillRect/>
        </a:stretch>
      </xdr:blipFill>
      <xdr:spPr>
        <a:xfrm>
          <a:off x="0" y="0"/>
          <a:ext cx="10942511" cy="683147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3" name="图片 2">
          <a:extLst>
            <a:ext uri="{FF2B5EF4-FFF2-40B4-BE49-F238E27FC236}">
              <a16:creationId xmlns:a16="http://schemas.microsoft.com/office/drawing/2014/main" id="{6B348238-6927-4218-AA2B-3C6A0AD9D7FF}"/>
            </a:ext>
          </a:extLst>
        </xdr:cNvPr>
        <xdr:cNvPicPr>
          <a:picLocks noChangeAspect="1"/>
        </xdr:cNvPicPr>
      </xdr:nvPicPr>
      <xdr:blipFill>
        <a:blip xmlns:r="http://schemas.openxmlformats.org/officeDocument/2006/relationships" r:embed="rId2"/>
        <a:stretch>
          <a:fillRect/>
        </a:stretch>
      </xdr:blipFill>
      <xdr:spPr>
        <a:xfrm>
          <a:off x="0" y="7238999"/>
          <a:ext cx="10438711" cy="5919500"/>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4" name="图片 3">
          <a:extLst>
            <a:ext uri="{FF2B5EF4-FFF2-40B4-BE49-F238E27FC236}">
              <a16:creationId xmlns:a16="http://schemas.microsoft.com/office/drawing/2014/main" id="{DC4B9845-3009-4C36-8D6E-13B587EE254C}"/>
            </a:ext>
          </a:extLst>
        </xdr:cNvPr>
        <xdr:cNvPicPr>
          <a:picLocks noChangeAspect="1"/>
        </xdr:cNvPicPr>
      </xdr:nvPicPr>
      <xdr:blipFill>
        <a:blip xmlns:r="http://schemas.openxmlformats.org/officeDocument/2006/relationships" r:embed="rId3"/>
        <a:stretch>
          <a:fillRect/>
        </a:stretch>
      </xdr:blipFill>
      <xdr:spPr>
        <a:xfrm>
          <a:off x="11408229" y="6466113"/>
          <a:ext cx="5932279" cy="4917622"/>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5" name="图片 4">
          <a:extLst>
            <a:ext uri="{FF2B5EF4-FFF2-40B4-BE49-F238E27FC236}">
              <a16:creationId xmlns:a16="http://schemas.microsoft.com/office/drawing/2014/main" id="{F4AEE5BA-FC41-4A59-B56B-27015A1EB9C0}"/>
            </a:ext>
          </a:extLst>
        </xdr:cNvPr>
        <xdr:cNvPicPr>
          <a:picLocks noChangeAspect="1"/>
        </xdr:cNvPicPr>
      </xdr:nvPicPr>
      <xdr:blipFill>
        <a:blip xmlns:r="http://schemas.openxmlformats.org/officeDocument/2006/relationships" r:embed="rId4"/>
        <a:stretch>
          <a:fillRect/>
        </a:stretch>
      </xdr:blipFill>
      <xdr:spPr>
        <a:xfrm>
          <a:off x="11435444" y="0"/>
          <a:ext cx="9960429" cy="5965475"/>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macro="">
      <xdr:nvCxnSpPr>
        <xdr:cNvPr id="6" name="直接箭头连接符 5">
          <a:extLst>
            <a:ext uri="{FF2B5EF4-FFF2-40B4-BE49-F238E27FC236}">
              <a16:creationId xmlns:a16="http://schemas.microsoft.com/office/drawing/2014/main" id="{E2AD09C2-50E5-47B9-B31E-FB9ADFF597CC}"/>
            </a:ext>
          </a:extLst>
        </xdr:cNvPr>
        <xdr:cNvCxnSpPr/>
      </xdr:nvCxnSpPr>
      <xdr:spPr>
        <a:xfrm>
          <a:off x="8665028" y="1164772"/>
          <a:ext cx="6049736" cy="576942"/>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macro="">
      <xdr:nvCxnSpPr>
        <xdr:cNvPr id="7" name="直接箭头连接符 6">
          <a:extLst>
            <a:ext uri="{FF2B5EF4-FFF2-40B4-BE49-F238E27FC236}">
              <a16:creationId xmlns:a16="http://schemas.microsoft.com/office/drawing/2014/main" id="{97767A38-CB2E-4A68-9179-008D9A886E76}"/>
            </a:ext>
          </a:extLst>
        </xdr:cNvPr>
        <xdr:cNvCxnSpPr/>
      </xdr:nvCxnSpPr>
      <xdr:spPr>
        <a:xfrm>
          <a:off x="4550228" y="4838699"/>
          <a:ext cx="726622" cy="6174922"/>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macro="">
      <xdr:nvCxnSpPr>
        <xdr:cNvPr id="8" name="直接箭头连接符 7">
          <a:extLst>
            <a:ext uri="{FF2B5EF4-FFF2-40B4-BE49-F238E27FC236}">
              <a16:creationId xmlns:a16="http://schemas.microsoft.com/office/drawing/2014/main" id="{71B8E017-9907-4F44-9B89-81CBD76D178B}"/>
            </a:ext>
          </a:extLst>
        </xdr:cNvPr>
        <xdr:cNvCxnSpPr/>
      </xdr:nvCxnSpPr>
      <xdr:spPr>
        <a:xfrm>
          <a:off x="4827815" y="1110343"/>
          <a:ext cx="8183335" cy="778328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9" name="图片 8">
          <a:extLst>
            <a:ext uri="{FF2B5EF4-FFF2-40B4-BE49-F238E27FC236}">
              <a16:creationId xmlns:a16="http://schemas.microsoft.com/office/drawing/2014/main" id="{ED7D6233-57E4-4FA7-8BE7-43A9F0F76BC9}"/>
            </a:ext>
          </a:extLst>
        </xdr:cNvPr>
        <xdr:cNvPicPr>
          <a:picLocks noChangeAspect="1"/>
        </xdr:cNvPicPr>
      </xdr:nvPicPr>
      <xdr:blipFill>
        <a:blip xmlns:r="http://schemas.openxmlformats.org/officeDocument/2006/relationships" r:embed="rId5"/>
        <a:stretch>
          <a:fillRect/>
        </a:stretch>
      </xdr:blipFill>
      <xdr:spPr>
        <a:xfrm>
          <a:off x="0" y="13544550"/>
          <a:ext cx="6639791" cy="4362631"/>
        </a:xfrm>
        <a:prstGeom prst="rect">
          <a:avLst/>
        </a:prstGeom>
      </xdr:spPr>
    </xdr:pic>
    <xdr:clientData/>
  </xdr:twoCellAnchor>
  <xdr:twoCellAnchor editAs="oneCell">
    <xdr:from>
      <xdr:col>0</xdr:col>
      <xdr:colOff>0</xdr:colOff>
      <xdr:row>106</xdr:row>
      <xdr:rowOff>34636</xdr:rowOff>
    </xdr:from>
    <xdr:to>
      <xdr:col>19</xdr:col>
      <xdr:colOff>552468</xdr:colOff>
      <xdr:row>146</xdr:row>
      <xdr:rowOff>145459</xdr:rowOff>
    </xdr:to>
    <xdr:pic>
      <xdr:nvPicPr>
        <xdr:cNvPr id="10" name="图片 9">
          <a:extLst>
            <a:ext uri="{FF2B5EF4-FFF2-40B4-BE49-F238E27FC236}">
              <a16:creationId xmlns:a16="http://schemas.microsoft.com/office/drawing/2014/main" id="{24011BF6-38C1-4F9A-92AF-3DD103B88025}"/>
            </a:ext>
          </a:extLst>
        </xdr:cNvPr>
        <xdr:cNvPicPr>
          <a:picLocks noChangeAspect="1"/>
        </xdr:cNvPicPr>
      </xdr:nvPicPr>
      <xdr:blipFill>
        <a:blip xmlns:r="http://schemas.openxmlformats.org/officeDocument/2006/relationships" r:embed="rId6"/>
        <a:stretch>
          <a:fillRect/>
        </a:stretch>
      </xdr:blipFill>
      <xdr:spPr>
        <a:xfrm>
          <a:off x="0" y="18208336"/>
          <a:ext cx="13582668" cy="69688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600075</xdr:colOff>
      <xdr:row>0</xdr:row>
      <xdr:rowOff>9525</xdr:rowOff>
    </xdr:from>
    <xdr:to>
      <xdr:col>15</xdr:col>
      <xdr:colOff>180170</xdr:colOff>
      <xdr:row>9</xdr:row>
      <xdr:rowOff>171237</xdr:rowOff>
    </xdr:to>
    <xdr:pic>
      <xdr:nvPicPr>
        <xdr:cNvPr id="2" name="图片 1">
          <a:extLst>
            <a:ext uri="{FF2B5EF4-FFF2-40B4-BE49-F238E27FC236}">
              <a16:creationId xmlns:a16="http://schemas.microsoft.com/office/drawing/2014/main" id="{E1EDDE33-CC0E-A703-F738-98D52B090F1F}"/>
            </a:ext>
          </a:extLst>
        </xdr:cNvPr>
        <xdr:cNvPicPr>
          <a:picLocks noChangeAspect="1"/>
        </xdr:cNvPicPr>
      </xdr:nvPicPr>
      <xdr:blipFill>
        <a:blip xmlns:r="http://schemas.openxmlformats.org/officeDocument/2006/relationships" r:embed="rId1"/>
        <a:stretch>
          <a:fillRect/>
        </a:stretch>
      </xdr:blipFill>
      <xdr:spPr>
        <a:xfrm>
          <a:off x="4495800" y="9525"/>
          <a:ext cx="6438095" cy="1704762"/>
        </a:xfrm>
        <a:prstGeom prst="rect">
          <a:avLst/>
        </a:prstGeom>
      </xdr:spPr>
    </xdr:pic>
    <xdr:clientData/>
  </xdr:twoCellAnchor>
  <xdr:twoCellAnchor editAs="oneCell">
    <xdr:from>
      <xdr:col>6</xdr:col>
      <xdr:colOff>304800</xdr:colOff>
      <xdr:row>10</xdr:row>
      <xdr:rowOff>87796</xdr:rowOff>
    </xdr:from>
    <xdr:to>
      <xdr:col>12</xdr:col>
      <xdr:colOff>561181</xdr:colOff>
      <xdr:row>16</xdr:row>
      <xdr:rowOff>9352</xdr:rowOff>
    </xdr:to>
    <xdr:pic>
      <xdr:nvPicPr>
        <xdr:cNvPr id="3" name="图片 2">
          <a:extLst>
            <a:ext uri="{FF2B5EF4-FFF2-40B4-BE49-F238E27FC236}">
              <a16:creationId xmlns:a16="http://schemas.microsoft.com/office/drawing/2014/main" id="{45228E44-43A5-CE47-4598-884442EB7380}"/>
            </a:ext>
          </a:extLst>
        </xdr:cNvPr>
        <xdr:cNvPicPr>
          <a:picLocks noChangeAspect="1"/>
        </xdr:cNvPicPr>
      </xdr:nvPicPr>
      <xdr:blipFill>
        <a:blip xmlns:r="http://schemas.openxmlformats.org/officeDocument/2006/relationships" r:embed="rId2"/>
        <a:stretch>
          <a:fillRect/>
        </a:stretch>
      </xdr:blipFill>
      <xdr:spPr>
        <a:xfrm>
          <a:off x="4886325" y="1802296"/>
          <a:ext cx="4371181" cy="950256"/>
        </a:xfrm>
        <a:prstGeom prst="rect">
          <a:avLst/>
        </a:prstGeom>
      </xdr:spPr>
    </xdr:pic>
    <xdr:clientData/>
  </xdr:twoCellAnchor>
  <xdr:twoCellAnchor editAs="oneCell">
    <xdr:from>
      <xdr:col>6</xdr:col>
      <xdr:colOff>409575</xdr:colOff>
      <xdr:row>16</xdr:row>
      <xdr:rowOff>85725</xdr:rowOff>
    </xdr:from>
    <xdr:to>
      <xdr:col>13</xdr:col>
      <xdr:colOff>103909</xdr:colOff>
      <xdr:row>42</xdr:row>
      <xdr:rowOff>98228</xdr:rowOff>
    </xdr:to>
    <xdr:pic>
      <xdr:nvPicPr>
        <xdr:cNvPr id="4" name="图片 3">
          <a:extLst>
            <a:ext uri="{FF2B5EF4-FFF2-40B4-BE49-F238E27FC236}">
              <a16:creationId xmlns:a16="http://schemas.microsoft.com/office/drawing/2014/main" id="{BE230A5E-0DE5-A490-E167-9CB5797CAE19}"/>
            </a:ext>
          </a:extLst>
        </xdr:cNvPr>
        <xdr:cNvPicPr>
          <a:picLocks noChangeAspect="1"/>
        </xdr:cNvPicPr>
      </xdr:nvPicPr>
      <xdr:blipFill>
        <a:blip xmlns:r="http://schemas.openxmlformats.org/officeDocument/2006/relationships" r:embed="rId3"/>
        <a:stretch>
          <a:fillRect/>
        </a:stretch>
      </xdr:blipFill>
      <xdr:spPr>
        <a:xfrm>
          <a:off x="4991100" y="2828925"/>
          <a:ext cx="4494934" cy="4470203"/>
        </a:xfrm>
        <a:prstGeom prst="rect">
          <a:avLst/>
        </a:prstGeom>
      </xdr:spPr>
    </xdr:pic>
    <xdr:clientData/>
  </xdr:twoCellAnchor>
  <xdr:twoCellAnchor editAs="oneCell">
    <xdr:from>
      <xdr:col>12</xdr:col>
      <xdr:colOff>466725</xdr:colOff>
      <xdr:row>10</xdr:row>
      <xdr:rowOff>106165</xdr:rowOff>
    </xdr:from>
    <xdr:to>
      <xdr:col>18</xdr:col>
      <xdr:colOff>193849</xdr:colOff>
      <xdr:row>31</xdr:row>
      <xdr:rowOff>95250</xdr:rowOff>
    </xdr:to>
    <xdr:pic>
      <xdr:nvPicPr>
        <xdr:cNvPr id="5" name="图片 4">
          <a:extLst>
            <a:ext uri="{FF2B5EF4-FFF2-40B4-BE49-F238E27FC236}">
              <a16:creationId xmlns:a16="http://schemas.microsoft.com/office/drawing/2014/main" id="{29D9EDBA-32F1-3DC7-73D8-F98D4CF2E136}"/>
            </a:ext>
          </a:extLst>
        </xdr:cNvPr>
        <xdr:cNvPicPr>
          <a:picLocks noChangeAspect="1"/>
        </xdr:cNvPicPr>
      </xdr:nvPicPr>
      <xdr:blipFill>
        <a:blip xmlns:r="http://schemas.openxmlformats.org/officeDocument/2006/relationships" r:embed="rId4"/>
        <a:stretch>
          <a:fillRect/>
        </a:stretch>
      </xdr:blipFill>
      <xdr:spPr>
        <a:xfrm>
          <a:off x="9163050" y="1820665"/>
          <a:ext cx="3841924" cy="3589535"/>
        </a:xfrm>
        <a:prstGeom prst="rect">
          <a:avLst/>
        </a:prstGeom>
      </xdr:spPr>
    </xdr:pic>
    <xdr:clientData/>
  </xdr:twoCellAnchor>
  <xdr:twoCellAnchor editAs="oneCell">
    <xdr:from>
      <xdr:col>0</xdr:col>
      <xdr:colOff>0</xdr:colOff>
      <xdr:row>36</xdr:row>
      <xdr:rowOff>19050</xdr:rowOff>
    </xdr:from>
    <xdr:to>
      <xdr:col>6</xdr:col>
      <xdr:colOff>513713</xdr:colOff>
      <xdr:row>52</xdr:row>
      <xdr:rowOff>75850</xdr:rowOff>
    </xdr:to>
    <xdr:pic>
      <xdr:nvPicPr>
        <xdr:cNvPr id="7" name="图片 6">
          <a:extLst>
            <a:ext uri="{FF2B5EF4-FFF2-40B4-BE49-F238E27FC236}">
              <a16:creationId xmlns:a16="http://schemas.microsoft.com/office/drawing/2014/main" id="{ACC04BF5-D5D4-0DE3-4FF3-5C870441F41E}"/>
            </a:ext>
          </a:extLst>
        </xdr:cNvPr>
        <xdr:cNvPicPr>
          <a:picLocks noChangeAspect="1"/>
        </xdr:cNvPicPr>
      </xdr:nvPicPr>
      <xdr:blipFill>
        <a:blip xmlns:r="http://schemas.openxmlformats.org/officeDocument/2006/relationships" r:embed="rId5"/>
        <a:stretch>
          <a:fillRect/>
        </a:stretch>
      </xdr:blipFill>
      <xdr:spPr>
        <a:xfrm>
          <a:off x="0" y="6191250"/>
          <a:ext cx="5095238" cy="2800000"/>
        </a:xfrm>
        <a:prstGeom prst="rect">
          <a:avLst/>
        </a:prstGeom>
      </xdr:spPr>
    </xdr:pic>
    <xdr:clientData/>
  </xdr:twoCellAnchor>
  <xdr:twoCellAnchor editAs="oneCell">
    <xdr:from>
      <xdr:col>0</xdr:col>
      <xdr:colOff>0</xdr:colOff>
      <xdr:row>18</xdr:row>
      <xdr:rowOff>142875</xdr:rowOff>
    </xdr:from>
    <xdr:to>
      <xdr:col>6</xdr:col>
      <xdr:colOff>494665</xdr:colOff>
      <xdr:row>31</xdr:row>
      <xdr:rowOff>142596</xdr:rowOff>
    </xdr:to>
    <xdr:pic>
      <xdr:nvPicPr>
        <xdr:cNvPr id="8" name="图片 7">
          <a:extLst>
            <a:ext uri="{FF2B5EF4-FFF2-40B4-BE49-F238E27FC236}">
              <a16:creationId xmlns:a16="http://schemas.microsoft.com/office/drawing/2014/main" id="{148EAA2A-C746-309F-B959-EAEB739014A0}"/>
            </a:ext>
          </a:extLst>
        </xdr:cNvPr>
        <xdr:cNvPicPr>
          <a:picLocks noChangeAspect="1"/>
        </xdr:cNvPicPr>
      </xdr:nvPicPr>
      <xdr:blipFill>
        <a:blip xmlns:r="http://schemas.openxmlformats.org/officeDocument/2006/relationships" r:embed="rId6"/>
        <a:stretch>
          <a:fillRect/>
        </a:stretch>
      </xdr:blipFill>
      <xdr:spPr>
        <a:xfrm>
          <a:off x="0" y="3228975"/>
          <a:ext cx="5076190" cy="2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1-0592&#22235;&#24029;&#30465;&#25104;&#37117;&#24066;&#26032;&#27941;&#21306;&#32426;&#30910;&#26449;&#19968;&#32452;&#19968;&#23447;&#22478;&#38215;&#28151;&#21512;&#20303;&#23429;&#29992;&#22320;\P01\&#26368;&#32456;\&#27979;&#31639;-&#26032;&#27941;&#20852;&#20041;&#38215;&#22303;&#22320;-&#24352;&#27901;-&#20108;&#23457;-&#23828;&#38196;20250729-153650.xlsx" TargetMode="External"/><Relationship Id="rId1" Type="http://schemas.openxmlformats.org/officeDocument/2006/relationships/externalLinkPath" Target="file:///D:\2025\2025-1-0592&#22235;&#24029;&#30465;&#25104;&#37117;&#24066;&#26032;&#27941;&#21306;&#32426;&#30910;&#26449;&#19968;&#32452;&#19968;&#23447;&#22478;&#38215;&#28151;&#21512;&#20303;&#23429;&#29992;&#22320;\P01\&#26368;&#32456;\&#27979;&#31639;-&#26032;&#27941;&#20852;&#20041;&#38215;&#22303;&#22320;-&#24352;&#27901;-&#20108;&#23457;-&#23828;&#38196;20250729-1536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商业案例"/>
      <sheetName val="项目基本情况"/>
      <sheetName val="数据-基础表"/>
      <sheetName val="数据-汇总表"/>
      <sheetName val="数据-取费表"/>
      <sheetName val="估价对象房地状况"/>
      <sheetName val="系统读取表"/>
      <sheetName val="结果表"/>
      <sheetName val="sheet1"/>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Sheet2"/>
      <sheetName val="sheet1 (2)"/>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row r="74">
          <cell r="A74" t="str">
            <v>交易情况</v>
          </cell>
          <cell r="C74" t="str">
            <v>正常</v>
          </cell>
        </row>
        <row r="76">
          <cell r="B76" t="str">
            <v>用途</v>
          </cell>
          <cell r="C76" t="str">
            <v>城镇混合住宅用地</v>
          </cell>
          <cell r="D76" t="str">
            <v>二类城镇住宅用地</v>
          </cell>
          <cell r="E76" t="str">
            <v>二类住宅用地</v>
          </cell>
          <cell r="F76" t="str">
            <v>二类住宅兼商业服务业设施用地,兼容比例大于15%,且不大于20%</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0" refreshError="1"/>
      <sheetData sheetId="21" refreshError="1"/>
      <sheetData sheetId="22">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洋房</v>
          </cell>
          <cell r="D100" t="str">
            <v>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cell r="E122" t="str">
            <v>简单装修</v>
          </cell>
          <cell r="F122" t="str">
            <v>毛坯</v>
          </cell>
        </row>
      </sheetData>
      <sheetData sheetId="37" refreshError="1"/>
      <sheetData sheetId="38" refreshError="1"/>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 val="序列表"/>
    </sheetNames>
    <sheetDataSet>
      <sheetData sheetId="0" refreshError="1"/>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s://www.xinjin.gov.cn/xjxrmzf/c1256263/2024-12/02/content_7d984233fc314de3914ae8f4ebc8b02a.shtml"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1937</v>
      </c>
      <c r="B1" s="2193" t="s">
        <v>2034</v>
      </c>
    </row>
    <row r="2" spans="1:55" s="2197" customFormat="1" ht="15" thickTop="1">
      <c r="A2" s="2195" t="s">
        <v>1941</v>
      </c>
      <c r="B2" s="2196" t="str">
        <f>'预评函-封皮'!B37</f>
        <v>出让国有建设用地使用权抵押价格预评估</v>
      </c>
      <c r="AX2" s="2198"/>
      <c r="AZ2" s="2198"/>
      <c r="BA2" s="2199"/>
      <c r="BC2" s="2199"/>
    </row>
    <row r="3" spans="1:55">
      <c r="A3" s="2183" t="s">
        <v>1942</v>
      </c>
      <c r="B3" s="2184">
        <f>'预评函-封皮'!B40</f>
        <v>0</v>
      </c>
    </row>
    <row r="4" spans="1:55" s="2185" customFormat="1">
      <c r="A4" s="2183" t="s">
        <v>1943</v>
      </c>
      <c r="B4" s="2184" t="str">
        <f>'预评函-封皮'!B46</f>
        <v>土地估价师、土地估价师</v>
      </c>
      <c r="N4" s="2185" t="str">
        <f>'预评函-1'!A28</f>
        <v/>
      </c>
    </row>
    <row r="5" spans="1:55" s="2194" customFormat="1" ht="15" thickBot="1">
      <c r="A5" s="2200" t="s">
        <v>1944</v>
      </c>
      <c r="B5" s="2201" t="str">
        <f>'预评函-封皮'!B49</f>
        <v>康正预评字号</v>
      </c>
    </row>
    <row r="6" spans="1:55" s="2202" customFormat="1" ht="15" thickTop="1">
      <c r="A6" s="2195" t="s">
        <v>1986</v>
      </c>
      <c r="B6" s="2196" t="str">
        <f>'预评函-1'!A4</f>
        <v>受贵公司委托，我公司对出让国有建设用地使用权抵押价格进行了预评估。</v>
      </c>
      <c r="AM6" s="2203"/>
    </row>
    <row r="7" spans="1:55">
      <c r="A7" s="2183" t="s">
        <v>1938</v>
      </c>
      <c r="B7" s="2184"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55">
      <c r="A8" s="2183" t="s">
        <v>1939</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1989</v>
      </c>
      <c r="B9" s="218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3" t="s">
        <v>1940</v>
      </c>
      <c r="B10" s="2184" t="str">
        <f>'预评函-1'!A11</f>
        <v>2025年12月9日（评估专业人员勘察现场之日）</v>
      </c>
    </row>
    <row r="11" spans="1:55">
      <c r="A11" s="2183" t="s">
        <v>1946</v>
      </c>
      <c r="B11" s="2184" t="str">
        <f>'预评函-1'!A14</f>
        <v>根据《国有土地使用证》[]，本次评估估价对象证载（地类）用途为。</v>
      </c>
    </row>
    <row r="12" spans="1:55">
      <c r="A12" s="2183" t="s">
        <v>1947</v>
      </c>
      <c r="B12" s="2184" t="str">
        <f>'预评函-1'!A15</f>
        <v>本次评估设定用途即为证载用途。</v>
      </c>
    </row>
    <row r="13" spans="1:55">
      <c r="A13" s="2183" t="s">
        <v>1948</v>
      </c>
      <c r="B13" s="2184" t="str">
        <f>'预评函-1'!A17</f>
        <v>根据委托估价方介绍及评估专业人员现场勘查，本次评估估价对象实际土地开发程度为红线外市政基础设施达“七通”（即、、、、、、）、宗地红线内场地平整。</v>
      </c>
    </row>
    <row r="14" spans="1:55">
      <c r="A14" s="2183" t="s">
        <v>1949</v>
      </c>
      <c r="B14" s="2184" t="str">
        <f>'预评函-1'!A18</f>
        <v>。本次评估设定土地开发程度为红线外市政基础设施达“七通”、宗地红线内场地平整。</v>
      </c>
    </row>
    <row r="15" spans="1:55">
      <c r="A15" s="2183" t="s">
        <v>1945</v>
      </c>
      <c r="B15" s="2184" t="str">
        <f>'预评函-1'!A20</f>
        <v>根据《国有土地使用证》[]，估价对象（分摊）出让国有建设用地使用权面积为33342.66平方米。根据《建设工程规划许可证》[]、《出让合同》[]，估价对象规划建筑面积为100027.98平方米。</v>
      </c>
    </row>
    <row r="16" spans="1:55">
      <c r="A16" s="2183" t="s">
        <v>1950</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48">
      <c r="A17" s="2183" t="s">
        <v>1951</v>
      </c>
      <c r="B17" s="2184" t="str">
        <f>'预评函-1'!A23</f>
        <v>本次评估设定估价对象剩余土地使用年限为。</v>
      </c>
    </row>
    <row r="18" spans="1:48">
      <c r="A18" s="2183" t="s">
        <v>1952</v>
      </c>
      <c r="B18" s="2184" t="str">
        <f>'预评函-1'!A25</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row>
    <row r="19" spans="1:48">
      <c r="A19" s="2183" t="s">
        <v>1953</v>
      </c>
      <c r="B19" s="2184" t="str">
        <f>'预评函-1'!A26</f>
        <v>本次估价的“抵押价格”是指估价对象在估价期日的“出让国有建设用地使用权价格”扣减估价师于估价期日所知悉的法定优先受偿款后的余额。</v>
      </c>
    </row>
    <row r="20" spans="1:48">
      <c r="A20" s="2183" t="s">
        <v>1954</v>
      </c>
      <c r="B20" s="21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4" customFormat="1" ht="15" thickBot="1">
      <c r="A21" s="2200" t="s">
        <v>1955</v>
      </c>
      <c r="B21" s="2201" t="str">
        <f>'预评函-1'!A28</f>
        <v/>
      </c>
    </row>
    <row r="22" spans="1:48" ht="15" thickTop="1">
      <c r="A22" s="2190" t="s">
        <v>1956</v>
      </c>
      <c r="B22" s="21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3" t="s">
        <v>1957</v>
      </c>
      <c r="B23" s="2184" t="str">
        <f>'预评函-2'!K2</f>
        <v>估价期日：2025年12月9日</v>
      </c>
    </row>
    <row r="24" spans="1:48">
      <c r="A24" s="2183" t="s">
        <v>1958</v>
      </c>
      <c r="B24" s="2184" t="str">
        <f>'预评函-2'!R2</f>
        <v>估价期日的国有建设用地使用权性质：出让</v>
      </c>
    </row>
    <row r="25" spans="1:48">
      <c r="A25" s="2183" t="s">
        <v>2014</v>
      </c>
      <c r="B25" s="2184" t="str">
        <f>'预评函-2'!A3</f>
        <v>估价期日土地使用者</v>
      </c>
    </row>
    <row r="26" spans="1:48">
      <c r="A26" s="2183" t="s">
        <v>1990</v>
      </c>
      <c r="B26" s="2184" t="str">
        <f>'预评函-2'!A5</f>
        <v>中信开发</v>
      </c>
    </row>
    <row r="27" spans="1:48">
      <c r="A27" s="2183" t="s">
        <v>2015</v>
      </c>
      <c r="B27" s="2184" t="str">
        <f>'预评函-2'!B3</f>
        <v>宗地编号/不动产单元号</v>
      </c>
    </row>
    <row r="28" spans="1:48">
      <c r="A28" s="2183" t="s">
        <v>1991</v>
      </c>
      <c r="B28" s="2184" t="str">
        <f>'预评函-2'!B5</f>
        <v>11111111111</v>
      </c>
    </row>
    <row r="29" spans="1:48">
      <c r="A29" s="2183" t="s">
        <v>2017</v>
      </c>
      <c r="B29" s="2184">
        <f>'预评函-2'!C5</f>
        <v>22</v>
      </c>
    </row>
    <row r="30" spans="1:48">
      <c r="A30" s="2183" t="s">
        <v>2018</v>
      </c>
      <c r="B30" s="2184" t="str">
        <f>'预评函-2'!D3</f>
        <v>土地使用证编号/不动产权证书编号</v>
      </c>
    </row>
    <row r="31" spans="1:48">
      <c r="A31" s="2183" t="s">
        <v>1992</v>
      </c>
      <c r="B31" s="2184" t="str">
        <f>'预评函-2'!D5</f>
        <v>京国土字第111号</v>
      </c>
    </row>
    <row r="32" spans="1:48">
      <c r="A32" s="2183" t="s">
        <v>1993</v>
      </c>
      <c r="B32" s="2184">
        <f>'预评函-2'!E5</f>
        <v>0</v>
      </c>
      <c r="AV32" s="2186"/>
    </row>
    <row r="33" spans="1:2">
      <c r="A33" s="2183" t="s">
        <v>1994</v>
      </c>
      <c r="B33" s="2184">
        <f>'预评函-2'!F5</f>
        <v>258</v>
      </c>
    </row>
    <row r="34" spans="1:2">
      <c r="A34" s="2183" t="s">
        <v>1995</v>
      </c>
      <c r="B34" s="2184">
        <f>'预评函-2'!G5</f>
        <v>0</v>
      </c>
    </row>
    <row r="35" spans="1:2">
      <c r="A35" s="2183" t="s">
        <v>1996</v>
      </c>
      <c r="B35" s="2184">
        <f>'预评函-2'!H5</f>
        <v>1.5</v>
      </c>
    </row>
    <row r="36" spans="1:2">
      <c r="A36" s="2183" t="s">
        <v>1997</v>
      </c>
      <c r="B36" s="2184">
        <f>'预评函-2'!I5</f>
        <v>1.5</v>
      </c>
    </row>
    <row r="37" spans="1:2">
      <c r="A37" s="2183" t="s">
        <v>1998</v>
      </c>
      <c r="B37" s="2184">
        <f>'预评函-2'!J5</f>
        <v>1.5</v>
      </c>
    </row>
    <row r="38" spans="1:2">
      <c r="A38" s="2183" t="s">
        <v>1999</v>
      </c>
      <c r="B38" s="2184" t="str">
        <f>'预评函-2'!K5</f>
        <v>红线外七通、宗地红线内</v>
      </c>
    </row>
    <row r="39" spans="1:2">
      <c r="A39" s="2183" t="s">
        <v>2000</v>
      </c>
      <c r="B39" s="2184" t="str">
        <f>'预评函-2'!L5</f>
        <v>红线外七通、宗地红线内场地</v>
      </c>
    </row>
    <row r="40" spans="1:2">
      <c r="A40" s="2183" t="s">
        <v>2019</v>
      </c>
      <c r="B40" s="2184" t="str">
        <f>'预评函-2'!M3</f>
        <v>（剩余）土地使用年限/年</v>
      </c>
    </row>
    <row r="41" spans="1:2">
      <c r="A41" s="2183" t="s">
        <v>2001</v>
      </c>
      <c r="B41" s="2184">
        <f>'预评函-2'!M5</f>
        <v>0</v>
      </c>
    </row>
    <row r="42" spans="1:2">
      <c r="A42" s="2183" t="s">
        <v>2020</v>
      </c>
      <c r="B42" s="2184" t="str">
        <f>'预评函-2'!N3</f>
        <v>（分摊）出让国有建设用地使用权面积/㎡</v>
      </c>
    </row>
    <row r="43" spans="1:2">
      <c r="A43" s="2183" t="s">
        <v>2002</v>
      </c>
      <c r="B43" s="2184">
        <f>'预评函-2'!N5</f>
        <v>33342.660000000003</v>
      </c>
    </row>
    <row r="44" spans="1:2">
      <c r="A44" s="2183" t="s">
        <v>2021</v>
      </c>
      <c r="B44" s="2184" t="str">
        <f>'预评函-2'!O3</f>
        <v>规划建筑面积/㎡</v>
      </c>
    </row>
    <row r="45" spans="1:2">
      <c r="A45" s="2183" t="s">
        <v>2003</v>
      </c>
      <c r="B45" s="2184">
        <f>'预评函-2'!O5</f>
        <v>100027.98000000001</v>
      </c>
    </row>
    <row r="46" spans="1:2">
      <c r="A46" s="2183" t="s">
        <v>2004</v>
      </c>
      <c r="B46" s="2184">
        <f ca="1">'预评函-2'!P5</f>
        <v>7510</v>
      </c>
    </row>
    <row r="47" spans="1:2">
      <c r="A47" s="2183" t="s">
        <v>2005</v>
      </c>
      <c r="B47" s="2184">
        <f ca="1">'预评函-2'!Q5</f>
        <v>2503</v>
      </c>
    </row>
    <row r="48" spans="1:2">
      <c r="A48" s="2183" t="s">
        <v>2006</v>
      </c>
      <c r="B48" s="2184">
        <f ca="1">'预评函-2'!R5</f>
        <v>25042</v>
      </c>
    </row>
    <row r="49" spans="1:2">
      <c r="A49" s="2183" t="s">
        <v>2022</v>
      </c>
      <c r="B49" s="2184" t="str">
        <f>'预评函-2'!A6</f>
        <v>抵押价格</v>
      </c>
    </row>
    <row r="50" spans="1:2">
      <c r="A50" s="2183" t="s">
        <v>2007</v>
      </c>
      <c r="B50" s="2184">
        <f ca="1">'预评函-2'!R6</f>
        <v>25042</v>
      </c>
    </row>
    <row r="51" spans="1:2">
      <c r="A51" s="2183" t="s">
        <v>2023</v>
      </c>
      <c r="B51" s="2184" t="str">
        <f>'预评函-2'!A7</f>
        <v>——</v>
      </c>
    </row>
    <row r="52" spans="1:2">
      <c r="A52" s="2183" t="s">
        <v>2008</v>
      </c>
      <c r="B52" s="2184" t="str">
        <f>'预评函-2'!R7</f>
        <v>——</v>
      </c>
    </row>
    <row r="53" spans="1:2">
      <c r="A53" s="2183" t="s">
        <v>2024</v>
      </c>
      <c r="B53" s="2184" t="str">
        <f>'预评函-2'!A8</f>
        <v>——</v>
      </c>
    </row>
    <row r="54" spans="1:2" s="2194" customFormat="1" ht="15" thickBot="1">
      <c r="A54" s="2200" t="s">
        <v>2009</v>
      </c>
      <c r="B54" s="2201" t="str">
        <f>'预评函-2'!R8</f>
        <v>——</v>
      </c>
    </row>
    <row r="55" spans="1:2" ht="15" thickTop="1">
      <c r="A55" s="2190" t="s">
        <v>1959</v>
      </c>
      <c r="B55" s="2191" t="str">
        <f>'预评函-3'!A2</f>
        <v>1.权利限制：根据估价对象《不动产权证书》原件、《国有土地使用权》复印件，截至估价期日，估价对象抵押权未见登记。未设定租赁等其他他项权利。</v>
      </c>
    </row>
    <row r="56" spans="1:2">
      <c r="A56" s="2183" t="s">
        <v>1960</v>
      </c>
      <c r="B56" s="2184" t="str">
        <f>'预评函-3'!A3</f>
        <v>2.基础设施条件：估价对象实际开发程度为红线外七通、宗地红线内；本次评估设定开发程度为红线外七通、宗地红线内场地。</v>
      </c>
    </row>
    <row r="57" spans="1:2">
      <c r="A57" s="2183" t="s">
        <v>1961</v>
      </c>
      <c r="B57" s="2184" t="str">
        <f>'预评函-3'!A4</f>
        <v>3.估价规划限制条件：详见《建设工程规划许可证》[]、《出让合同》[]。</v>
      </c>
    </row>
    <row r="58" spans="1:2" s="2194" customFormat="1" ht="15" thickBot="1">
      <c r="A58" s="2200" t="s">
        <v>2010</v>
      </c>
      <c r="B58" s="2201" t="str">
        <f>'预评函-3'!A5</f>
        <v>4.影响价格的其他限定条件：无。</v>
      </c>
    </row>
    <row r="59" spans="1:2" ht="15" thickTop="1">
      <c r="A59" s="2190" t="s">
        <v>1962</v>
      </c>
      <c r="B59" s="2191" t="str">
        <f>'预评函-3'!A8</f>
        <v>2.本《评估意见函》仅供金融机构进行内部审核使用，不做其他目的之用。</v>
      </c>
    </row>
    <row r="60" spans="1:2">
      <c r="A60" s="2183" t="s">
        <v>1963</v>
      </c>
      <c r="B60" s="2184" t="str">
        <f>'预评函-3'!A9</f>
        <v>3.抵押双方在办理抵押登记手续时，应使用本公司出具的正式《土地估价报告》，特提请报告使用者注意。</v>
      </c>
    </row>
    <row r="61" spans="1:2">
      <c r="A61" s="2183" t="s">
        <v>1965</v>
      </c>
      <c r="B61" s="2184" t="str">
        <f>'预评函-3'!A10</f>
        <v>4.估价师所知悉的法定优先受偿款情况为：</v>
      </c>
    </row>
    <row r="62" spans="1:2">
      <c r="A62" s="2183" t="s">
        <v>1964</v>
      </c>
      <c r="B62" s="21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3" t="s">
        <v>1966</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1967</v>
      </c>
      <c r="B64" s="2187" t="str">
        <f>'预评函-3'!A13</f>
        <v>（3）。</v>
      </c>
    </row>
    <row r="65" spans="1:2">
      <c r="A65" s="2183" t="s">
        <v>1968</v>
      </c>
      <c r="B65" s="2184" t="str">
        <f>'预评函-3'!A14</f>
        <v>综上，本次评估不存在估价师知悉的法定优先受偿款</v>
      </c>
    </row>
    <row r="66" spans="1:2">
      <c r="A66" s="2183" t="s">
        <v>1969</v>
      </c>
      <c r="B66" s="2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1970</v>
      </c>
      <c r="B67" s="2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1973</v>
      </c>
      <c r="B68" s="2204">
        <f>'预评函-3'!D30</f>
        <v>42558</v>
      </c>
    </row>
    <row r="69" spans="1:2" ht="15" thickTop="1">
      <c r="A69" s="2190" t="s">
        <v>1971</v>
      </c>
      <c r="B69" s="2191" t="str">
        <f>'预评函-3'!A20</f>
        <v>土地估价师</v>
      </c>
    </row>
    <row r="70" spans="1:2">
      <c r="A70" s="2183" t="s">
        <v>1971</v>
      </c>
      <c r="B70" s="2184">
        <f>'预评函-3'!B20</f>
        <v>0</v>
      </c>
    </row>
    <row r="71" spans="1:2">
      <c r="A71" s="2183" t="s">
        <v>1972</v>
      </c>
      <c r="B71" s="2184" t="str">
        <f>'预评函-3'!A21</f>
        <v>土地估价师</v>
      </c>
    </row>
    <row r="72" spans="1:2" s="2194" customFormat="1" ht="15" thickBot="1">
      <c r="A72" s="2200" t="s">
        <v>1972</v>
      </c>
      <c r="B72" s="2201">
        <f>'预评函-3'!B21</f>
        <v>0</v>
      </c>
    </row>
    <row r="73" spans="1:2" ht="15" thickTop="1">
      <c r="A73" s="2190" t="s">
        <v>2031</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2032</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2033</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2063</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E22" sqref="E22"/>
    </sheetView>
  </sheetViews>
  <sheetFormatPr defaultColWidth="15.25" defaultRowHeight="13.5"/>
  <cols>
    <col min="1" max="8" width="15.25" style="2697"/>
    <col min="9" max="18" width="9.625" style="2697" customWidth="1"/>
    <col min="19" max="16384" width="15.25" style="2697"/>
  </cols>
  <sheetData>
    <row r="1" spans="1:18">
      <c r="A1" s="3032" t="s">
        <v>2661</v>
      </c>
      <c r="B1" s="3033"/>
      <c r="C1" s="3033"/>
      <c r="D1" s="3033"/>
      <c r="E1" s="3033"/>
      <c r="F1" s="3034"/>
      <c r="I1" s="3051" t="s">
        <v>3274</v>
      </c>
      <c r="J1" s="3064"/>
      <c r="K1" s="3064"/>
      <c r="L1" s="3064"/>
      <c r="M1" s="3064"/>
      <c r="N1" s="3197"/>
      <c r="O1" s="3197"/>
      <c r="P1" s="3197"/>
      <c r="Q1" s="3197"/>
      <c r="R1" s="3197"/>
    </row>
    <row r="2" spans="1:18">
      <c r="A2" s="3035"/>
      <c r="B2" s="3036"/>
      <c r="C2" s="3036"/>
      <c r="D2" s="3036"/>
      <c r="E2" s="3036"/>
      <c r="F2" s="3037"/>
      <c r="I2" s="3479" t="s">
        <v>3275</v>
      </c>
      <c r="J2" s="3479"/>
      <c r="K2" s="3479"/>
      <c r="L2" s="3479"/>
      <c r="M2" s="3479"/>
      <c r="N2" s="3479"/>
      <c r="O2" s="3479"/>
      <c r="P2" s="3479"/>
      <c r="Q2" s="3479"/>
      <c r="R2" s="3479"/>
    </row>
    <row r="3" spans="1:18">
      <c r="A3" s="2990" t="s">
        <v>2662</v>
      </c>
      <c r="B3" s="3038">
        <f>项目基本情况!D3</f>
        <v>46000</v>
      </c>
      <c r="C3" s="3039"/>
      <c r="D3" s="3039"/>
      <c r="E3" s="3039"/>
      <c r="F3" s="3037"/>
      <c r="I3" s="3055"/>
      <c r="J3" s="3055" t="s">
        <v>3276</v>
      </c>
      <c r="K3" s="3055" t="s">
        <v>3277</v>
      </c>
      <c r="L3" s="3055" t="s">
        <v>3278</v>
      </c>
      <c r="M3" s="3055" t="s">
        <v>3279</v>
      </c>
      <c r="N3" s="3394" t="s">
        <v>3280</v>
      </c>
      <c r="O3" s="3394" t="s">
        <v>3281</v>
      </c>
      <c r="P3" s="3394" t="s">
        <v>3282</v>
      </c>
      <c r="Q3" s="3394" t="s">
        <v>3283</v>
      </c>
      <c r="R3" s="3394" t="s">
        <v>3272</v>
      </c>
    </row>
    <row r="4" spans="1:18">
      <c r="A4" s="2990" t="s">
        <v>2663</v>
      </c>
      <c r="B4" s="3040" t="s">
        <v>2664</v>
      </c>
      <c r="C4" s="3040" t="s">
        <v>2665</v>
      </c>
      <c r="D4" s="3040" t="s">
        <v>2666</v>
      </c>
      <c r="E4" s="3040" t="s">
        <v>2667</v>
      </c>
      <c r="F4" s="3037"/>
      <c r="I4" s="3055" t="s">
        <v>3284</v>
      </c>
      <c r="J4" s="3055">
        <v>80</v>
      </c>
      <c r="K4" s="3055">
        <v>70</v>
      </c>
      <c r="L4" s="3055">
        <v>20</v>
      </c>
      <c r="M4" s="3055">
        <v>30</v>
      </c>
      <c r="N4" s="3040">
        <v>45</v>
      </c>
      <c r="O4" s="3040">
        <v>60</v>
      </c>
      <c r="P4" s="3040">
        <v>50</v>
      </c>
      <c r="Q4" s="3040">
        <v>20</v>
      </c>
      <c r="R4" s="3040">
        <v>375</v>
      </c>
    </row>
    <row r="5" spans="1:18">
      <c r="A5" s="3041"/>
      <c r="B5" s="3038"/>
      <c r="C5" s="3040">
        <f>ROUNDDOWN(MIN((B5-B3)/365,A5),2)</f>
        <v>-126.02</v>
      </c>
      <c r="D5" s="3042">
        <f>IF(ISERROR(ROUND(POWER(1+E5,A5-C5)*(POWER(1+E5,C5)-1)/(POWER(1+E5,A5)-1),3)),0,ROUND(POWER(1+E5,A5-C5)*(POWER(1+E5,C5)-1)/(POWER(1+E5,A5)-1),4))</f>
        <v>0</v>
      </c>
      <c r="E5" s="3043"/>
      <c r="F5" s="3037"/>
      <c r="I5" s="3055" t="s">
        <v>3285</v>
      </c>
      <c r="J5" s="3055">
        <v>70</v>
      </c>
      <c r="K5" s="3055">
        <v>60</v>
      </c>
      <c r="L5" s="3055">
        <v>15</v>
      </c>
      <c r="M5" s="3055">
        <v>25</v>
      </c>
      <c r="N5" s="3040">
        <v>40</v>
      </c>
      <c r="O5" s="3040">
        <v>50</v>
      </c>
      <c r="P5" s="3040">
        <v>40</v>
      </c>
      <c r="Q5" s="3040">
        <v>15</v>
      </c>
      <c r="R5" s="3040">
        <v>315</v>
      </c>
    </row>
    <row r="6" spans="1:18">
      <c r="A6" s="3041"/>
      <c r="B6" s="3038"/>
      <c r="C6" s="3040">
        <f>ROUNDDOWN(MIN((B6-B3)/365,A6),2)</f>
        <v>-126.02</v>
      </c>
      <c r="D6" s="3042">
        <f>IF(ISERROR(ROUND(POWER(1+E6,A6-C6)*(POWER(1+E6,C6)-1)/(POWER(1+E6,A6)-1),3)),0,ROUND(POWER(1+E6,A6-C6)*(POWER(1+E6,C6)-1)/(POWER(1+E6,A6)-1),4))</f>
        <v>0</v>
      </c>
      <c r="E6" s="3043"/>
      <c r="F6" s="3037"/>
      <c r="I6" s="3055" t="s">
        <v>3286</v>
      </c>
      <c r="J6" s="3055">
        <v>60</v>
      </c>
      <c r="K6" s="3055">
        <v>50</v>
      </c>
      <c r="L6" s="3055">
        <v>10</v>
      </c>
      <c r="M6" s="3055">
        <v>20</v>
      </c>
      <c r="N6" s="3040">
        <v>35</v>
      </c>
      <c r="O6" s="3040">
        <v>40</v>
      </c>
      <c r="P6" s="3040">
        <v>30</v>
      </c>
      <c r="Q6" s="3040">
        <v>10</v>
      </c>
      <c r="R6" s="3040">
        <v>255</v>
      </c>
    </row>
    <row r="7" spans="1:18">
      <c r="A7" s="3041"/>
      <c r="B7" s="3038"/>
      <c r="C7" s="3040">
        <f>ROUNDDOWN(MIN((B7-B3)/365,A7),2)</f>
        <v>-126.02</v>
      </c>
      <c r="D7" s="3042">
        <f>IF(ISERROR(ROUND(POWER(1+E7,A7-C7)*(POWER(1+E7,C7)-1)/(POWER(1+E7,A7)-1),3)),0,ROUND(POWER(1+E7,A7-C7)*(POWER(1+E7,C7)-1)/(POWER(1+E7,A7)-1),4))</f>
        <v>0</v>
      </c>
      <c r="E7" s="3043"/>
      <c r="F7" s="3037"/>
    </row>
    <row r="8" spans="1:18">
      <c r="A8" s="3035"/>
      <c r="B8" s="3036"/>
      <c r="C8" s="3036"/>
      <c r="D8" s="3036"/>
      <c r="E8" s="3036"/>
      <c r="F8" s="3037"/>
    </row>
    <row r="9" spans="1:18">
      <c r="A9" s="2990" t="s">
        <v>2668</v>
      </c>
      <c r="B9" s="3040"/>
      <c r="C9" s="3040"/>
      <c r="D9" s="3040"/>
      <c r="E9" s="3040"/>
      <c r="F9" s="3044"/>
    </row>
    <row r="10" spans="1:18">
      <c r="A10" s="2990" t="s">
        <v>2669</v>
      </c>
      <c r="B10" s="3040"/>
      <c r="C10" s="3040"/>
      <c r="D10" s="3040" t="s">
        <v>2667</v>
      </c>
      <c r="E10" s="3040"/>
      <c r="F10" s="3044" t="s">
        <v>2666</v>
      </c>
    </row>
    <row r="11" spans="1:18">
      <c r="A11" s="2990" t="s">
        <v>2670</v>
      </c>
      <c r="B11" s="3045"/>
      <c r="C11" s="3040" t="s">
        <v>2671</v>
      </c>
      <c r="D11" s="3045"/>
      <c r="E11" s="3040" t="s">
        <v>2672</v>
      </c>
      <c r="F11" s="3046">
        <f>ROUND(1-(1/(POWER(1+D11,B11))),4)</f>
        <v>0</v>
      </c>
    </row>
    <row r="12" spans="1:18">
      <c r="A12" s="2990" t="s">
        <v>2673</v>
      </c>
      <c r="B12" s="3045"/>
      <c r="C12" s="3040" t="s">
        <v>2674</v>
      </c>
      <c r="D12" s="3045"/>
      <c r="E12" s="3040" t="s">
        <v>2675</v>
      </c>
      <c r="F12" s="3046">
        <f>ROUND(1-(1/(POWER(1+D12,B12))),4)</f>
        <v>0</v>
      </c>
    </row>
    <row r="13" spans="1:18">
      <c r="A13" s="2990" t="s">
        <v>2676</v>
      </c>
      <c r="B13" s="3040"/>
      <c r="C13" s="3039"/>
      <c r="D13" s="3036"/>
      <c r="E13" s="3036"/>
      <c r="F13" s="3037"/>
    </row>
    <row r="14" spans="1:18">
      <c r="A14" s="2990" t="s">
        <v>2677</v>
      </c>
      <c r="B14" s="3045"/>
      <c r="C14" s="3039"/>
      <c r="D14" s="3036"/>
      <c r="E14" s="3036"/>
      <c r="F14" s="3037"/>
    </row>
    <row r="15" spans="1:18">
      <c r="A15" s="2990" t="s">
        <v>2678</v>
      </c>
      <c r="B15" s="3040" t="e">
        <f>ROUND(B14*F12/F11,2)</f>
        <v>#DIV/0!</v>
      </c>
      <c r="C15" s="3040" t="e">
        <f>ROUND(F12/F11,4)</f>
        <v>#DIV/0!</v>
      </c>
      <c r="D15" s="3036"/>
      <c r="E15" s="3036"/>
      <c r="F15" s="3037"/>
    </row>
    <row r="16" spans="1:18">
      <c r="A16" s="2990" t="s">
        <v>2679</v>
      </c>
      <c r="B16" s="3040"/>
      <c r="C16" s="3039"/>
      <c r="D16" s="3036"/>
      <c r="E16" s="3036"/>
      <c r="F16" s="3037"/>
    </row>
    <row r="17" spans="1:14">
      <c r="A17" s="2990" t="s">
        <v>2678</v>
      </c>
      <c r="B17" s="3045"/>
      <c r="C17" s="3039"/>
      <c r="D17" s="3036"/>
      <c r="E17" s="3036"/>
      <c r="F17" s="3037"/>
    </row>
    <row r="18" spans="1:14" ht="14.25" thickBot="1">
      <c r="A18" s="3047" t="s">
        <v>2677</v>
      </c>
      <c r="B18" s="3048" t="e">
        <f>ROUND(B17*F11/F12,2)</f>
        <v>#DIV/0!</v>
      </c>
      <c r="C18" s="3048" t="e">
        <f>ROUND(F11/F12,4)</f>
        <v>#DIV/0!</v>
      </c>
      <c r="D18" s="3049"/>
      <c r="E18" s="3049"/>
      <c r="F18" s="3050"/>
    </row>
    <row r="19" spans="1:14" ht="14.25" thickBot="1"/>
    <row r="20" spans="1:14" ht="14.25" thickTop="1">
      <c r="A20" s="3051" t="s">
        <v>2680</v>
      </c>
      <c r="B20" s="3052"/>
      <c r="C20" s="3052"/>
      <c r="D20" s="3052"/>
      <c r="E20" s="3052"/>
      <c r="F20" s="3052"/>
      <c r="G20" s="3053"/>
      <c r="I20" s="3397" t="s">
        <v>3287</v>
      </c>
      <c r="J20" s="3397" t="s">
        <v>3288</v>
      </c>
      <c r="K20" s="3397"/>
      <c r="L20" s="3397"/>
      <c r="M20" s="3397"/>
      <c r="N20" s="3398"/>
    </row>
    <row r="21" spans="1:14">
      <c r="A21" s="3054"/>
      <c r="B21" s="3055" t="s">
        <v>2681</v>
      </c>
      <c r="C21" s="3055" t="s">
        <v>2682</v>
      </c>
      <c r="D21" s="3055" t="s">
        <v>2683</v>
      </c>
      <c r="E21" s="3055" t="s">
        <v>2684</v>
      </c>
      <c r="F21" s="3055" t="s">
        <v>2685</v>
      </c>
      <c r="G21" s="3056" t="s">
        <v>2686</v>
      </c>
      <c r="I21" s="3399">
        <v>5</v>
      </c>
      <c r="J21" s="3399">
        <v>54.2</v>
      </c>
      <c r="K21" s="3399"/>
      <c r="L21" s="3399"/>
      <c r="M21" s="3399"/>
    </row>
    <row r="22" spans="1:14">
      <c r="A22" s="3054" t="s">
        <v>2687</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2688</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3289</v>
      </c>
      <c r="M23" s="3399"/>
      <c r="N23" s="3400" t="s">
        <v>3290</v>
      </c>
    </row>
    <row r="24" spans="1:14">
      <c r="A24" s="3059" t="s">
        <v>2689</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3291</v>
      </c>
      <c r="M24" s="3399"/>
      <c r="N24" s="3400">
        <v>10</v>
      </c>
    </row>
    <row r="25" spans="1:14">
      <c r="A25" s="3059" t="s">
        <v>2690</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3292</v>
      </c>
      <c r="M25" s="3399"/>
      <c r="N25" s="3400">
        <v>8</v>
      </c>
    </row>
    <row r="26" spans="1:14">
      <c r="A26" s="3060"/>
      <c r="B26" s="3061"/>
      <c r="C26" s="3061"/>
      <c r="D26" s="3061"/>
      <c r="E26" s="3061"/>
      <c r="F26" s="3061"/>
      <c r="G26" s="3062"/>
      <c r="I26" s="3399">
        <v>30</v>
      </c>
      <c r="J26" s="3399">
        <v>90.5</v>
      </c>
      <c r="K26" s="3399">
        <f t="shared" si="0"/>
        <v>4.2000000000000028</v>
      </c>
      <c r="L26" s="3399" t="s">
        <v>3293</v>
      </c>
      <c r="M26" s="3399"/>
      <c r="N26" s="3400">
        <v>5</v>
      </c>
    </row>
    <row r="27" spans="1:14">
      <c r="A27" s="3063" t="s">
        <v>2691</v>
      </c>
      <c r="B27" s="3064"/>
      <c r="C27" s="3064"/>
      <c r="D27" s="3064"/>
      <c r="E27" s="3064"/>
      <c r="F27" s="3064"/>
      <c r="G27" s="3065"/>
      <c r="I27" s="3399">
        <v>35</v>
      </c>
      <c r="J27" s="3399">
        <v>93.8</v>
      </c>
      <c r="K27" s="3399">
        <f t="shared" si="0"/>
        <v>3.2999999999999972</v>
      </c>
      <c r="L27" s="3399" t="s">
        <v>3294</v>
      </c>
      <c r="M27" s="3399"/>
      <c r="N27" s="3400">
        <v>3</v>
      </c>
    </row>
    <row r="28" spans="1:14">
      <c r="A28" s="3063" t="s">
        <v>2692</v>
      </c>
      <c r="B28" s="3064"/>
      <c r="C28" s="3064"/>
      <c r="D28" s="3064"/>
      <c r="E28" s="3064"/>
      <c r="F28" s="3064"/>
      <c r="G28" s="3065"/>
      <c r="I28" s="3399">
        <v>40</v>
      </c>
      <c r="J28" s="3399">
        <v>96.4</v>
      </c>
      <c r="K28" s="3399">
        <f t="shared" si="0"/>
        <v>2.6000000000000085</v>
      </c>
      <c r="L28" s="3399" t="s">
        <v>3295</v>
      </c>
      <c r="M28" s="3399"/>
      <c r="N28" s="3400">
        <v>2</v>
      </c>
    </row>
    <row r="29" spans="1:14">
      <c r="A29" s="3063" t="s">
        <v>2693</v>
      </c>
      <c r="B29" s="3064"/>
      <c r="C29" s="3064"/>
      <c r="D29" s="3064"/>
      <c r="E29" s="3064"/>
      <c r="F29" s="3064"/>
      <c r="G29" s="3065"/>
      <c r="I29" s="3399">
        <v>45</v>
      </c>
      <c r="J29" s="3399">
        <v>98.4</v>
      </c>
      <c r="K29" s="3399">
        <f t="shared" si="0"/>
        <v>2</v>
      </c>
      <c r="L29" s="3399"/>
      <c r="M29" s="3399"/>
    </row>
    <row r="30" spans="1:14">
      <c r="A30" s="3063" t="s">
        <v>2694</v>
      </c>
      <c r="B30" s="3064"/>
      <c r="C30" s="3064"/>
      <c r="D30" s="3064"/>
      <c r="E30" s="3064"/>
      <c r="F30" s="3064"/>
      <c r="G30" s="3065"/>
      <c r="I30" s="3399">
        <v>50</v>
      </c>
      <c r="J30" s="3399">
        <v>100</v>
      </c>
      <c r="K30" s="3399">
        <f t="shared" si="0"/>
        <v>1.5999999999999943</v>
      </c>
      <c r="L30" s="3399"/>
      <c r="M30" s="3399"/>
    </row>
    <row r="31" spans="1:14">
      <c r="A31" s="3063" t="s">
        <v>2695</v>
      </c>
      <c r="B31" s="3064"/>
      <c r="C31" s="3064"/>
      <c r="D31" s="3064"/>
      <c r="E31" s="3064"/>
      <c r="F31" s="3064"/>
      <c r="G31" s="3065"/>
      <c r="I31" s="3399" t="s">
        <v>3296</v>
      </c>
      <c r="J31" s="3399"/>
      <c r="K31" s="3399"/>
      <c r="L31" s="3399"/>
      <c r="M31" s="3399"/>
    </row>
    <row r="32" spans="1:14">
      <c r="A32" s="3063" t="s">
        <v>2696</v>
      </c>
      <c r="B32" s="3064"/>
      <c r="C32" s="3064"/>
      <c r="D32" s="3064"/>
      <c r="E32" s="3064"/>
      <c r="F32" s="3064"/>
      <c r="G32" s="3065"/>
      <c r="I32" s="3399"/>
      <c r="J32" s="3399"/>
      <c r="K32" s="3399"/>
      <c r="L32" s="3399"/>
      <c r="M32" s="3399"/>
    </row>
    <row r="33" spans="1:14">
      <c r="A33" s="3063" t="s">
        <v>2697</v>
      </c>
      <c r="B33" s="3064"/>
      <c r="C33" s="3064"/>
      <c r="D33" s="3064"/>
      <c r="E33" s="3064"/>
      <c r="F33" s="3064"/>
      <c r="G33" s="3065"/>
      <c r="I33" s="3399" t="s">
        <v>3287</v>
      </c>
      <c r="J33" s="3399" t="s">
        <v>3297</v>
      </c>
      <c r="K33" s="3399"/>
      <c r="L33" s="3399"/>
      <c r="M33" s="3399"/>
    </row>
    <row r="34" spans="1:14">
      <c r="A34" s="3063" t="s">
        <v>2698</v>
      </c>
      <c r="B34" s="3064"/>
      <c r="C34" s="3064"/>
      <c r="D34" s="3064"/>
      <c r="E34" s="3064"/>
      <c r="F34" s="3064"/>
      <c r="G34" s="3065"/>
      <c r="I34" s="3399">
        <v>5</v>
      </c>
      <c r="J34" s="3399">
        <v>55.1</v>
      </c>
      <c r="K34" s="3399"/>
      <c r="L34" s="3399"/>
      <c r="M34" s="3399"/>
    </row>
    <row r="35" spans="1:14">
      <c r="A35" s="3063" t="s">
        <v>2699</v>
      </c>
      <c r="B35" s="3064"/>
      <c r="C35" s="3064"/>
      <c r="D35" s="3064"/>
      <c r="E35" s="3064"/>
      <c r="F35" s="3064"/>
      <c r="G35" s="3065"/>
      <c r="I35" s="3399">
        <v>10</v>
      </c>
      <c r="J35" s="3399">
        <v>67</v>
      </c>
      <c r="K35" s="3399">
        <f>J35-J34</f>
        <v>11.899999999999999</v>
      </c>
      <c r="L35" s="3399"/>
      <c r="M35" s="3399"/>
    </row>
    <row r="36" spans="1:14">
      <c r="A36" s="3063" t="s">
        <v>2700</v>
      </c>
      <c r="B36" s="3064"/>
      <c r="C36" s="3064"/>
      <c r="D36" s="3064"/>
      <c r="E36" s="3064"/>
      <c r="F36" s="3064"/>
      <c r="G36" s="3065"/>
      <c r="I36" s="3399">
        <v>15</v>
      </c>
      <c r="J36" s="3399">
        <v>76.3</v>
      </c>
      <c r="K36" s="3399">
        <f t="shared" ref="K36:K41" si="1">J36-J35</f>
        <v>9.2999999999999972</v>
      </c>
      <c r="L36" s="3399" t="s">
        <v>3289</v>
      </c>
      <c r="M36" s="3399"/>
      <c r="N36" s="3400" t="s">
        <v>3290</v>
      </c>
    </row>
    <row r="37" spans="1:14">
      <c r="A37" s="3063" t="s">
        <v>2701</v>
      </c>
      <c r="B37" s="3064"/>
      <c r="C37" s="3064"/>
      <c r="D37" s="3064"/>
      <c r="E37" s="3064"/>
      <c r="F37" s="3064"/>
      <c r="G37" s="3065"/>
      <c r="I37" s="3399">
        <v>20</v>
      </c>
      <c r="J37" s="3399">
        <v>83.6</v>
      </c>
      <c r="K37" s="3399">
        <f t="shared" si="1"/>
        <v>7.2999999999999972</v>
      </c>
      <c r="L37" s="3399" t="s">
        <v>3291</v>
      </c>
      <c r="M37" s="3399"/>
      <c r="N37" s="3400">
        <v>10</v>
      </c>
    </row>
    <row r="38" spans="1:14">
      <c r="A38" s="3063" t="s">
        <v>2702</v>
      </c>
      <c r="B38" s="3064"/>
      <c r="C38" s="3064"/>
      <c r="D38" s="3064"/>
      <c r="E38" s="3064"/>
      <c r="F38" s="3064"/>
      <c r="G38" s="3065"/>
      <c r="I38" s="3399">
        <v>25</v>
      </c>
      <c r="J38" s="3399">
        <v>89.3</v>
      </c>
      <c r="K38" s="3399">
        <f t="shared" si="1"/>
        <v>5.7000000000000028</v>
      </c>
      <c r="L38" s="3399" t="s">
        <v>3292</v>
      </c>
      <c r="M38" s="3399"/>
      <c r="N38" s="3400">
        <v>8</v>
      </c>
    </row>
    <row r="39" spans="1:14">
      <c r="A39" s="3063"/>
      <c r="B39" s="3064"/>
      <c r="C39" s="3064"/>
      <c r="D39" s="3064"/>
      <c r="E39" s="3064"/>
      <c r="F39" s="3064"/>
      <c r="G39" s="3065"/>
      <c r="I39" s="3399">
        <v>30</v>
      </c>
      <c r="J39" s="3399">
        <v>93.8</v>
      </c>
      <c r="K39" s="3399">
        <f t="shared" si="1"/>
        <v>4.5</v>
      </c>
      <c r="L39" s="3399" t="s">
        <v>3293</v>
      </c>
      <c r="M39" s="3399"/>
      <c r="N39" s="3400">
        <v>6</v>
      </c>
    </row>
    <row r="40" spans="1:14">
      <c r="A40" s="3066" t="s">
        <v>2703</v>
      </c>
      <c r="B40" s="3067"/>
      <c r="C40" s="3067"/>
      <c r="D40" s="3067"/>
      <c r="E40" s="3067"/>
      <c r="F40" s="3067"/>
      <c r="G40" s="3068"/>
      <c r="I40" s="3399">
        <v>35</v>
      </c>
      <c r="J40" s="3399">
        <v>97.2</v>
      </c>
      <c r="K40" s="3399">
        <f t="shared" si="1"/>
        <v>3.4000000000000057</v>
      </c>
      <c r="L40" s="3399" t="s">
        <v>3294</v>
      </c>
      <c r="M40" s="3399"/>
      <c r="N40" s="3400">
        <v>3</v>
      </c>
    </row>
    <row r="41" spans="1:14">
      <c r="A41" s="3069" t="s">
        <v>2704</v>
      </c>
      <c r="B41" s="3070" t="s">
        <v>2705</v>
      </c>
      <c r="C41" s="3071" t="s">
        <v>2706</v>
      </c>
      <c r="D41" s="3071" t="s">
        <v>2707</v>
      </c>
      <c r="E41" s="3072"/>
      <c r="F41" s="3073"/>
      <c r="G41" s="3074"/>
      <c r="I41" s="3399">
        <v>40</v>
      </c>
      <c r="J41" s="3399">
        <v>100</v>
      </c>
      <c r="K41" s="3399">
        <f t="shared" si="1"/>
        <v>2.7999999999999972</v>
      </c>
      <c r="L41" s="3399"/>
      <c r="M41" s="3399"/>
    </row>
    <row r="42" spans="1:14">
      <c r="A42" s="3069" t="s">
        <v>2708</v>
      </c>
      <c r="B42" s="3070" t="s">
        <v>2709</v>
      </c>
      <c r="C42" s="3071" t="s">
        <v>2709</v>
      </c>
      <c r="D42" s="3075" t="s">
        <v>2710</v>
      </c>
      <c r="E42" s="3067" t="s">
        <v>2711</v>
      </c>
      <c r="F42" s="3067"/>
      <c r="G42" s="3068"/>
      <c r="I42" s="3399"/>
      <c r="J42" s="3399"/>
      <c r="K42" s="3399"/>
      <c r="L42" s="3399"/>
      <c r="M42" s="3399"/>
    </row>
    <row r="43" spans="1:14">
      <c r="A43" s="3069" t="s">
        <v>2712</v>
      </c>
      <c r="B43" s="3070" t="s">
        <v>2713</v>
      </c>
      <c r="C43" s="3071" t="s">
        <v>2714</v>
      </c>
      <c r="D43" s="3071" t="s">
        <v>2715</v>
      </c>
      <c r="E43" s="3072" t="s">
        <v>2716</v>
      </c>
      <c r="F43" s="3073"/>
      <c r="G43" s="3074"/>
      <c r="I43" s="3399" t="s">
        <v>3287</v>
      </c>
      <c r="J43" s="3399" t="s">
        <v>3298</v>
      </c>
      <c r="K43" s="3399"/>
      <c r="L43" s="3399"/>
      <c r="M43" s="3399"/>
    </row>
    <row r="44" spans="1:14">
      <c r="A44" s="3069" t="s">
        <v>2717</v>
      </c>
      <c r="B44" s="3070" t="s">
        <v>2718</v>
      </c>
      <c r="C44" s="3071" t="s">
        <v>2719</v>
      </c>
      <c r="D44" s="3075">
        <v>0.5</v>
      </c>
      <c r="E44" s="3072" t="s">
        <v>2720</v>
      </c>
      <c r="F44" s="3073"/>
      <c r="G44" s="3074"/>
      <c r="I44" s="3399">
        <v>30</v>
      </c>
      <c r="J44" s="3399">
        <v>81.7</v>
      </c>
      <c r="K44" s="3399"/>
      <c r="L44" s="3399"/>
      <c r="M44" s="3399"/>
    </row>
    <row r="45" spans="1:14" ht="14.25" thickBot="1">
      <c r="A45" s="3076" t="s">
        <v>2721</v>
      </c>
      <c r="B45" s="3077" t="s">
        <v>2709</v>
      </c>
      <c r="C45" s="3078" t="s">
        <v>2709</v>
      </c>
      <c r="D45" s="3078" t="s">
        <v>2722</v>
      </c>
      <c r="E45" s="3079" t="s">
        <v>2723</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3273</v>
      </c>
    </row>
    <row r="50" spans="1:4">
      <c r="A50" s="3394" t="s">
        <v>3263</v>
      </c>
      <c r="B50" s="3394" t="s">
        <v>3260</v>
      </c>
      <c r="C50" s="3394" t="s">
        <v>3261</v>
      </c>
      <c r="D50" s="3394" t="s">
        <v>3262</v>
      </c>
    </row>
    <row r="51" spans="1:4">
      <c r="A51" s="3394" t="s">
        <v>3264</v>
      </c>
      <c r="B51" s="3040">
        <f>B52+B53</f>
        <v>15000</v>
      </c>
      <c r="C51" s="3395">
        <f>D51/B51</f>
        <v>2666.6666666666665</v>
      </c>
      <c r="D51" s="3040">
        <f>D52+D53</f>
        <v>40000000</v>
      </c>
    </row>
    <row r="52" spans="1:4">
      <c r="A52" s="2752" t="s">
        <v>3265</v>
      </c>
      <c r="B52" s="3391">
        <v>10000</v>
      </c>
      <c r="C52" s="3391">
        <v>1500</v>
      </c>
      <c r="D52" s="2357">
        <f>C52*B52</f>
        <v>15000000</v>
      </c>
    </row>
    <row r="53" spans="1:4">
      <c r="A53" s="2752" t="s">
        <v>3266</v>
      </c>
      <c r="B53" s="3391">
        <v>5000</v>
      </c>
      <c r="C53" s="3391">
        <v>5000</v>
      </c>
      <c r="D53" s="2357">
        <f>C53*B53</f>
        <v>25000000</v>
      </c>
    </row>
    <row r="54" spans="1:4">
      <c r="A54" s="3394" t="s">
        <v>3267</v>
      </c>
      <c r="B54" s="3040">
        <f>B51</f>
        <v>15000</v>
      </c>
      <c r="C54" s="3045">
        <v>700</v>
      </c>
      <c r="D54" s="3040">
        <f t="shared" ref="D54:D55" si="3">C54*B54</f>
        <v>10500000</v>
      </c>
    </row>
    <row r="55" spans="1:4">
      <c r="A55" s="3394" t="s">
        <v>3268</v>
      </c>
      <c r="B55" s="3040">
        <f>B51</f>
        <v>15000</v>
      </c>
      <c r="C55" s="3045">
        <v>1500</v>
      </c>
      <c r="D55" s="3040">
        <f t="shared" si="3"/>
        <v>22500000</v>
      </c>
    </row>
    <row r="56" spans="1:4">
      <c r="A56" s="3394" t="s">
        <v>3269</v>
      </c>
      <c r="B56" s="3040">
        <f>B51</f>
        <v>15000</v>
      </c>
      <c r="C56" s="3396">
        <f>C51+C54+C55</f>
        <v>4866.6666666666661</v>
      </c>
      <c r="D56" s="3040">
        <f>D51+D54+D55</f>
        <v>73000000</v>
      </c>
    </row>
    <row r="58" spans="1:4">
      <c r="A58" s="3394" t="s">
        <v>3270</v>
      </c>
      <c r="B58" s="3392">
        <v>0.05</v>
      </c>
      <c r="C58" s="3040">
        <f>C56*(1+B58)</f>
        <v>5110</v>
      </c>
      <c r="D58" s="3040">
        <f>D56*B58</f>
        <v>3650000</v>
      </c>
    </row>
    <row r="60" spans="1:4">
      <c r="A60" s="3394" t="s">
        <v>3271</v>
      </c>
      <c r="B60" s="3045">
        <v>3500</v>
      </c>
      <c r="C60" s="3045">
        <f>C53</f>
        <v>5000</v>
      </c>
      <c r="D60" s="3040">
        <f>C60*B60</f>
        <v>17500000</v>
      </c>
    </row>
    <row r="62" spans="1:4">
      <c r="A62" s="3394" t="s">
        <v>3272</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C19" sqref="C19"/>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1457</v>
      </c>
      <c r="B1" s="3482" t="str">
        <f>IF(B10="北京市","北京市",C10)&amp;F10&amp;A17&amp;"国有建设用地使用权"&amp;B9&amp;"预评估"</f>
        <v>出让国有建设用地使用权抵押价格预评估</v>
      </c>
      <c r="C1" s="3483"/>
      <c r="D1" s="3483"/>
      <c r="E1" s="3483"/>
      <c r="F1" s="3483"/>
      <c r="G1" s="3483"/>
      <c r="H1" s="3483"/>
      <c r="I1" s="3484"/>
      <c r="J1" s="2604"/>
      <c r="K1" s="1972" t="str">
        <f>IF(B10="北京市","北京市",C10)&amp;F10&amp;A17&amp;"国有建设用地使用权"&amp;B9</f>
        <v>出让国有建设用地使用权抵押价格</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1459</v>
      </c>
      <c r="B3" s="1380">
        <v>46000</v>
      </c>
      <c r="C3" s="2533" t="s">
        <v>1513</v>
      </c>
      <c r="D3" s="1380">
        <f>B3</f>
        <v>46000</v>
      </c>
      <c r="E3" s="2604"/>
      <c r="F3" s="2604"/>
      <c r="G3" s="2604"/>
      <c r="H3" s="2604"/>
      <c r="I3" s="2605"/>
      <c r="J3" s="2604"/>
      <c r="K3" s="2588"/>
      <c r="L3" s="2584"/>
      <c r="M3" s="2584"/>
      <c r="N3" s="2585"/>
      <c r="O3" s="2586"/>
      <c r="P3" s="2585"/>
      <c r="Q3" s="2585"/>
      <c r="R3" s="2585"/>
      <c r="S3" s="2585"/>
      <c r="T3" s="2585"/>
      <c r="U3" s="2585"/>
    </row>
    <row r="4" spans="1:21" ht="15" thickBot="1">
      <c r="A4" s="1382" t="s">
        <v>1460</v>
      </c>
      <c r="B4" s="1532" t="s">
        <v>2161</v>
      </c>
      <c r="C4" s="1535">
        <f>SUMIF(土地估价师,B4,估价师及机构信息!E3:E17)</f>
        <v>0</v>
      </c>
      <c r="D4" s="1532" t="s">
        <v>2161</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1987</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1988</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t="s">
        <v>3317</v>
      </c>
      <c r="C8" s="1389"/>
      <c r="D8" s="3488" t="s">
        <v>1464</v>
      </c>
      <c r="E8" s="1533" t="s">
        <v>3318</v>
      </c>
      <c r="F8" s="1390"/>
      <c r="G8" s="2604"/>
      <c r="H8" s="2604"/>
      <c r="I8" s="2605"/>
      <c r="J8" s="2604"/>
      <c r="K8" s="2588"/>
      <c r="L8" s="2584"/>
      <c r="M8" s="2584"/>
      <c r="N8" s="2585"/>
      <c r="O8" s="2586"/>
      <c r="P8" s="2585"/>
      <c r="Q8" s="2585"/>
      <c r="R8" s="2585"/>
      <c r="S8" s="2585"/>
      <c r="T8" s="2585"/>
      <c r="U8" s="2585"/>
    </row>
    <row r="9" spans="1:21" ht="15" thickBot="1">
      <c r="A9" s="2535" t="s">
        <v>1463</v>
      </c>
      <c r="B9" s="1391" t="s">
        <v>3318</v>
      </c>
      <c r="C9" s="1392"/>
      <c r="D9" s="3489"/>
      <c r="E9" s="1391" t="s">
        <v>877</v>
      </c>
      <c r="F9" s="1448"/>
      <c r="G9" s="2607"/>
      <c r="H9" s="2607"/>
      <c r="I9" s="2608"/>
      <c r="J9" s="2604"/>
      <c r="K9" s="2588"/>
      <c r="L9" s="2584"/>
      <c r="M9" s="2584"/>
      <c r="N9" s="2585"/>
      <c r="O9" s="2586"/>
      <c r="P9" s="2585"/>
      <c r="Q9" s="2585"/>
      <c r="R9" s="2585"/>
      <c r="S9" s="2585"/>
      <c r="T9" s="2585"/>
      <c r="U9" s="2585"/>
    </row>
    <row r="10" spans="1:21" ht="15" thickTop="1">
      <c r="A10" s="2536" t="s">
        <v>1517</v>
      </c>
      <c r="B10" s="1426" t="s">
        <v>3319</v>
      </c>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85"/>
      <c r="C12" s="3486"/>
      <c r="D12" s="3487"/>
      <c r="E12" s="1408" t="s">
        <v>1579</v>
      </c>
      <c r="F12" s="3503" t="s">
        <v>2162</v>
      </c>
      <c r="G12" s="3504"/>
      <c r="H12" s="3504"/>
      <c r="I12" s="3505"/>
      <c r="J12" s="2604"/>
      <c r="K12" s="2588"/>
      <c r="L12" s="2584"/>
      <c r="M12" s="2584"/>
      <c r="N12" s="2585"/>
      <c r="O12" s="2586"/>
      <c r="P12" s="2585"/>
      <c r="Q12" s="2585"/>
      <c r="R12" s="2585"/>
      <c r="S12" s="2585"/>
      <c r="T12" s="2585"/>
      <c r="U12" s="2585"/>
    </row>
    <row r="13" spans="1:21">
      <c r="A13" s="1400" t="s">
        <v>1577</v>
      </c>
      <c r="B13" s="3485"/>
      <c r="C13" s="3486"/>
      <c r="D13" s="3487"/>
      <c r="E13" s="1408" t="s">
        <v>1579</v>
      </c>
      <c r="F13" s="3503" t="s">
        <v>2163</v>
      </c>
      <c r="G13" s="3504"/>
      <c r="H13" s="3504"/>
      <c r="I13" s="3505"/>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2725</v>
      </c>
      <c r="J15" s="2604"/>
      <c r="K15" s="2588"/>
      <c r="L15" s="2584"/>
      <c r="M15" s="2584"/>
      <c r="N15" s="2585"/>
      <c r="O15" s="2586"/>
      <c r="P15" s="2585"/>
      <c r="Q15" s="2585"/>
      <c r="R15" s="2585"/>
      <c r="S15" s="2585"/>
      <c r="T15" s="2585"/>
      <c r="U15" s="2585"/>
    </row>
    <row r="16" spans="1:21" ht="28.5">
      <c r="A16" s="2538" t="s">
        <v>1467</v>
      </c>
      <c r="B16" s="1408" t="s">
        <v>1468</v>
      </c>
      <c r="C16" s="1467" t="s">
        <v>1469</v>
      </c>
      <c r="D16" s="1429" t="s">
        <v>2726</v>
      </c>
      <c r="E16" s="1429" t="s">
        <v>1212</v>
      </c>
      <c r="F16" s="1429" t="s">
        <v>2727</v>
      </c>
      <c r="G16" s="1429" t="s">
        <v>2728</v>
      </c>
      <c r="H16" s="1399" t="s">
        <v>776</v>
      </c>
      <c r="I16" s="1399" t="s">
        <v>2725</v>
      </c>
      <c r="J16" s="2604"/>
      <c r="K16" s="1399" t="str">
        <f>IF(D17="","",D16&amp;TEXT(D17,"yyyy年m月d日;;"))</f>
        <v>商业2053年6月20日</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2" t="s">
        <v>2729</v>
      </c>
      <c r="B17" s="2539" t="s">
        <v>1473</v>
      </c>
      <c r="C17" s="3081">
        <v>67012</v>
      </c>
      <c r="D17" s="3081">
        <v>56055</v>
      </c>
      <c r="E17" s="3081"/>
      <c r="F17" s="3081"/>
      <c r="G17" s="3081"/>
      <c r="H17" s="3081"/>
      <c r="I17" s="3081"/>
      <c r="J17" s="2604"/>
      <c r="K17" s="2583" t="str">
        <f>CONCATENATE(K16,L16,M16,N16,O16,P16,Q16,R16,S16,T16,,U16)</f>
        <v>商业2053年6月20日</v>
      </c>
      <c r="L17" s="2584"/>
      <c r="M17" s="2584"/>
      <c r="N17" s="2585"/>
      <c r="O17" s="2586"/>
      <c r="P17" s="2585"/>
      <c r="Q17" s="2585"/>
      <c r="R17" s="2585"/>
      <c r="S17" s="2585"/>
      <c r="T17" s="2585"/>
      <c r="U17" s="2585"/>
    </row>
    <row r="18" spans="1:21">
      <c r="A18" s="1464"/>
      <c r="B18" s="2539" t="s">
        <v>1474</v>
      </c>
      <c r="C18" s="1397">
        <v>70</v>
      </c>
      <c r="D18" s="1397">
        <v>40</v>
      </c>
      <c r="E18" s="1397"/>
      <c r="F18" s="1397"/>
      <c r="G18" s="1397"/>
      <c r="H18" s="1397"/>
      <c r="I18" s="1397"/>
      <c r="J18" s="2604"/>
      <c r="K18" s="2588"/>
      <c r="L18" s="2584"/>
      <c r="M18" s="2584"/>
      <c r="N18" s="2585"/>
      <c r="O18" s="2586"/>
      <c r="P18" s="2585"/>
      <c r="Q18" s="2585"/>
      <c r="R18" s="2585"/>
      <c r="S18" s="2585"/>
      <c r="T18" s="2585"/>
      <c r="U18" s="2585"/>
    </row>
    <row r="19" spans="1:21">
      <c r="A19" s="1464"/>
      <c r="B19" s="1378" t="s">
        <v>1475</v>
      </c>
      <c r="C19" s="1459">
        <f>IF(A17="出让",IF(C17="","",ROUNDDOWN(MIN((C17-$D$3)/365,C18),2)),C18)</f>
        <v>57.56</v>
      </c>
      <c r="D19" s="1459">
        <f>IF(A17="出让",IF(D17="","",ROUNDDOWN(MIN((D17-$D$3)/365,D18),2)),D18)</f>
        <v>27.54</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500"/>
      <c r="E20" s="3501"/>
      <c r="F20" s="3501"/>
      <c r="G20" s="3501"/>
      <c r="H20" s="3501"/>
      <c r="I20" s="3502"/>
      <c r="J20" s="2604"/>
      <c r="K20" s="2588"/>
      <c r="L20" s="2584"/>
      <c r="M20" s="2584"/>
      <c r="N20" s="2585"/>
      <c r="O20" s="2586"/>
      <c r="P20" s="2585"/>
      <c r="Q20" s="2585"/>
      <c r="R20" s="2585"/>
      <c r="S20" s="2585"/>
      <c r="T20" s="2585"/>
      <c r="U20" s="2585"/>
    </row>
    <row r="21" spans="1:21">
      <c r="A21" s="1464" t="s">
        <v>1476</v>
      </c>
      <c r="B21" s="1465" t="s">
        <v>1477</v>
      </c>
      <c r="C21" s="1460">
        <f>'数据-汇总表'!E3</f>
        <v>100027.98000000001</v>
      </c>
      <c r="D21" s="1461" t="s">
        <v>1478</v>
      </c>
      <c r="E21" s="3490" t="s">
        <v>1516</v>
      </c>
      <c r="F21" s="3491"/>
      <c r="G21" s="3491"/>
      <c r="H21" s="3491"/>
      <c r="I21" s="3492"/>
      <c r="J21" s="2604"/>
      <c r="K21" s="2588"/>
      <c r="L21" s="2584"/>
      <c r="M21" s="2584"/>
      <c r="N21" s="2585"/>
      <c r="O21" s="2586"/>
      <c r="P21" s="2585"/>
      <c r="Q21" s="2585"/>
      <c r="R21" s="2585"/>
      <c r="S21" s="2585"/>
      <c r="T21" s="2585"/>
      <c r="U21" s="2585"/>
    </row>
    <row r="22" spans="1:21">
      <c r="A22" s="2367" t="s">
        <v>877</v>
      </c>
      <c r="B22" s="1379" t="s">
        <v>1479</v>
      </c>
      <c r="C22" s="1399">
        <f>'数据-汇总表'!D3</f>
        <v>33342.660000000003</v>
      </c>
      <c r="D22" s="1400" t="s">
        <v>1478</v>
      </c>
      <c r="E22" s="3490" t="s">
        <v>2164</v>
      </c>
      <c r="F22" s="3491"/>
      <c r="G22" s="3491"/>
      <c r="H22" s="3491"/>
      <c r="I22" s="3492"/>
      <c r="J22" s="2604"/>
      <c r="K22" s="2588"/>
      <c r="L22" s="2584"/>
      <c r="M22" s="2584"/>
      <c r="N22" s="2585"/>
      <c r="O22" s="2586"/>
      <c r="P22" s="2585"/>
      <c r="Q22" s="2585"/>
      <c r="R22" s="2585"/>
      <c r="S22" s="2585"/>
      <c r="T22" s="2585"/>
      <c r="U22" s="2585"/>
    </row>
    <row r="23" spans="1:21" ht="29.25"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93" t="s">
        <v>1484</v>
      </c>
      <c r="C24" s="3494"/>
      <c r="D24" s="3495" t="s">
        <v>1485</v>
      </c>
      <c r="E24" s="3496"/>
      <c r="F24" s="1415" t="s">
        <v>1486</v>
      </c>
      <c r="G24" s="2604"/>
      <c r="H24" s="2604"/>
      <c r="I24" s="2605"/>
      <c r="J24" s="2604"/>
      <c r="K24" s="3481"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1682</v>
      </c>
      <c r="C25" s="1416" t="s">
        <v>1488</v>
      </c>
      <c r="D25" s="1417"/>
      <c r="E25" s="1418" t="s">
        <v>877</v>
      </c>
      <c r="F25" s="1419"/>
      <c r="G25" s="2604"/>
      <c r="H25" s="2604"/>
      <c r="I25" s="2605"/>
      <c r="J25" s="2604"/>
      <c r="K25" s="3481"/>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1489</v>
      </c>
      <c r="C26" s="1416" t="s">
        <v>1683</v>
      </c>
      <c r="D26" s="2604"/>
      <c r="E26" s="2604"/>
      <c r="F26" s="2609"/>
      <c r="G26" s="2604"/>
      <c r="H26" s="2604"/>
      <c r="I26" s="2605"/>
      <c r="J26" s="2604"/>
      <c r="K26" s="3481"/>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5" thickTop="1">
      <c r="A31" s="3508" t="s">
        <v>1519</v>
      </c>
      <c r="B31" s="1465" t="s">
        <v>1520</v>
      </c>
      <c r="C31" s="3506"/>
      <c r="D31" s="3507"/>
      <c r="E31" s="2604"/>
      <c r="F31" s="2604"/>
      <c r="G31" s="2604"/>
      <c r="H31" s="2604"/>
      <c r="I31" s="2605"/>
      <c r="J31" s="2604"/>
      <c r="K31" s="2591"/>
      <c r="L31" s="2585"/>
      <c r="M31" s="2585"/>
      <c r="N31" s="2585"/>
      <c r="O31" s="2585"/>
      <c r="P31" s="2585"/>
      <c r="Q31" s="2585"/>
      <c r="R31" s="2585"/>
      <c r="S31" s="2585"/>
      <c r="T31" s="2585"/>
      <c r="U31" s="2585"/>
    </row>
    <row r="32" spans="1:21">
      <c r="A32" s="3508"/>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508"/>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509"/>
      <c r="B34" s="1379" t="s">
        <v>1523</v>
      </c>
      <c r="C34" s="3510"/>
      <c r="D34" s="3511"/>
      <c r="E34" s="2604"/>
      <c r="F34" s="2604"/>
      <c r="G34" s="2604"/>
      <c r="H34" s="2604"/>
      <c r="I34" s="2605"/>
      <c r="J34" s="2604"/>
      <c r="K34" s="2591"/>
      <c r="L34" s="2585"/>
      <c r="M34" s="2585"/>
      <c r="N34" s="2585"/>
      <c r="O34" s="2585"/>
      <c r="P34" s="2585"/>
      <c r="Q34" s="2585"/>
      <c r="R34" s="2585"/>
      <c r="S34" s="2585"/>
      <c r="T34" s="2585"/>
      <c r="U34" s="2585"/>
    </row>
    <row r="35" spans="1:28">
      <c r="A35" s="3512" t="s">
        <v>785</v>
      </c>
      <c r="B35" s="1429"/>
      <c r="C35" s="1473" t="str">
        <f>IF(B35="场地平整","——","具体情况：")</f>
        <v>具体情况：</v>
      </c>
      <c r="D35" s="3514"/>
      <c r="E35" s="3515"/>
      <c r="F35" s="3515"/>
      <c r="G35" s="3515"/>
      <c r="H35" s="3515"/>
      <c r="I35" s="3516"/>
      <c r="J35" s="2604"/>
      <c r="K35" s="2592"/>
      <c r="L35" s="2584"/>
      <c r="M35" s="2584"/>
      <c r="N35" s="2585"/>
      <c r="O35" s="2586"/>
      <c r="P35" s="2585"/>
      <c r="Q35" s="2585"/>
      <c r="R35" s="2585"/>
      <c r="S35" s="2585"/>
      <c r="T35" s="2585"/>
      <c r="U35" s="2585"/>
    </row>
    <row r="36" spans="1:28">
      <c r="A36" s="3508"/>
      <c r="B36" s="3517" t="s">
        <v>1572</v>
      </c>
      <c r="C36" s="3518"/>
      <c r="D36" s="1488"/>
      <c r="E36" s="3519"/>
      <c r="F36" s="3519"/>
      <c r="G36" s="1400" t="str">
        <f>IF(B35="场地未平整","估价结果处理","")</f>
        <v/>
      </c>
      <c r="H36" s="3520"/>
      <c r="I36" s="3520"/>
      <c r="J36" s="2604"/>
      <c r="K36" s="2592"/>
      <c r="L36" s="2584"/>
      <c r="M36" s="2584"/>
      <c r="N36" s="2585"/>
      <c r="O36" s="2586"/>
      <c r="P36" s="2585"/>
      <c r="Q36" s="2585"/>
      <c r="R36" s="2585"/>
      <c r="S36" s="2585"/>
      <c r="T36" s="2585"/>
      <c r="U36" s="2585"/>
    </row>
    <row r="37" spans="1:28" ht="28.5">
      <c r="A37" s="3508"/>
      <c r="B37" s="3497"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508"/>
      <c r="B38" s="3498"/>
      <c r="C38" s="1387" t="s">
        <v>788</v>
      </c>
      <c r="D38" s="1487">
        <f>ROUNDDOWN(MIN(('数据-取费表'!$B$2-D37)/365,D34),1)</f>
        <v>126</v>
      </c>
      <c r="E38" s="1434" t="s">
        <v>789</v>
      </c>
      <c r="F38" s="2604"/>
      <c r="G38" s="2604"/>
      <c r="H38" s="2604"/>
      <c r="I38" s="2605"/>
      <c r="J38" s="2604"/>
      <c r="K38" s="2592"/>
      <c r="L38" s="2585"/>
      <c r="M38" s="2585"/>
      <c r="N38" s="2585"/>
      <c r="O38" s="2585"/>
      <c r="P38" s="2585"/>
      <c r="Q38" s="2585"/>
      <c r="R38" s="2585"/>
      <c r="S38" s="2585"/>
      <c r="T38" s="2585"/>
      <c r="U38" s="2585"/>
    </row>
    <row r="39" spans="1:28">
      <c r="A39" s="3509"/>
      <c r="B39" s="3499"/>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80" t="s">
        <v>1503</v>
      </c>
      <c r="T40" s="1408" t="str">
        <f>NUMBERSTRING(7-K40,1)&amp;"通"</f>
        <v>七通</v>
      </c>
      <c r="U40" s="2585"/>
    </row>
    <row r="41" spans="1:28">
      <c r="A41" s="1381"/>
      <c r="B41" s="3513" t="s">
        <v>1250</v>
      </c>
      <c r="C41" s="3513"/>
      <c r="D41" s="3513"/>
      <c r="E41" s="3513"/>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80"/>
      <c r="T41" s="1439" t="str">
        <f>IF(T40="一通",L41,IF(T40="二通",M41,IF(T40="三通",N41,IF(T40="四通",O41,IF(T40="五通",P41,IF(T40="六通",Q41,R41))))))</f>
        <v>、、、、、、</v>
      </c>
      <c r="U41" s="2585"/>
    </row>
    <row r="42" spans="1:28">
      <c r="A42" s="1441"/>
      <c r="B42" s="1467" t="s">
        <v>1422</v>
      </c>
      <c r="C42" s="1467" t="s">
        <v>1423</v>
      </c>
      <c r="D42" s="1467" t="s">
        <v>1424</v>
      </c>
      <c r="E42" s="1467" t="s">
        <v>2730</v>
      </c>
      <c r="F42" s="1467" t="s">
        <v>2731</v>
      </c>
      <c r="G42" s="2604"/>
      <c r="H42" s="2604"/>
      <c r="I42" s="2605"/>
      <c r="J42" s="2604"/>
      <c r="K42" s="2588"/>
      <c r="L42" s="2584"/>
      <c r="M42" s="2584"/>
      <c r="N42" s="2585"/>
      <c r="O42" s="2586"/>
      <c r="P42" s="2585"/>
      <c r="Q42" s="2585"/>
      <c r="R42" s="2585"/>
      <c r="S42" s="2585"/>
      <c r="T42" s="2585"/>
      <c r="U42" s="2585"/>
    </row>
    <row r="43" spans="1:28">
      <c r="A43" s="2560" t="s">
        <v>1235</v>
      </c>
      <c r="B43" s="1443"/>
      <c r="C43" s="1443"/>
      <c r="D43" s="1443"/>
      <c r="E43" s="1443"/>
      <c r="F43" s="1443"/>
      <c r="G43" s="2604"/>
      <c r="H43" s="2604"/>
      <c r="I43" s="2605"/>
      <c r="J43" s="2604"/>
      <c r="K43" s="2588"/>
      <c r="L43" s="2584"/>
      <c r="M43" s="2584"/>
      <c r="N43" s="2585"/>
      <c r="O43" s="2586"/>
      <c r="P43" s="2585"/>
      <c r="Q43" s="2585"/>
      <c r="R43" s="2585"/>
      <c r="S43" s="2585"/>
      <c r="T43" s="2585"/>
      <c r="U43" s="2585"/>
    </row>
    <row r="44" spans="1:28">
      <c r="A44" s="2560" t="s">
        <v>1236</v>
      </c>
      <c r="B44" s="1443"/>
      <c r="C44" s="1443"/>
      <c r="D44" s="1443"/>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2165</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AT20" sqref="AT20"/>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v>33342.660000000003</v>
      </c>
      <c r="B3" s="19">
        <f>IF(C3="否",G5-AT5,G5)</f>
        <v>100027.98000000001</v>
      </c>
      <c r="C3" s="20" t="s">
        <v>3624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120033.58000000002</v>
      </c>
      <c r="H5" s="23">
        <f t="shared" ref="H5:AT5" si="0">SUM(H13:H641)</f>
        <v>100027.98000000001</v>
      </c>
      <c r="I5" s="23">
        <f t="shared" si="0"/>
        <v>80022.38</v>
      </c>
      <c r="J5" s="23">
        <f t="shared" si="0"/>
        <v>0</v>
      </c>
      <c r="K5" s="23">
        <f t="shared" si="0"/>
        <v>20005.599999999999</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20005.599999999999</v>
      </c>
      <c r="AU5" s="903"/>
      <c r="AV5" s="22" t="s">
        <v>134</v>
      </c>
      <c r="AW5" s="904"/>
      <c r="AX5" s="904"/>
      <c r="AY5" s="24" t="s">
        <v>2</v>
      </c>
      <c r="AZ5" s="25">
        <f t="shared" ref="AZ5:BT5" si="1">SUM(AZ13:AZ641)</f>
        <v>100027.98000000001</v>
      </c>
      <c r="BA5" s="25">
        <f t="shared" si="1"/>
        <v>100027.98000000001</v>
      </c>
      <c r="BB5" s="25">
        <f t="shared" si="1"/>
        <v>80022.38</v>
      </c>
      <c r="BC5" s="25">
        <f t="shared" si="1"/>
        <v>20005.599999999999</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33342.660000000003</v>
      </c>
      <c r="F6" s="23" t="s">
        <v>0</v>
      </c>
      <c r="G6" s="23" t="s">
        <v>1</v>
      </c>
      <c r="H6" s="29">
        <f>SUMIF(I$12:AB$12,"总值",I6:AB6)</f>
        <v>33342.660000000003</v>
      </c>
      <c r="I6" s="23">
        <f t="shared" ref="I6:AB6" si="2">ROUND($A$3*I5/$B$3,2)</f>
        <v>26674.13</v>
      </c>
      <c r="J6" s="23">
        <f t="shared" si="2"/>
        <v>0</v>
      </c>
      <c r="K6" s="23">
        <f t="shared" si="2"/>
        <v>6668.53</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33342.660000000003</v>
      </c>
      <c r="AZ6" s="23" t="s">
        <v>2</v>
      </c>
      <c r="BA6" s="23">
        <f>ROUND($AY$6*BA5/$AZ$5,2)</f>
        <v>33342.660000000003</v>
      </c>
      <c r="BB6" s="23">
        <f>ROUND($AY$6*BB5/$AZ$5,2)</f>
        <v>26674.13</v>
      </c>
      <c r="BC6" s="23">
        <f t="shared" ref="BC6:BH6" si="4">ROUND($AY$6*BC5/$AZ$5,2)</f>
        <v>6668.53</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3323</v>
      </c>
      <c r="J9" s="47"/>
      <c r="K9" s="2305" t="s">
        <v>3323</v>
      </c>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851</v>
      </c>
      <c r="J10" s="47"/>
      <c r="K10" s="2307" t="s">
        <v>2726</v>
      </c>
      <c r="L10" s="47"/>
      <c r="M10" s="2307"/>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t="s">
        <v>3320</v>
      </c>
      <c r="D13" s="2302" t="s">
        <v>3322</v>
      </c>
      <c r="E13" s="23">
        <f t="shared" ref="E13:E20" si="6">IF($C$3="是",ROUND($A$3*G13/$B$3,2),ROUND($A$3*(G13-AT13)/$B$3,2))</f>
        <v>26674.13</v>
      </c>
      <c r="F13" s="76"/>
      <c r="G13" s="77">
        <f t="shared" ref="G13:G20" si="7">H13+AC13+AT13</f>
        <v>100027.98000000001</v>
      </c>
      <c r="H13" s="29">
        <f t="shared" ref="H13:H20" si="8">SUMIF(I$12:AB$12,"总值",I13:AB13)</f>
        <v>80022.38</v>
      </c>
      <c r="I13" s="2304">
        <f>ROUND(A3*3*0.8,2)</f>
        <v>80022.38</v>
      </c>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v>20005.599999999999</v>
      </c>
      <c r="AU13" s="2310"/>
      <c r="AV13" s="14">
        <f t="shared" ref="AV13:AX20" si="10">A13</f>
        <v>0</v>
      </c>
      <c r="AW13" s="14">
        <f t="shared" si="10"/>
        <v>0</v>
      </c>
      <c r="AX13" s="14" t="str">
        <f t="shared" si="10"/>
        <v>住宅</v>
      </c>
      <c r="AY13" s="910">
        <f t="shared" ref="AY13:AY20" si="11">ROUND($AY$6*AZ13/$AZ$5,2)</f>
        <v>26674.13</v>
      </c>
      <c r="AZ13" s="23">
        <f t="shared" ref="AZ13:AZ20" si="12">BA13+BL13</f>
        <v>80022.38</v>
      </c>
      <c r="BA13" s="23">
        <f t="shared" ref="BA13:BA20" si="13">SUM(BB13:BK13)</f>
        <v>80022.38</v>
      </c>
      <c r="BB13" s="23">
        <f t="shared" ref="BB13:BB20" si="14">IF($D13="是",I13-J13,0)</f>
        <v>80022.38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t="s">
        <v>3321</v>
      </c>
      <c r="D14" s="2302" t="s">
        <v>3322</v>
      </c>
      <c r="E14" s="23">
        <f t="shared" si="6"/>
        <v>6668.53</v>
      </c>
      <c r="F14" s="76"/>
      <c r="G14" s="77">
        <f t="shared" si="7"/>
        <v>20005.599999999999</v>
      </c>
      <c r="H14" s="29">
        <f t="shared" si="8"/>
        <v>20005.599999999999</v>
      </c>
      <c r="I14" s="2304"/>
      <c r="J14" s="2304"/>
      <c r="K14" s="2304">
        <f>ROUND(A3*3*0.2,2)</f>
        <v>20005.599999999999</v>
      </c>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t="str">
        <f t="shared" si="10"/>
        <v>商业</v>
      </c>
      <c r="AY14" s="910">
        <f t="shared" si="11"/>
        <v>6668.53</v>
      </c>
      <c r="AZ14" s="23">
        <f t="shared" si="12"/>
        <v>20005.599999999999</v>
      </c>
      <c r="BA14" s="23">
        <f t="shared" si="13"/>
        <v>20005.599999999999</v>
      </c>
      <c r="BB14" s="23">
        <f t="shared" si="14"/>
        <v>0</v>
      </c>
      <c r="BC14" s="23">
        <f t="shared" si="15"/>
        <v>20005.599999999999</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K28" sqref="K28"/>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530" t="s">
        <v>169</v>
      </c>
      <c r="B2" s="3530"/>
      <c r="C2" s="3530"/>
      <c r="D2" s="1632" t="s">
        <v>170</v>
      </c>
      <c r="E2" s="97" t="s">
        <v>171</v>
      </c>
      <c r="F2" s="2611"/>
      <c r="G2" s="1042"/>
      <c r="H2" s="1043"/>
      <c r="I2" s="1044" t="s">
        <v>795</v>
      </c>
      <c r="J2" s="2611"/>
      <c r="K2" s="2611"/>
      <c r="L2" s="2611"/>
      <c r="M2" s="2611"/>
      <c r="N2" s="2611"/>
      <c r="O2" s="2611"/>
      <c r="P2" s="2611"/>
    </row>
    <row r="3" spans="1:16" ht="15.75" thickBot="1">
      <c r="A3" s="3531" t="s">
        <v>172</v>
      </c>
      <c r="B3" s="3531"/>
      <c r="C3" s="3531"/>
      <c r="D3" s="98">
        <f>'数据-基础表'!AY6</f>
        <v>33342.660000000003</v>
      </c>
      <c r="E3" s="98">
        <f>'数据-基础表'!AZ5</f>
        <v>100027.98000000001</v>
      </c>
      <c r="F3" s="2611"/>
      <c r="G3" s="106" t="s">
        <v>796</v>
      </c>
      <c r="H3" s="102" t="s">
        <v>797</v>
      </c>
      <c r="I3" s="997">
        <f>ROUND('数据-基础表'!B3/'数据-基础表'!A3,2)</f>
        <v>3</v>
      </c>
      <c r="J3" s="2611"/>
      <c r="K3" s="2611"/>
      <c r="L3" s="2611"/>
      <c r="M3" s="2611"/>
      <c r="N3" s="2611"/>
      <c r="O3" s="2611"/>
      <c r="P3" s="2611"/>
    </row>
    <row r="4" spans="1:16" ht="15">
      <c r="A4" s="3532"/>
      <c r="B4" s="3533"/>
      <c r="C4" s="3534"/>
      <c r="D4" s="99" t="s">
        <v>170</v>
      </c>
      <c r="E4" s="100" t="s">
        <v>171</v>
      </c>
      <c r="F4" s="2611"/>
      <c r="G4" s="119"/>
      <c r="H4" s="102" t="s">
        <v>798</v>
      </c>
      <c r="I4" s="997">
        <f>ROUND(SUMIF('数据-基础表'!I9:AS9,"地上",'数据-基础表'!I5:AS5)/'数据-基础表'!A3,2)</f>
        <v>3</v>
      </c>
      <c r="J4" s="2611"/>
      <c r="K4" s="2611"/>
      <c r="L4" s="2611"/>
      <c r="M4" s="2611"/>
      <c r="N4" s="2611"/>
      <c r="O4" s="2611"/>
      <c r="P4" s="2611"/>
    </row>
    <row r="5" spans="1:16">
      <c r="A5" s="101" t="s">
        <v>173</v>
      </c>
      <c r="B5" s="3535" t="s">
        <v>196</v>
      </c>
      <c r="C5" s="3535"/>
      <c r="D5" s="102">
        <f>ROUND($D$3*E5/$E$3,2)</f>
        <v>26674.13</v>
      </c>
      <c r="E5" s="103">
        <f>SUMIF('数据-基础表'!$11:$11,"住宅",'数据-基础表'!$5:$5)</f>
        <v>80022.38</v>
      </c>
      <c r="F5" s="2611"/>
      <c r="G5" s="106" t="s">
        <v>799</v>
      </c>
      <c r="H5" s="102" t="s">
        <v>797</v>
      </c>
      <c r="I5" s="997">
        <f>ROUND(E31/D31,2)</f>
        <v>3</v>
      </c>
      <c r="J5" s="2611"/>
      <c r="K5" s="2611"/>
      <c r="L5" s="2611"/>
      <c r="M5" s="2611"/>
      <c r="N5" s="2611"/>
      <c r="O5" s="2611"/>
      <c r="P5" s="2611"/>
    </row>
    <row r="6" spans="1:16" ht="15" thickBot="1">
      <c r="A6" s="104"/>
      <c r="B6" s="3535" t="s">
        <v>174</v>
      </c>
      <c r="C6" s="3535"/>
      <c r="D6" s="102">
        <f>ROUND($D$3*E6/$E$3,2)</f>
        <v>6668.53</v>
      </c>
      <c r="E6" s="103">
        <f>E3-E5</f>
        <v>20005.600000000006</v>
      </c>
      <c r="F6" s="2611"/>
      <c r="G6" s="119"/>
      <c r="H6" s="102" t="s">
        <v>798</v>
      </c>
      <c r="I6" s="997">
        <f>ROUND(F31/D31,2)</f>
        <v>3</v>
      </c>
      <c r="J6" s="2611"/>
      <c r="K6" s="2611"/>
      <c r="L6" s="2611"/>
      <c r="M6" s="2611"/>
      <c r="N6" s="2611"/>
      <c r="O6" s="2611"/>
      <c r="P6" s="2611"/>
    </row>
    <row r="7" spans="1:16" ht="15">
      <c r="A7" s="3527"/>
      <c r="B7" s="3528"/>
      <c r="C7" s="3529"/>
      <c r="D7" s="99" t="s">
        <v>170</v>
      </c>
      <c r="E7" s="105" t="s">
        <v>197</v>
      </c>
      <c r="F7" s="2611"/>
      <c r="G7" s="1002" t="s">
        <v>1180</v>
      </c>
      <c r="H7" s="1003"/>
      <c r="I7" s="127"/>
      <c r="J7" s="2611"/>
      <c r="K7" s="2611"/>
      <c r="L7" s="2611"/>
      <c r="M7" s="2611"/>
      <c r="N7" s="2611"/>
      <c r="O7" s="2611"/>
      <c r="P7" s="2611"/>
    </row>
    <row r="8" spans="1:16">
      <c r="A8" s="101" t="s">
        <v>175</v>
      </c>
      <c r="B8" s="106" t="s">
        <v>176</v>
      </c>
      <c r="C8" s="102" t="s">
        <v>177</v>
      </c>
      <c r="D8" s="102">
        <f t="shared" ref="D8:D15" si="0">ROUND($D$3*E8/$E$3,2)</f>
        <v>33342.660000000003</v>
      </c>
      <c r="E8" s="107">
        <f>SUMIF('数据-基础表'!BB10:BK10,"地上",'数据-基础表'!BB5:BK5)</f>
        <v>100027.98000000001</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1691</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33342.660000000003</v>
      </c>
      <c r="E16" s="111">
        <f>SUM(E8:E15)</f>
        <v>100027.98000000001</v>
      </c>
      <c r="F16" s="2611"/>
      <c r="G16" s="2611"/>
      <c r="H16" s="883" t="s">
        <v>185</v>
      </c>
      <c r="I16" s="884"/>
      <c r="J16" s="1634"/>
      <c r="K16" s="3521" t="s">
        <v>1849</v>
      </c>
      <c r="L16" s="3522"/>
      <c r="M16" s="3522"/>
      <c r="N16" s="3522"/>
      <c r="O16" s="3522"/>
      <c r="P16" s="3523"/>
    </row>
    <row r="17" spans="1:19" ht="15">
      <c r="A17" s="112" t="s">
        <v>182</v>
      </c>
      <c r="B17" s="113" t="s">
        <v>183</v>
      </c>
      <c r="C17" s="1887" t="s">
        <v>1670</v>
      </c>
      <c r="D17" s="99" t="s">
        <v>170</v>
      </c>
      <c r="E17" s="115" t="s">
        <v>171</v>
      </c>
      <c r="F17" s="116"/>
      <c r="G17" s="1159"/>
      <c r="H17" s="885" t="s">
        <v>184</v>
      </c>
      <c r="I17" s="886" t="s">
        <v>1669</v>
      </c>
      <c r="J17" s="1634"/>
      <c r="K17" s="3524" t="s">
        <v>1850</v>
      </c>
      <c r="L17" s="3525"/>
      <c r="M17" s="3526"/>
      <c r="N17" s="3524" t="s">
        <v>1851</v>
      </c>
      <c r="O17" s="3525"/>
      <c r="P17" s="3526"/>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2311" t="s">
        <v>3324</v>
      </c>
      <c r="D19" s="102">
        <f t="shared" ref="D19:D26" si="1">ROUND($D$3*E19/$E$3,2)</f>
        <v>26674.13</v>
      </c>
      <c r="E19" s="124">
        <f t="shared" ref="E19:E26" si="2">SUM(F19:G19)</f>
        <v>80022.38</v>
      </c>
      <c r="F19" s="2612">
        <f>'数据-基础表'!I13</f>
        <v>80022.38</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26674.13</v>
      </c>
      <c r="S19" s="124">
        <f t="shared" si="5"/>
        <v>80022.38</v>
      </c>
    </row>
    <row r="20" spans="1:19">
      <c r="A20" s="123"/>
      <c r="B20" s="106" t="s">
        <v>192</v>
      </c>
      <c r="C20" s="2311" t="s">
        <v>3325</v>
      </c>
      <c r="D20" s="102">
        <f t="shared" si="1"/>
        <v>6668.53</v>
      </c>
      <c r="E20" s="124">
        <f t="shared" si="2"/>
        <v>20005.599999999999</v>
      </c>
      <c r="F20" s="2612">
        <f>'数据-基础表'!K14</f>
        <v>20005.599999999999</v>
      </c>
      <c r="G20" s="2613"/>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6668.53</v>
      </c>
      <c r="S20" s="124">
        <f t="shared" si="5"/>
        <v>20005.599999999999</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4"/>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4"/>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4"/>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4"/>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33342.660000000003</v>
      </c>
      <c r="E27" s="129">
        <f>IF(SUM(E19:E26)='数据-基础表'!BA5,SUM(E19:E26),IF(F27="地上面积有误","面积有误","地下面积有误"))</f>
        <v>100027.98000000001</v>
      </c>
      <c r="F27" s="124">
        <f>IF(SUM(F19:F26)=E8,SUM(F19:F26),"地上面积有误")</f>
        <v>100027.98000000001</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33342.660000000003</v>
      </c>
      <c r="S27" s="102">
        <f>IF(SUM(S19:S26)=$E$3,SUM(S19:S26),SUM(S19:S26)&amp;"误差"&amp;ROUND(SUM(S19:S26)-E3,2))</f>
        <v>100027.98000000001</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1677</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1679</v>
      </c>
      <c r="D31" s="1163">
        <f>D27+D30</f>
        <v>33342.660000000003</v>
      </c>
      <c r="E31" s="1163">
        <f>E27+E30</f>
        <v>100027.98000000001</v>
      </c>
      <c r="F31" s="1164">
        <f>F27+F30</f>
        <v>100027.98000000001</v>
      </c>
      <c r="G31" s="1165">
        <f>G27+G30</f>
        <v>0</v>
      </c>
      <c r="H31" s="2611"/>
      <c r="I31" s="2611"/>
      <c r="J31" s="2611"/>
      <c r="K31" s="2611"/>
      <c r="L31" s="2611"/>
      <c r="M31" s="2611"/>
      <c r="N31" s="2611"/>
      <c r="O31" s="2611"/>
      <c r="P31" s="2611"/>
    </row>
    <row r="32" spans="1:19">
      <c r="A32" s="1634"/>
      <c r="B32" s="1930" t="s">
        <v>1678</v>
      </c>
      <c r="C32" s="2088"/>
      <c r="D32" s="119"/>
      <c r="E32" s="119">
        <f>SUMIF(C19:C26,"*住宅*",E19:E26)</f>
        <v>80022.38</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E6" activePane="bottomRight" state="frozen"/>
      <selection pane="topRight" activeCell="D1" sqref="D1"/>
      <selection pane="bottomLeft" activeCell="A4" sqref="A4"/>
      <selection pane="bottomRight" activeCell="M25" sqref="M25"/>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9.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3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46000</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3230</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2253</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住宅</v>
      </c>
      <c r="B6" s="1925" t="str">
        <f>IF(A6=0,"","经营性")</f>
        <v>经营性</v>
      </c>
      <c r="C6" s="157" t="s">
        <v>851</v>
      </c>
      <c r="D6" s="1896">
        <f>SUMIF(项目基本情况!C$15:I$15,C6,项目基本情况!C$18:I$18)</f>
        <v>70</v>
      </c>
      <c r="E6" s="1897">
        <f>IF(B6="","",SUMIF(项目基本情况!C$15:I$15,C6,项目基本情况!C$17:I$17))</f>
        <v>67012</v>
      </c>
      <c r="F6" s="158">
        <f>SUMIF(项目基本情况!C$15:I$15,C6,项目基本情况!C$19:I$19)</f>
        <v>57.56</v>
      </c>
      <c r="G6" s="159">
        <f t="shared" ref="G6:G13" si="0">IF(ISERROR(ROUND(POWER(1+H6,D6-F6)*(POWER(1+H6,F6)-1)/(POWER(1+H6,D6)-1),3)),0,ROUND(POWER(1+H6,D6-F6)*(POWER(1+H6,F6)-1)/(POWER(1+H6,D6)-1),3))</f>
        <v>0.95699999999999996</v>
      </c>
      <c r="H6" s="2312">
        <v>0.04</v>
      </c>
      <c r="I6" s="2312">
        <v>0.05</v>
      </c>
      <c r="J6" s="160">
        <v>7.0000000000000007E-2</v>
      </c>
      <c r="K6" s="163">
        <f>SUMIF('数据-汇总表'!C$19:C$33,'数据-取费表'!A6,'数据-汇总表'!E$19:E$33)</f>
        <v>80022.38</v>
      </c>
      <c r="L6" s="2313">
        <f>O21/K16</f>
        <v>2880.0000959731465</v>
      </c>
      <c r="M6" s="161">
        <f t="shared" ref="M6:M14" si="1">ROUND(K6*L6/10000,0)</f>
        <v>23046</v>
      </c>
      <c r="N6" s="2314">
        <v>0</v>
      </c>
      <c r="O6" s="161">
        <f>IF($N$5="成新度","——",ROUND(M6*N6,0))</f>
        <v>0</v>
      </c>
      <c r="P6" s="162">
        <f>IF($N$5="成新度","——",M6-O6)</f>
        <v>23046</v>
      </c>
      <c r="Q6" s="2315">
        <v>0.1</v>
      </c>
      <c r="R6" s="163">
        <f>SUMIF('数据-汇总表'!C$19:C$33,A6,'数据-汇总表'!R$19:R$33)</f>
        <v>26674.13</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0.89500000000000002</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t="str">
        <f>'数据-汇总表'!C20</f>
        <v>商业</v>
      </c>
      <c r="B7" s="1925" t="str">
        <f t="shared" ref="B7:B13" si="2">IF(A7=0,"","经营性")</f>
        <v>经营性</v>
      </c>
      <c r="C7" s="157" t="s">
        <v>2726</v>
      </c>
      <c r="D7" s="1896">
        <f>SUMIF(项目基本情况!C$15:I$15,C7,项目基本情况!C$18:I$18)</f>
        <v>40</v>
      </c>
      <c r="E7" s="1897">
        <f>IF(B7="","",SUMIF(项目基本情况!C$15:I$15,C7,项目基本情况!C$17:I$17))</f>
        <v>56055</v>
      </c>
      <c r="F7" s="158">
        <f>SUMIF(项目基本情况!C$15:I$15,C7,项目基本情况!C$19:I$19)</f>
        <v>27.54</v>
      </c>
      <c r="G7" s="159">
        <f t="shared" si="0"/>
        <v>0.86099999999999999</v>
      </c>
      <c r="H7" s="2312">
        <v>0.05</v>
      </c>
      <c r="I7" s="2312">
        <v>0.06</v>
      </c>
      <c r="J7" s="160">
        <v>7.0000000000000007E-2</v>
      </c>
      <c r="K7" s="163">
        <f>SUMIF('数据-汇总表'!C$19:C$33,'数据-取费表'!A7,'数据-汇总表'!E$19:E$33)</f>
        <v>20005.599999999999</v>
      </c>
      <c r="L7" s="2313">
        <f>L6</f>
        <v>2880.0000959731465</v>
      </c>
      <c r="M7" s="161">
        <f t="shared" si="1"/>
        <v>5762</v>
      </c>
      <c r="N7" s="2314">
        <v>0</v>
      </c>
      <c r="O7" s="161">
        <f t="shared" ref="O7:O14" si="3">IF($N$5="成新度","——",ROUND(M7*N7,0))</f>
        <v>0</v>
      </c>
      <c r="P7" s="162">
        <f t="shared" ref="P7:P14" si="4">IF($N$5="成新度","——",M7-O7)</f>
        <v>5762</v>
      </c>
      <c r="Q7" s="2315">
        <v>0.2</v>
      </c>
      <c r="R7" s="163">
        <f>SUMIF('数据-汇总表'!C$19:C$33,A7,'数据-汇总表'!R$19:R$33)</f>
        <v>6668.53</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v>1.5</v>
      </c>
      <c r="V7" s="165">
        <v>1.4999999999999999E-2</v>
      </c>
      <c r="W7" s="165">
        <v>0.2</v>
      </c>
      <c r="X7" s="1909"/>
      <c r="Y7" s="166">
        <v>1</v>
      </c>
      <c r="Z7" s="167"/>
      <c r="AA7" s="160"/>
      <c r="AB7" s="160"/>
      <c r="AC7" s="1912"/>
      <c r="AD7" s="168"/>
      <c r="AE7" s="887">
        <f t="shared" ref="AE7:AE13" ca="1" si="6">IF(AN7="",0,SUMIF(INDIRECT("'"&amp;AN7&amp;"'"&amp;"!E:E"),$AE$5,INDIRECT("'"&amp;AN7&amp;"'"&amp;"!F:F")))</f>
        <v>25.54</v>
      </c>
      <c r="AF7" s="127"/>
      <c r="AG7" s="1054">
        <f t="shared" ref="AG7:AG13" si="7">IF(AF7="",0,AE7-AF7)</f>
        <v>0</v>
      </c>
      <c r="AH7" s="127"/>
      <c r="AI7" s="171">
        <v>365</v>
      </c>
      <c r="AJ7" s="127"/>
      <c r="AK7" s="172">
        <v>2E-3</v>
      </c>
      <c r="AL7" s="173">
        <v>1E-3</v>
      </c>
      <c r="AM7" s="2323">
        <v>0.01</v>
      </c>
      <c r="AN7" s="1125" t="s">
        <v>3539</v>
      </c>
      <c r="AO7" s="2611"/>
      <c r="AP7" s="96">
        <f t="shared" ref="AP7:AP13" si="8">ROUND(1-1/(1+H7)^F7,3)</f>
        <v>0.73899999999999999</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hidden="1">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hidden="1">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hidden="1">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hidden="1">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hidden="1">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hidden="1">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f>ROUND(SUMPRODUCT(G6:G13,K6:K13)/SUMPRODUCT((G6:G13&gt;0)*(K6:K13)),3)</f>
        <v>0.93799999999999994</v>
      </c>
      <c r="H16" s="184">
        <f>ROUND(SUMPRODUCT(H6:H13,K6:K13)/SUMPRODUCT((H6:H13&gt;0)*(K6:K13)),3)</f>
        <v>4.2000000000000003E-2</v>
      </c>
      <c r="I16" s="185"/>
      <c r="J16" s="185"/>
      <c r="K16" s="186">
        <f>SUM(K6:K15)</f>
        <v>100027.98000000001</v>
      </c>
      <c r="L16" s="187">
        <f>ROUND(M16*10000/SUM(K6:K14),0)</f>
        <v>2880</v>
      </c>
      <c r="M16" s="187">
        <f>SUM(M6:M14)</f>
        <v>28808</v>
      </c>
      <c r="N16" s="188">
        <f>ROUND(SUMPRODUCT(M6:M14,N6:N14)/M16,3)</f>
        <v>0</v>
      </c>
      <c r="O16" s="187">
        <f>SUM(O6:O14)</f>
        <v>0</v>
      </c>
      <c r="P16" s="187">
        <f>SUM(P6:P14)</f>
        <v>28808</v>
      </c>
      <c r="Q16" s="189">
        <f>ROUND(SUMPRODUCT(Q6:Q13,K6:K13)/SUMPRODUCT((Q6:Q13&gt;0)*(K6:K13)),2)</f>
        <v>0.12</v>
      </c>
      <c r="R16" s="1899">
        <f>SUM(R6:R13)</f>
        <v>33342.660000000003</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f>ROUND(SUMPRODUCT(AP6:AP13,K6:K13)/SUMPRODUCT((AP6:AP13&gt;0)*(K6:K13)),3)</f>
        <v>0.86399999999999999</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3425"/>
      <c r="M18" s="3426" t="s">
        <v>3592</v>
      </c>
      <c r="N18" s="3426" t="s">
        <v>3593</v>
      </c>
      <c r="O18" s="2617"/>
      <c r="P18" s="2617"/>
      <c r="Q18" s="2617"/>
      <c r="R18" s="2617"/>
      <c r="S18" s="3423" t="s">
        <v>3623</v>
      </c>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v>0</v>
      </c>
      <c r="C19" s="2630" t="s">
        <v>2261</v>
      </c>
      <c r="D19" s="2620"/>
      <c r="E19" s="2611"/>
      <c r="F19" s="2611"/>
      <c r="G19" s="2611"/>
      <c r="H19" s="2611"/>
      <c r="I19" s="2611"/>
      <c r="J19" s="2611"/>
      <c r="K19" s="2619"/>
      <c r="L19" s="3426" t="s">
        <v>3590</v>
      </c>
      <c r="M19" s="3427">
        <f>K16</f>
        <v>100027.98000000001</v>
      </c>
      <c r="N19" s="3425">
        <v>2400</v>
      </c>
      <c r="O19" s="2617">
        <f>M19*N19</f>
        <v>240067152.00000003</v>
      </c>
      <c r="P19" s="2617"/>
      <c r="Q19" s="2617"/>
      <c r="R19" s="2617"/>
      <c r="S19" s="3423" t="s">
        <v>3585</v>
      </c>
      <c r="T19" s="3423" t="s">
        <v>3581</v>
      </c>
      <c r="U19" s="2617"/>
      <c r="V19" s="3423" t="s">
        <v>3581</v>
      </c>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v>2</v>
      </c>
      <c r="C20" s="2630" t="s">
        <v>1692</v>
      </c>
      <c r="D20" s="2620"/>
      <c r="E20" s="2611"/>
      <c r="F20" s="2611"/>
      <c r="G20" s="2611"/>
      <c r="H20" s="2611"/>
      <c r="I20" s="2611"/>
      <c r="J20" s="2611"/>
      <c r="K20" s="2619"/>
      <c r="L20" s="3426" t="s">
        <v>3591</v>
      </c>
      <c r="M20" s="3425">
        <f>ROUND(M19*0.2,2)</f>
        <v>20005.599999999999</v>
      </c>
      <c r="N20" s="3425">
        <v>2400</v>
      </c>
      <c r="O20" s="2617">
        <f>M20*N20</f>
        <v>48013440</v>
      </c>
      <c r="P20" s="2617"/>
      <c r="Q20" s="2617"/>
      <c r="R20" s="2617"/>
      <c r="S20" s="2617" t="s">
        <v>3586</v>
      </c>
      <c r="T20" s="2617" t="s">
        <v>3583</v>
      </c>
      <c r="U20" s="3423" t="s">
        <v>3580</v>
      </c>
      <c r="V20" s="2617">
        <f>ROUND(100/30,2)</f>
        <v>3.33</v>
      </c>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v>0</v>
      </c>
      <c r="C21" s="2611"/>
      <c r="D21" s="2620"/>
      <c r="E21" s="2611"/>
      <c r="F21" s="2611"/>
      <c r="G21" s="2611"/>
      <c r="H21" s="2611"/>
      <c r="I21" s="2611"/>
      <c r="J21" s="2611"/>
      <c r="K21" s="2619"/>
      <c r="L21" s="2619"/>
      <c r="M21" s="3424">
        <f>M19+M20</f>
        <v>120033.58000000002</v>
      </c>
      <c r="N21" s="2617"/>
      <c r="O21" s="2617">
        <f>SUM(O19:O20)</f>
        <v>288080592</v>
      </c>
      <c r="P21" s="2617"/>
      <c r="Q21" s="2617"/>
      <c r="R21" s="2617"/>
      <c r="S21" s="2617" t="s">
        <v>3587</v>
      </c>
      <c r="T21" s="2617" t="s">
        <v>3584</v>
      </c>
      <c r="U21" s="3423" t="s">
        <v>3582</v>
      </c>
      <c r="V21" s="2617">
        <f>60/30</f>
        <v>2</v>
      </c>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2</v>
      </c>
      <c r="C22" s="2611"/>
      <c r="D22" s="2620"/>
      <c r="E22" s="2611"/>
      <c r="F22" s="2611"/>
      <c r="G22" s="2611"/>
      <c r="H22" s="2611"/>
      <c r="I22" s="2611"/>
      <c r="J22" s="2611"/>
      <c r="K22" s="2619"/>
      <c r="L22" s="2619"/>
      <c r="M22" s="2617"/>
      <c r="N22" s="2617"/>
      <c r="O22" s="2617"/>
      <c r="P22" s="2617"/>
      <c r="Q22" s="2617"/>
      <c r="R22" s="2617"/>
      <c r="S22" s="2617"/>
      <c r="T22" s="2617"/>
      <c r="U22" s="3423" t="s">
        <v>3588</v>
      </c>
      <c r="V22" s="2617">
        <f>ROUND(AVERAGE(V20:V21),2)</f>
        <v>2.67</v>
      </c>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3423" t="s">
        <v>3589</v>
      </c>
      <c r="V23" s="2617">
        <f>ROUND(V22*0.6,2)</f>
        <v>1.6</v>
      </c>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2</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1694</v>
      </c>
      <c r="B27" s="208">
        <v>120</v>
      </c>
      <c r="C27" s="3412" t="s">
        <v>3332</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1695</v>
      </c>
      <c r="B28" s="210">
        <v>120</v>
      </c>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1693</v>
      </c>
      <c r="B29" s="213">
        <v>0</v>
      </c>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v>200</v>
      </c>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200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v>0</v>
      </c>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v>0.05</v>
      </c>
      <c r="C33" s="2633" t="s">
        <v>3256</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v>0.05</v>
      </c>
      <c r="C34" s="2633" t="s">
        <v>2254</v>
      </c>
      <c r="D34" s="2634" t="s">
        <v>2259</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v>200</v>
      </c>
      <c r="C35" s="2633" t="s">
        <v>2255</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v>0.02</v>
      </c>
      <c r="C36" s="2633" t="s">
        <v>3299</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v>0.02</v>
      </c>
      <c r="C37" s="2633" t="s">
        <v>3257</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v>0.03</v>
      </c>
      <c r="C38" s="2633" t="s">
        <v>3258</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80" t="s">
        <v>2275</v>
      </c>
      <c r="B40" s="1992">
        <f ca="1">IF(A40="利息：取LPR",存贷款利率!E2,存贷款利率!E2+C40)</f>
        <v>3.1300000000000001E-2</v>
      </c>
      <c r="C40" s="2781"/>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5.6000000000000001E-2</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v>0.05</v>
      </c>
      <c r="C42" s="2635">
        <f>IF(B2&lt;DATE(2016,5,1),0,B42)</f>
        <v>0.05</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6.000000000000001E-3</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v>7.0000000000000007E-2</v>
      </c>
      <c r="C44" s="2633" t="s">
        <v>3259</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v>0.03</v>
      </c>
      <c r="C45" s="2636" t="s">
        <v>2256</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v>0.02</v>
      </c>
      <c r="C46" s="2636" t="s">
        <v>2257</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2262</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v>0.03</v>
      </c>
      <c r="C48" s="2636" t="s">
        <v>2256</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v>5.0000000000000001E-4</v>
      </c>
      <c r="C49" s="2636" t="s">
        <v>2258</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8</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t="s">
        <v>1031</v>
      </c>
      <c r="C53" s="2627" t="s">
        <v>3331</v>
      </c>
      <c r="D53" s="2637" t="s">
        <v>2260</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2166</v>
      </c>
      <c r="B54" s="170">
        <f>C54</f>
        <v>12</v>
      </c>
      <c r="C54" s="2624">
        <v>12</v>
      </c>
      <c r="D54" s="2628" t="s">
        <v>3326</v>
      </c>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2167</v>
      </c>
      <c r="B55" s="170">
        <f t="shared" ref="B55:B57" si="9">C55</f>
        <v>8</v>
      </c>
      <c r="C55" s="2624">
        <v>8</v>
      </c>
      <c r="D55" s="2750" t="s">
        <v>3327</v>
      </c>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2168</v>
      </c>
      <c r="B56" s="170">
        <f t="shared" si="9"/>
        <v>6</v>
      </c>
      <c r="C56" s="2624">
        <v>6</v>
      </c>
      <c r="D56" s="2628" t="s">
        <v>3328</v>
      </c>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2169</v>
      </c>
      <c r="B57" s="170">
        <f t="shared" si="9"/>
        <v>2</v>
      </c>
      <c r="C57" s="2624">
        <v>2</v>
      </c>
      <c r="D57" s="2628" t="s">
        <v>3329</v>
      </c>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2170</v>
      </c>
      <c r="B58" s="170"/>
      <c r="C58" s="2624"/>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2171</v>
      </c>
      <c r="B59" s="170"/>
      <c r="C59" s="2624"/>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2172</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2173</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2174</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2175</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disablePrompts="1"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hyperlinks>
    <hyperlink ref="C27" r:id="rId1" xr:uid="{7999DE9C-8A27-4419-B3DE-EFBF4FC2F34B}"/>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22" sqref="I22"/>
    </sheetView>
  </sheetViews>
  <sheetFormatPr defaultColWidth="9" defaultRowHeight="13.5"/>
  <cols>
    <col min="1" max="1" width="9.5" style="2646" customWidth="1"/>
    <col min="2" max="2" width="23.5" style="2667" customWidth="1"/>
    <col min="3" max="3" width="32.25" style="2667" customWidth="1"/>
    <col min="4" max="4" width="2.625" style="2667" customWidth="1"/>
    <col min="5" max="5" width="5.875" style="2667" customWidth="1"/>
    <col min="6" max="6" width="23.625" style="2667" customWidth="1"/>
    <col min="7" max="7" width="33.375" style="2667" customWidth="1"/>
    <col min="8" max="8" width="11.875" style="2667" customWidth="1"/>
    <col min="9" max="9" width="16.75" style="2667" customWidth="1"/>
    <col min="10" max="10" width="2.625" style="2667" customWidth="1"/>
    <col min="11" max="11" width="11.875" style="2667" customWidth="1"/>
    <col min="12" max="12" width="16.75" style="2667" customWidth="1"/>
    <col min="13" max="13" width="2.625" style="2667" customWidth="1"/>
    <col min="14" max="14" width="11.875" style="2667" customWidth="1"/>
    <col min="15" max="15" width="16.75" style="2667" customWidth="1"/>
    <col min="16" max="16" width="2.625" style="2667" customWidth="1"/>
    <col min="17" max="17" width="11.875" style="2667" customWidth="1"/>
    <col min="18" max="18" width="16.75" style="2646" customWidth="1"/>
    <col min="19" max="16384" width="9" style="2646"/>
  </cols>
  <sheetData>
    <row r="1" spans="1:18" s="2640" customFormat="1" ht="19.5" thickBot="1">
      <c r="A1" s="3536" t="s">
        <v>1198</v>
      </c>
      <c r="B1" s="3537"/>
      <c r="C1" s="3537"/>
      <c r="D1" s="3537"/>
      <c r="E1" s="3537"/>
      <c r="F1" s="3537"/>
      <c r="G1" s="3537"/>
      <c r="H1" s="2638"/>
      <c r="I1" s="2638"/>
      <c r="J1" s="2638"/>
      <c r="K1" s="2638"/>
      <c r="L1" s="2638"/>
      <c r="M1" s="2638"/>
      <c r="N1" s="2638"/>
      <c r="O1" s="2638"/>
      <c r="P1" s="2638"/>
      <c r="Q1" s="2639"/>
    </row>
    <row r="2" spans="1:18" ht="14.25" thickBot="1">
      <c r="A2" s="2641"/>
      <c r="B2" s="2642"/>
      <c r="C2" s="2643" t="s">
        <v>1199</v>
      </c>
      <c r="D2" s="2644"/>
      <c r="E2" s="2641"/>
      <c r="F2" s="2645"/>
      <c r="G2" s="2643" t="s">
        <v>1200</v>
      </c>
      <c r="H2" s="2646"/>
      <c r="I2" s="2646"/>
      <c r="J2" s="2646"/>
      <c r="K2" s="2646"/>
      <c r="L2" s="2646"/>
      <c r="M2" s="2646"/>
      <c r="N2" s="2646"/>
      <c r="O2" s="2646"/>
      <c r="P2" s="2646"/>
      <c r="Q2" s="2646"/>
    </row>
    <row r="3" spans="1:18" ht="27">
      <c r="A3" s="2647" t="s">
        <v>1201</v>
      </c>
      <c r="B3" s="2648" t="s">
        <v>1188</v>
      </c>
      <c r="C3" s="2649"/>
      <c r="D3" s="2650"/>
      <c r="E3" s="2651" t="s">
        <v>1201</v>
      </c>
      <c r="F3" s="2652" t="s">
        <v>1189</v>
      </c>
      <c r="G3" s="2653"/>
      <c r="H3" s="2646"/>
      <c r="I3" s="2646"/>
      <c r="J3" s="2646"/>
      <c r="K3" s="2646"/>
      <c r="L3" s="2646"/>
      <c r="M3" s="2646"/>
      <c r="N3" s="2646"/>
      <c r="O3" s="2646"/>
      <c r="P3" s="2646"/>
      <c r="Q3" s="2646"/>
    </row>
    <row r="4" spans="1:18" ht="14.25">
      <c r="A4" s="2651"/>
      <c r="B4" s="2654" t="s">
        <v>1202</v>
      </c>
      <c r="C4" s="2655"/>
      <c r="D4" s="2650"/>
      <c r="E4" s="2656"/>
      <c r="F4" s="2657" t="s">
        <v>1203</v>
      </c>
      <c r="G4" s="2658"/>
      <c r="H4" s="2646"/>
      <c r="I4" s="2646"/>
      <c r="J4" s="2646"/>
      <c r="K4" s="2646"/>
      <c r="L4" s="2646"/>
      <c r="M4" s="2646"/>
      <c r="N4" s="2646"/>
      <c r="O4" s="2646"/>
      <c r="P4" s="2646"/>
      <c r="Q4" s="2646"/>
    </row>
    <row r="5" spans="1:18" ht="14.25">
      <c r="A5" s="2651"/>
      <c r="B5" s="2654" t="s">
        <v>1204</v>
      </c>
      <c r="C5" s="2655"/>
      <c r="D5" s="2650"/>
      <c r="E5" s="2656"/>
      <c r="F5" s="2654" t="s">
        <v>1829</v>
      </c>
      <c r="G5" s="2658"/>
      <c r="H5" s="2646"/>
      <c r="I5" s="2646"/>
      <c r="J5" s="2646"/>
      <c r="K5" s="2646"/>
      <c r="L5" s="2646"/>
      <c r="M5" s="2646"/>
      <c r="N5" s="2646"/>
      <c r="O5" s="2646"/>
      <c r="P5" s="2646"/>
      <c r="Q5" s="2646"/>
    </row>
    <row r="6" spans="1:18" ht="14.25">
      <c r="A6" s="2651"/>
      <c r="B6" s="2654" t="s">
        <v>1190</v>
      </c>
      <c r="C6" s="2658"/>
      <c r="D6" s="2650"/>
      <c r="E6" s="2656"/>
      <c r="F6" s="2654" t="s">
        <v>1830</v>
      </c>
      <c r="G6" s="2658"/>
      <c r="H6" s="2646"/>
      <c r="I6" s="2646"/>
      <c r="J6" s="2646"/>
      <c r="K6" s="2646"/>
      <c r="L6" s="2646"/>
      <c r="M6" s="2646"/>
      <c r="N6" s="2646"/>
      <c r="O6" s="2646"/>
      <c r="P6" s="2646"/>
      <c r="Q6" s="2646"/>
    </row>
    <row r="7" spans="1:18" ht="15" thickBot="1">
      <c r="A7" s="2651"/>
      <c r="B7" s="2654" t="s">
        <v>1829</v>
      </c>
      <c r="C7" s="2658"/>
      <c r="D7" s="2659"/>
      <c r="E7" s="2660"/>
      <c r="F7" s="2661" t="s">
        <v>1205</v>
      </c>
      <c r="G7" s="2662"/>
      <c r="H7" s="2646"/>
      <c r="I7" s="2646"/>
      <c r="J7" s="2646"/>
      <c r="K7" s="2646"/>
      <c r="L7" s="2646"/>
      <c r="M7" s="2646"/>
      <c r="N7" s="2646"/>
      <c r="O7" s="2646"/>
      <c r="P7" s="2646"/>
      <c r="Q7" s="2646"/>
    </row>
    <row r="8" spans="1:18" ht="14.25">
      <c r="A8" s="2651"/>
      <c r="B8" s="2654" t="s">
        <v>1830</v>
      </c>
      <c r="C8" s="2658"/>
      <c r="D8" s="2659"/>
      <c r="E8" s="2659"/>
      <c r="F8" s="2663"/>
      <c r="G8" s="2663"/>
      <c r="H8" s="2646"/>
      <c r="I8" s="2646"/>
      <c r="J8" s="2646"/>
      <c r="K8" s="2646"/>
      <c r="L8" s="2646"/>
      <c r="M8" s="2646"/>
      <c r="N8" s="2646"/>
      <c r="O8" s="2646"/>
      <c r="P8" s="2646"/>
      <c r="Q8" s="2646"/>
    </row>
    <row r="9" spans="1:18" ht="14.25">
      <c r="A9" s="2651"/>
      <c r="B9" s="2654" t="s">
        <v>1191</v>
      </c>
      <c r="C9" s="2655"/>
      <c r="D9" s="2650"/>
      <c r="E9" s="2659"/>
      <c r="F9" s="2663"/>
      <c r="G9" s="2663"/>
      <c r="H9" s="2646"/>
      <c r="I9" s="2646"/>
      <c r="J9" s="2646"/>
      <c r="K9" s="2646"/>
      <c r="L9" s="2646"/>
      <c r="M9" s="2646"/>
      <c r="N9" s="2646"/>
      <c r="O9" s="2646"/>
      <c r="P9" s="2646"/>
      <c r="Q9" s="2646"/>
    </row>
    <row r="10" spans="1:18" ht="15" thickBot="1">
      <c r="A10" s="2664"/>
      <c r="B10" s="2665" t="s">
        <v>1206</v>
      </c>
      <c r="C10" s="2666"/>
      <c r="D10" s="2650"/>
      <c r="E10" s="2650"/>
      <c r="F10" s="2663"/>
      <c r="G10" s="2663"/>
      <c r="J10" s="2668"/>
      <c r="M10" s="2668"/>
      <c r="P10" s="2668"/>
      <c r="R10" s="2667"/>
    </row>
    <row r="11" spans="1:18">
      <c r="A11" s="2669"/>
      <c r="B11" s="2659"/>
      <c r="C11" s="2650"/>
      <c r="D11" s="2650"/>
      <c r="E11" s="2650"/>
      <c r="F11" s="2659"/>
      <c r="G11" s="2659"/>
      <c r="J11" s="2668"/>
      <c r="M11" s="2668"/>
      <c r="P11" s="2668"/>
      <c r="R11" s="2667"/>
    </row>
    <row r="12" spans="1:18" s="2640" customFormat="1" ht="18.75">
      <c r="A12" s="2669"/>
      <c r="B12" s="2659"/>
      <c r="C12" s="2650"/>
      <c r="D12" s="2670"/>
      <c r="E12" s="2650"/>
      <c r="F12" s="2659"/>
      <c r="G12" s="2659"/>
      <c r="H12" s="2671"/>
      <c r="I12" s="2671"/>
      <c r="J12" s="2671"/>
      <c r="K12" s="2671"/>
      <c r="L12" s="2672"/>
      <c r="M12" s="2671"/>
      <c r="N12" s="2673"/>
      <c r="O12" s="2673"/>
      <c r="P12" s="2673"/>
      <c r="Q12" s="2673"/>
    </row>
    <row r="13" spans="1:18" ht="19.5" thickBot="1">
      <c r="A13" s="2674" t="s">
        <v>1207</v>
      </c>
      <c r="B13" s="2670"/>
      <c r="C13" s="2670"/>
      <c r="D13" s="2644"/>
      <c r="E13" s="2670"/>
      <c r="F13" s="2670"/>
      <c r="G13" s="2670"/>
    </row>
    <row r="14" spans="1:18" ht="14.25" thickBot="1">
      <c r="A14" s="2675"/>
      <c r="B14" s="2675"/>
      <c r="C14" s="2676" t="s">
        <v>1199</v>
      </c>
      <c r="D14" s="2650"/>
      <c r="E14" s="2677"/>
      <c r="F14" s="2677"/>
      <c r="G14" s="2643" t="s">
        <v>1200</v>
      </c>
    </row>
    <row r="15" spans="1:18" ht="27">
      <c r="A15" s="2678" t="s">
        <v>1192</v>
      </c>
      <c r="B15" s="2679" t="s">
        <v>1188</v>
      </c>
      <c r="C15" s="2680">
        <f>C3</f>
        <v>0</v>
      </c>
      <c r="D15" s="2650"/>
      <c r="E15" s="2681" t="s">
        <v>1193</v>
      </c>
      <c r="F15" s="2679" t="s">
        <v>1208</v>
      </c>
      <c r="G15" s="2682">
        <f>G3</f>
        <v>0</v>
      </c>
    </row>
    <row r="16" spans="1:18">
      <c r="A16" s="2683"/>
      <c r="B16" s="2684" t="s">
        <v>1202</v>
      </c>
      <c r="C16" s="2685">
        <f>C4</f>
        <v>0</v>
      </c>
      <c r="D16" s="2650"/>
      <c r="E16" s="2686"/>
      <c r="F16" s="2687" t="s">
        <v>1203</v>
      </c>
      <c r="G16" s="2688">
        <f>G4</f>
        <v>0</v>
      </c>
    </row>
    <row r="17" spans="1:7" ht="14.25">
      <c r="A17" s="2683"/>
      <c r="B17" s="2684" t="s">
        <v>1204</v>
      </c>
      <c r="C17" s="2685">
        <f>C5</f>
        <v>0</v>
      </c>
      <c r="D17" s="2659"/>
      <c r="E17" s="2686"/>
      <c r="F17" s="2687" t="s">
        <v>1209</v>
      </c>
      <c r="G17" s="2689"/>
    </row>
    <row r="18" spans="1:7">
      <c r="A18" s="2683"/>
      <c r="B18" s="2687" t="s">
        <v>1190</v>
      </c>
      <c r="C18" s="2688">
        <f>C6</f>
        <v>0</v>
      </c>
      <c r="D18" s="2659"/>
      <c r="E18" s="2686"/>
      <c r="F18" s="2687" t="s">
        <v>1205</v>
      </c>
      <c r="G18" s="2688">
        <f>G7</f>
        <v>0</v>
      </c>
    </row>
    <row r="19" spans="1:7" ht="14.25">
      <c r="A19" s="2683"/>
      <c r="B19" s="2687" t="s">
        <v>1194</v>
      </c>
      <c r="C19" s="2689"/>
      <c r="D19" s="2650"/>
      <c r="E19" s="2686"/>
      <c r="F19" s="2654" t="s">
        <v>1829</v>
      </c>
      <c r="G19" s="2688">
        <f>G5</f>
        <v>0</v>
      </c>
    </row>
    <row r="20" spans="1:7">
      <c r="A20" s="2683"/>
      <c r="B20" s="2687" t="s">
        <v>1195</v>
      </c>
      <c r="C20" s="2685">
        <f>C9</f>
        <v>0</v>
      </c>
      <c r="D20" s="2659"/>
      <c r="E20" s="2686"/>
      <c r="F20" s="2654" t="s">
        <v>1830</v>
      </c>
      <c r="G20" s="2688">
        <f>G6</f>
        <v>0</v>
      </c>
    </row>
    <row r="21" spans="1:7" ht="14.25">
      <c r="A21" s="2683"/>
      <c r="B21" s="2654" t="s">
        <v>1829</v>
      </c>
      <c r="C21" s="2688">
        <f>C7</f>
        <v>0</v>
      </c>
      <c r="D21" s="2650"/>
      <c r="E21" s="2686"/>
      <c r="F21" s="2687" t="s">
        <v>1196</v>
      </c>
      <c r="G21" s="2690"/>
    </row>
    <row r="22" spans="1:7" ht="14.25">
      <c r="A22" s="2683"/>
      <c r="B22" s="2654" t="s">
        <v>1830</v>
      </c>
      <c r="C22" s="2688">
        <f>C8</f>
        <v>0</v>
      </c>
      <c r="D22" s="2650"/>
      <c r="E22" s="2686"/>
      <c r="F22" s="2687" t="s">
        <v>1206</v>
      </c>
      <c r="G22" s="2689"/>
    </row>
    <row r="23" spans="1:7" ht="15" thickBot="1">
      <c r="A23" s="2683"/>
      <c r="B23" s="2687" t="s">
        <v>1196</v>
      </c>
      <c r="C23" s="2690"/>
      <c r="E23" s="2691"/>
      <c r="F23" s="2692" t="s">
        <v>1210</v>
      </c>
      <c r="G23" s="2693"/>
    </row>
    <row r="24" spans="1:7" ht="14.25" thickBot="1">
      <c r="A24" s="2694"/>
      <c r="B24" s="2692" t="s">
        <v>1197</v>
      </c>
      <c r="C24" s="2695">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L23" sqref="L23"/>
    </sheetView>
  </sheetViews>
  <sheetFormatPr defaultColWidth="14.625" defaultRowHeight="13.5"/>
  <cols>
    <col min="1" max="1" width="24.375" style="2697" customWidth="1"/>
    <col min="2" max="16384" width="14.625" style="2697"/>
  </cols>
  <sheetData>
    <row r="1" spans="1:10" ht="16.5">
      <c r="A1" s="2696" t="s">
        <v>2117</v>
      </c>
      <c r="B1" s="2696">
        <f>SUM(B14:B23)</f>
        <v>0</v>
      </c>
      <c r="C1" s="2704"/>
      <c r="D1" s="2704"/>
      <c r="E1" s="2704"/>
      <c r="F1" s="2704"/>
      <c r="G1" s="2705"/>
      <c r="H1" s="2705"/>
      <c r="I1" s="2705"/>
      <c r="J1" s="2705"/>
    </row>
    <row r="2" spans="1:10" ht="16.5">
      <c r="A2" s="2696" t="s">
        <v>2118</v>
      </c>
      <c r="B2" s="2696">
        <f>SUM(C14:C23)</f>
        <v>0</v>
      </c>
      <c r="C2" s="2704"/>
      <c r="D2" s="2704"/>
      <c r="E2" s="2704"/>
      <c r="F2" s="2704"/>
      <c r="G2" s="2705"/>
      <c r="H2" s="2705"/>
      <c r="I2" s="2705"/>
      <c r="J2" s="2705"/>
    </row>
    <row r="3" spans="1:10" ht="16.5">
      <c r="A3" s="2696" t="s">
        <v>2119</v>
      </c>
      <c r="B3" s="2698">
        <f>项目基本情况!D3</f>
        <v>46000</v>
      </c>
      <c r="C3" s="2704"/>
      <c r="D3" s="2704"/>
      <c r="E3" s="2704"/>
      <c r="F3" s="2704"/>
      <c r="G3" s="2705"/>
      <c r="H3" s="2705"/>
      <c r="I3" s="2705"/>
      <c r="J3" s="2705"/>
    </row>
    <row r="4" spans="1:10" ht="33">
      <c r="A4" s="2696" t="s">
        <v>2120</v>
      </c>
      <c r="B4" s="2696" t="s">
        <v>2121</v>
      </c>
      <c r="C4" s="2696" t="s">
        <v>2122</v>
      </c>
      <c r="D4" s="2696" t="s">
        <v>2123</v>
      </c>
      <c r="E4" s="2704"/>
      <c r="F4" s="2704"/>
      <c r="G4" s="2705"/>
      <c r="H4" s="2705"/>
      <c r="I4" s="2705"/>
      <c r="J4" s="2705"/>
    </row>
    <row r="5" spans="1:10" ht="16.5">
      <c r="A5" s="2696" t="s">
        <v>2124</v>
      </c>
      <c r="B5" s="2696">
        <f>SUM(D14:D23)</f>
        <v>0</v>
      </c>
      <c r="C5" s="2696" t="e">
        <f>ROUND(B5*10000/$B$1,0)</f>
        <v>#DIV/0!</v>
      </c>
      <c r="D5" s="2696" t="e">
        <f>ROUND(B5*10000/$B$2,0)</f>
        <v>#DIV/0!</v>
      </c>
      <c r="E5" s="2704"/>
      <c r="F5" s="2704"/>
      <c r="G5" s="2705"/>
      <c r="H5" s="2705"/>
      <c r="I5" s="2705"/>
      <c r="J5" s="2705"/>
    </row>
    <row r="6" spans="1:10" ht="16.5">
      <c r="A6" s="2696" t="s">
        <v>2125</v>
      </c>
      <c r="B6" s="2696">
        <f>SUM(G14:G23)</f>
        <v>0</v>
      </c>
      <c r="C6" s="2696" t="e">
        <f>ROUND(B6*10000/$B$1,0)</f>
        <v>#DIV/0!</v>
      </c>
      <c r="D6" s="2696" t="e">
        <f>ROUND(B6*10000/$B$2,0)</f>
        <v>#DIV/0!</v>
      </c>
      <c r="E6" s="2704"/>
      <c r="F6" s="2704"/>
      <c r="G6" s="2705"/>
      <c r="H6" s="2705"/>
      <c r="I6" s="2705"/>
      <c r="J6" s="2705"/>
    </row>
    <row r="7" spans="1:10" ht="16.5">
      <c r="A7" s="2696" t="s">
        <v>2126</v>
      </c>
      <c r="B7" s="2696">
        <f>SUM(H14:H23)</f>
        <v>0</v>
      </c>
      <c r="C7" s="2696" t="e">
        <f>ROUND(B7*10000/$B$1,0)</f>
        <v>#DIV/0!</v>
      </c>
      <c r="D7" s="2696" t="e">
        <f>ROUND(B7*10000/$B$2,0)</f>
        <v>#DIV/0!</v>
      </c>
      <c r="E7" s="2704"/>
      <c r="F7" s="2704"/>
      <c r="G7" s="2705"/>
      <c r="H7" s="2705"/>
      <c r="I7" s="2705"/>
      <c r="J7" s="2705"/>
    </row>
    <row r="8" spans="1:10" ht="16.5">
      <c r="A8" s="2696" t="s">
        <v>2127</v>
      </c>
      <c r="B8" s="2696">
        <f>SUM(I14:I23)</f>
        <v>0</v>
      </c>
      <c r="C8" s="2696" t="e">
        <f>ROUND(B8*10000/$B$1,0)</f>
        <v>#DIV/0!</v>
      </c>
      <c r="D8" s="2696" t="e">
        <f>ROUND(B8*10000/$B$2,0)</f>
        <v>#DIV/0!</v>
      </c>
      <c r="E8" s="2704"/>
      <c r="F8" s="2704"/>
      <c r="G8" s="2705"/>
      <c r="H8" s="2705"/>
      <c r="I8" s="2705"/>
      <c r="J8" s="2705"/>
    </row>
    <row r="9" spans="1:10" ht="16.5">
      <c r="A9" s="2696" t="s">
        <v>2128</v>
      </c>
      <c r="B9" s="2327"/>
      <c r="C9" s="2704"/>
      <c r="D9" s="2704"/>
      <c r="E9" s="2704"/>
      <c r="F9" s="2704"/>
      <c r="G9" s="2705"/>
      <c r="H9" s="2705"/>
      <c r="I9" s="2705"/>
      <c r="J9" s="2705"/>
    </row>
    <row r="10" spans="1:10" ht="16.5">
      <c r="A10" s="2696" t="s">
        <v>2129</v>
      </c>
      <c r="B10" s="2327"/>
      <c r="C10" s="2704"/>
      <c r="D10" s="2704"/>
      <c r="E10" s="2704"/>
      <c r="F10" s="2704"/>
      <c r="G10" s="2705"/>
      <c r="H10" s="2705"/>
      <c r="I10" s="2705"/>
      <c r="J10" s="2705"/>
    </row>
    <row r="11" spans="1:10" ht="16.5">
      <c r="A11" s="2696" t="s">
        <v>2146</v>
      </c>
      <c r="B11" s="2327"/>
      <c r="C11" s="2704"/>
      <c r="D11" s="2704"/>
      <c r="E11" s="2704"/>
      <c r="F11" s="2704"/>
      <c r="G11" s="2705"/>
      <c r="H11" s="2705"/>
      <c r="I11" s="2705"/>
      <c r="J11" s="2705"/>
    </row>
    <row r="12" spans="1:10" ht="16.5">
      <c r="A12" s="2704"/>
      <c r="B12" s="2704"/>
      <c r="C12" s="2704"/>
      <c r="D12" s="2704"/>
      <c r="E12" s="2704"/>
      <c r="F12" s="2704"/>
      <c r="G12" s="2705"/>
      <c r="H12" s="2705"/>
      <c r="I12" s="2705"/>
      <c r="J12" s="2705"/>
    </row>
    <row r="13" spans="1:10" ht="33">
      <c r="A13" s="2699" t="s">
        <v>2145</v>
      </c>
      <c r="B13" s="2700" t="s">
        <v>2117</v>
      </c>
      <c r="C13" s="2700" t="s">
        <v>2118</v>
      </c>
      <c r="D13" s="2700" t="s">
        <v>2130</v>
      </c>
      <c r="E13" s="2696" t="s">
        <v>2144</v>
      </c>
      <c r="F13" s="2696" t="s">
        <v>2123</v>
      </c>
      <c r="G13" s="2700" t="s">
        <v>2131</v>
      </c>
      <c r="H13" s="2700" t="s">
        <v>2132</v>
      </c>
      <c r="I13" s="2700" t="s">
        <v>2133</v>
      </c>
      <c r="J13" s="2705"/>
    </row>
    <row r="14" spans="1:10" ht="16.5">
      <c r="A14" s="2701" t="s">
        <v>2143</v>
      </c>
      <c r="B14" s="2702"/>
      <c r="C14" s="2702"/>
      <c r="D14" s="2702"/>
      <c r="E14" s="2702" t="e">
        <f>ROUND(D14*10000/B14,0)</f>
        <v>#DIV/0!</v>
      </c>
      <c r="F14" s="2702" t="e">
        <f>ROUND(D14*10000/C14,0)</f>
        <v>#DIV/0!</v>
      </c>
      <c r="G14" s="2702"/>
      <c r="H14" s="2702"/>
      <c r="I14" s="2702"/>
      <c r="J14" s="2705"/>
    </row>
    <row r="15" spans="1:10" ht="16.5">
      <c r="A15" s="2701" t="s">
        <v>2134</v>
      </c>
      <c r="B15" s="2703"/>
      <c r="C15" s="2703"/>
      <c r="D15" s="2703"/>
      <c r="E15" s="2702" t="e">
        <f t="shared" ref="E15:E23" si="0">ROUND(D15*10000/B15,0)</f>
        <v>#DIV/0!</v>
      </c>
      <c r="F15" s="2702" t="e">
        <f t="shared" ref="F15:F23" si="1">ROUND(D15*10000/C15,0)</f>
        <v>#DIV/0!</v>
      </c>
      <c r="G15" s="2327"/>
      <c r="H15" s="2327"/>
      <c r="I15" s="2703"/>
      <c r="J15" s="2705"/>
    </row>
    <row r="16" spans="1:10" ht="16.5">
      <c r="A16" s="2701" t="s">
        <v>2135</v>
      </c>
      <c r="B16" s="2703"/>
      <c r="C16" s="2703"/>
      <c r="D16" s="2703"/>
      <c r="E16" s="2702" t="e">
        <f t="shared" si="0"/>
        <v>#DIV/0!</v>
      </c>
      <c r="F16" s="2702" t="e">
        <f t="shared" si="1"/>
        <v>#DIV/0!</v>
      </c>
      <c r="G16" s="2327"/>
      <c r="H16" s="2327"/>
      <c r="I16" s="2703"/>
      <c r="J16" s="2705"/>
    </row>
    <row r="17" spans="1:10" ht="16.5">
      <c r="A17" s="2701" t="s">
        <v>2136</v>
      </c>
      <c r="B17" s="2703"/>
      <c r="C17" s="2703"/>
      <c r="D17" s="2703"/>
      <c r="E17" s="2702" t="e">
        <f t="shared" si="0"/>
        <v>#DIV/0!</v>
      </c>
      <c r="F17" s="2702" t="e">
        <f t="shared" si="1"/>
        <v>#DIV/0!</v>
      </c>
      <c r="G17" s="2327"/>
      <c r="H17" s="2327"/>
      <c r="I17" s="2703"/>
      <c r="J17" s="2705"/>
    </row>
    <row r="18" spans="1:10" ht="16.5">
      <c r="A18" s="2701" t="s">
        <v>2137</v>
      </c>
      <c r="B18" s="2703"/>
      <c r="C18" s="2703"/>
      <c r="D18" s="2703"/>
      <c r="E18" s="2702" t="e">
        <f t="shared" si="0"/>
        <v>#DIV/0!</v>
      </c>
      <c r="F18" s="2702" t="e">
        <f t="shared" si="1"/>
        <v>#DIV/0!</v>
      </c>
      <c r="G18" s="2703"/>
      <c r="H18" s="2703"/>
      <c r="I18" s="2703"/>
      <c r="J18" s="2705"/>
    </row>
    <row r="19" spans="1:10" ht="16.5">
      <c r="A19" s="2701" t="s">
        <v>2138</v>
      </c>
      <c r="B19" s="2703"/>
      <c r="C19" s="2703"/>
      <c r="D19" s="2703"/>
      <c r="E19" s="2702" t="e">
        <f t="shared" si="0"/>
        <v>#DIV/0!</v>
      </c>
      <c r="F19" s="2702" t="e">
        <f t="shared" si="1"/>
        <v>#DIV/0!</v>
      </c>
      <c r="G19" s="2703"/>
      <c r="H19" s="2703"/>
      <c r="I19" s="2703"/>
      <c r="J19" s="2705"/>
    </row>
    <row r="20" spans="1:10" ht="16.5">
      <c r="A20" s="2701" t="s">
        <v>2139</v>
      </c>
      <c r="B20" s="2703"/>
      <c r="C20" s="2703"/>
      <c r="D20" s="2703"/>
      <c r="E20" s="2702" t="e">
        <f t="shared" si="0"/>
        <v>#DIV/0!</v>
      </c>
      <c r="F20" s="2702" t="e">
        <f t="shared" si="1"/>
        <v>#DIV/0!</v>
      </c>
      <c r="G20" s="2703"/>
      <c r="H20" s="2703"/>
      <c r="I20" s="2703"/>
      <c r="J20" s="2705"/>
    </row>
    <row r="21" spans="1:10" ht="16.5">
      <c r="A21" s="2701" t="s">
        <v>2140</v>
      </c>
      <c r="B21" s="2703"/>
      <c r="C21" s="2703"/>
      <c r="D21" s="2703"/>
      <c r="E21" s="2702" t="e">
        <f t="shared" si="0"/>
        <v>#DIV/0!</v>
      </c>
      <c r="F21" s="2702" t="e">
        <f t="shared" si="1"/>
        <v>#DIV/0!</v>
      </c>
      <c r="G21" s="2703"/>
      <c r="H21" s="2703"/>
      <c r="I21" s="2703"/>
      <c r="J21" s="2705"/>
    </row>
    <row r="22" spans="1:10" ht="16.5">
      <c r="A22" s="2701" t="s">
        <v>2141</v>
      </c>
      <c r="B22" s="2703"/>
      <c r="C22" s="2703"/>
      <c r="D22" s="2703"/>
      <c r="E22" s="2702" t="e">
        <f t="shared" si="0"/>
        <v>#DIV/0!</v>
      </c>
      <c r="F22" s="2702" t="e">
        <f t="shared" si="1"/>
        <v>#DIV/0!</v>
      </c>
      <c r="G22" s="2703"/>
      <c r="H22" s="2703"/>
      <c r="I22" s="2703"/>
      <c r="J22" s="2705"/>
    </row>
    <row r="23" spans="1:10" ht="16.5">
      <c r="A23" s="2701" t="s">
        <v>2142</v>
      </c>
      <c r="B23" s="2703"/>
      <c r="C23" s="2703"/>
      <c r="D23" s="2703"/>
      <c r="E23" s="2327" t="e">
        <f t="shared" si="0"/>
        <v>#DIV/0!</v>
      </c>
      <c r="F23" s="2327" t="e">
        <f t="shared" si="1"/>
        <v>#DIV/0!</v>
      </c>
      <c r="G23" s="2703"/>
      <c r="H23" s="2703"/>
      <c r="I23" s="2703"/>
      <c r="J23" s="2705"/>
    </row>
    <row r="24" spans="1:10">
      <c r="A24" s="2705"/>
      <c r="B24" s="2705"/>
      <c r="C24" s="2705"/>
      <c r="D24" s="2705"/>
      <c r="E24" s="2705"/>
      <c r="F24" s="2705"/>
      <c r="G24" s="2705"/>
      <c r="H24" s="2705"/>
      <c r="I24" s="2705"/>
      <c r="J24" s="2705"/>
    </row>
    <row r="25" spans="1:10">
      <c r="A25" s="2705"/>
      <c r="B25" s="2705"/>
      <c r="C25" s="2705"/>
      <c r="D25" s="2705"/>
      <c r="E25" s="2705"/>
      <c r="F25" s="2705"/>
      <c r="G25" s="2705"/>
      <c r="H25" s="2705"/>
      <c r="I25" s="2705"/>
      <c r="J25" s="2705"/>
    </row>
    <row r="26" spans="1:10">
      <c r="A26" s="2705"/>
      <c r="B26" s="2705"/>
      <c r="C26" s="2705"/>
      <c r="D26" s="2705"/>
      <c r="E26" s="2705"/>
      <c r="F26" s="2705"/>
      <c r="G26" s="2705"/>
      <c r="H26" s="2705"/>
      <c r="I26" s="2705"/>
      <c r="J26" s="27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82" t="str">
        <f>项目基本情况!K2</f>
        <v>出让国有建设用地使用权</v>
      </c>
      <c r="B2" s="3583"/>
      <c r="C2" s="3584"/>
      <c r="D2" s="3584"/>
      <c r="E2" s="3584"/>
      <c r="F2" s="3584"/>
      <c r="G2" s="3583"/>
      <c r="H2" s="3583"/>
      <c r="I2" s="3585"/>
      <c r="J2" s="1644"/>
      <c r="K2" s="1637"/>
      <c r="L2" s="1637"/>
      <c r="M2" s="1637"/>
      <c r="N2" s="1637"/>
      <c r="O2" s="1637"/>
      <c r="P2" s="1637"/>
      <c r="Q2" s="1637"/>
      <c r="R2" s="1637"/>
      <c r="S2" s="1637"/>
      <c r="T2" s="1637"/>
      <c r="U2" s="1637"/>
      <c r="V2" s="1637"/>
    </row>
    <row r="3" spans="1:22" ht="14.25">
      <c r="A3" s="3593" t="s">
        <v>264</v>
      </c>
      <c r="B3" s="3594"/>
      <c r="C3" s="3594"/>
      <c r="D3" s="3594"/>
      <c r="E3" s="3594"/>
      <c r="F3" s="3594"/>
      <c r="G3" s="3594"/>
      <c r="H3" s="3594"/>
      <c r="I3" s="3594"/>
      <c r="J3" s="1644"/>
      <c r="K3" s="1637"/>
      <c r="L3" s="1637"/>
      <c r="M3" s="1637"/>
      <c r="N3" s="1637"/>
      <c r="O3" s="1637"/>
      <c r="P3" s="1637"/>
      <c r="Q3" s="1637"/>
      <c r="R3" s="1637"/>
      <c r="S3" s="1637"/>
      <c r="T3" s="1637"/>
      <c r="U3" s="1637"/>
      <c r="V3" s="1637"/>
    </row>
    <row r="4" spans="1:22" ht="14.25">
      <c r="A4" s="238" t="s">
        <v>265</v>
      </c>
      <c r="B4" s="239" t="s">
        <v>266</v>
      </c>
      <c r="C4" s="240" t="s">
        <v>3540</v>
      </c>
      <c r="D4" s="240" t="s">
        <v>3541</v>
      </c>
      <c r="E4" s="3557" t="s">
        <v>267</v>
      </c>
      <c r="F4" s="3599"/>
      <c r="G4" s="3599"/>
      <c r="H4" s="3599"/>
      <c r="I4" s="3558"/>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7"/>
      <c r="O4" s="1637"/>
      <c r="P4" s="1637"/>
      <c r="Q4" s="1637"/>
      <c r="R4" s="1637"/>
      <c r="S4" s="1637"/>
      <c r="T4" s="1637"/>
      <c r="U4" s="1637"/>
      <c r="V4" s="1637"/>
    </row>
    <row r="5" spans="1:22" ht="14.25">
      <c r="A5" s="3586" t="s">
        <v>268</v>
      </c>
      <c r="B5" s="3587">
        <v>25</v>
      </c>
      <c r="C5" s="3595"/>
      <c r="D5" s="3598"/>
      <c r="E5" s="241" t="s">
        <v>269</v>
      </c>
      <c r="F5" s="242"/>
      <c r="G5" s="242"/>
      <c r="H5" s="242"/>
      <c r="I5" s="243"/>
      <c r="J5" s="1644"/>
      <c r="K5" s="1637"/>
      <c r="L5" s="1637"/>
      <c r="M5" s="1637"/>
      <c r="N5" s="1637"/>
      <c r="O5" s="1637"/>
      <c r="P5" s="1637"/>
      <c r="Q5" s="1637"/>
      <c r="R5" s="1637"/>
      <c r="S5" s="1637"/>
      <c r="T5" s="1637"/>
      <c r="U5" s="1637"/>
      <c r="V5" s="1637"/>
    </row>
    <row r="6" spans="1:22" ht="14.25">
      <c r="A6" s="3586"/>
      <c r="B6" s="3587"/>
      <c r="C6" s="3596"/>
      <c r="D6" s="3598"/>
      <c r="E6" s="241" t="s">
        <v>270</v>
      </c>
      <c r="F6" s="242"/>
      <c r="G6" s="242"/>
      <c r="H6" s="242"/>
      <c r="I6" s="243"/>
      <c r="J6" s="1644"/>
      <c r="K6" s="1637"/>
      <c r="L6" s="1637"/>
      <c r="M6" s="1637"/>
      <c r="N6" s="1637"/>
      <c r="O6" s="1637"/>
      <c r="P6" s="1637"/>
      <c r="Q6" s="1637"/>
      <c r="R6" s="1637"/>
      <c r="S6" s="1637"/>
      <c r="T6" s="1637"/>
      <c r="U6" s="1637"/>
      <c r="V6" s="1637"/>
    </row>
    <row r="7" spans="1:22" ht="14.25">
      <c r="A7" s="3586"/>
      <c r="B7" s="3587"/>
      <c r="C7" s="3597"/>
      <c r="D7" s="3598"/>
      <c r="E7" s="241" t="s">
        <v>271</v>
      </c>
      <c r="F7" s="242"/>
      <c r="G7" s="242"/>
      <c r="H7" s="242"/>
      <c r="I7" s="243"/>
      <c r="J7" s="1644"/>
      <c r="K7" s="1637"/>
      <c r="L7" s="1637"/>
      <c r="M7" s="1637"/>
      <c r="N7" s="1637"/>
      <c r="O7" s="1637"/>
      <c r="P7" s="1637"/>
      <c r="Q7" s="1637"/>
      <c r="R7" s="1637"/>
      <c r="S7" s="1637"/>
      <c r="T7" s="1637"/>
      <c r="U7" s="1637"/>
      <c r="V7" s="1637"/>
    </row>
    <row r="8" spans="1:22" ht="14.25">
      <c r="A8" s="3586" t="s">
        <v>272</v>
      </c>
      <c r="B8" s="3587">
        <v>15</v>
      </c>
      <c r="C8" s="3595"/>
      <c r="D8" s="3598"/>
      <c r="E8" s="241" t="s">
        <v>273</v>
      </c>
      <c r="F8" s="242"/>
      <c r="G8" s="242"/>
      <c r="H8" s="242"/>
      <c r="I8" s="243"/>
      <c r="J8" s="1644"/>
      <c r="K8" s="1637"/>
      <c r="L8" s="1637"/>
      <c r="M8" s="1637"/>
      <c r="N8" s="1637"/>
      <c r="O8" s="1637"/>
      <c r="P8" s="1637"/>
      <c r="Q8" s="1637"/>
      <c r="R8" s="1637"/>
      <c r="S8" s="1637"/>
      <c r="T8" s="1637"/>
      <c r="U8" s="1637"/>
      <c r="V8" s="1637"/>
    </row>
    <row r="9" spans="1:22" ht="14.25">
      <c r="A9" s="3586"/>
      <c r="B9" s="3587"/>
      <c r="C9" s="3597"/>
      <c r="D9" s="3598"/>
      <c r="E9" s="241" t="s">
        <v>274</v>
      </c>
      <c r="F9" s="242"/>
      <c r="G9" s="242"/>
      <c r="H9" s="242"/>
      <c r="I9" s="243"/>
      <c r="J9" s="1644"/>
      <c r="K9" s="1637"/>
      <c r="L9" s="1637"/>
      <c r="M9" s="1637"/>
      <c r="N9" s="1637"/>
      <c r="O9" s="1637"/>
      <c r="P9" s="1637"/>
      <c r="Q9" s="1637"/>
      <c r="R9" s="1637"/>
      <c r="S9" s="1637"/>
      <c r="T9" s="1637"/>
      <c r="U9" s="1637"/>
      <c r="V9" s="1637"/>
    </row>
    <row r="10" spans="1:22" ht="14.25">
      <c r="A10" s="3586" t="s">
        <v>275</v>
      </c>
      <c r="B10" s="3587">
        <v>15</v>
      </c>
      <c r="C10" s="3595"/>
      <c r="D10" s="3598"/>
      <c r="E10" s="241" t="s">
        <v>276</v>
      </c>
      <c r="F10" s="242"/>
      <c r="G10" s="242"/>
      <c r="H10" s="242"/>
      <c r="I10" s="243"/>
      <c r="J10" s="1644"/>
      <c r="K10" s="1637"/>
      <c r="L10" s="1637"/>
      <c r="M10" s="1637"/>
      <c r="N10" s="1637"/>
      <c r="O10" s="1637"/>
      <c r="P10" s="1637"/>
      <c r="Q10" s="1637"/>
      <c r="R10" s="1637"/>
      <c r="S10" s="1637"/>
      <c r="T10" s="1637"/>
      <c r="U10" s="1637"/>
      <c r="V10" s="1637"/>
    </row>
    <row r="11" spans="1:22" ht="14.25">
      <c r="A11" s="3586"/>
      <c r="B11" s="3587"/>
      <c r="C11" s="3597"/>
      <c r="D11" s="3598"/>
      <c r="E11" s="241" t="s">
        <v>277</v>
      </c>
      <c r="F11" s="242"/>
      <c r="G11" s="242"/>
      <c r="H11" s="242"/>
      <c r="I11" s="243"/>
      <c r="J11" s="1644"/>
      <c r="K11" s="1637"/>
      <c r="L11" s="1637"/>
      <c r="M11" s="1637"/>
      <c r="N11" s="1637"/>
      <c r="O11" s="1637"/>
      <c r="P11" s="1637"/>
      <c r="Q11" s="1637"/>
      <c r="R11" s="1637"/>
      <c r="S11" s="1637"/>
      <c r="T11" s="1637"/>
      <c r="U11" s="1637"/>
      <c r="V11" s="1637"/>
    </row>
    <row r="12" spans="1:22" ht="14.25">
      <c r="A12" s="3586" t="s">
        <v>278</v>
      </c>
      <c r="B12" s="3587">
        <v>15</v>
      </c>
      <c r="C12" s="3595"/>
      <c r="D12" s="3598"/>
      <c r="E12" s="241" t="s">
        <v>279</v>
      </c>
      <c r="F12" s="242"/>
      <c r="G12" s="242"/>
      <c r="H12" s="242"/>
      <c r="I12" s="243"/>
      <c r="J12" s="1644"/>
      <c r="K12" s="1637"/>
      <c r="L12" s="1637"/>
      <c r="M12" s="1637"/>
      <c r="N12" s="1637"/>
      <c r="O12" s="1637"/>
      <c r="P12" s="1637"/>
      <c r="Q12" s="1637"/>
      <c r="R12" s="1637"/>
      <c r="S12" s="1637"/>
      <c r="T12" s="1637"/>
      <c r="U12" s="1637"/>
      <c r="V12" s="1637"/>
    </row>
    <row r="13" spans="1:22" ht="14.25">
      <c r="A13" s="3586"/>
      <c r="B13" s="3587"/>
      <c r="C13" s="3597"/>
      <c r="D13" s="3598"/>
      <c r="E13" s="241" t="s">
        <v>280</v>
      </c>
      <c r="F13" s="242"/>
      <c r="G13" s="242"/>
      <c r="H13" s="242"/>
      <c r="I13" s="243"/>
      <c r="J13" s="1644"/>
      <c r="K13" s="1637"/>
      <c r="L13" s="1637"/>
      <c r="M13" s="1637"/>
      <c r="N13" s="1637"/>
      <c r="O13" s="1637"/>
      <c r="P13" s="1637"/>
      <c r="Q13" s="1637"/>
      <c r="R13" s="1637"/>
      <c r="S13" s="1637"/>
      <c r="T13" s="1637"/>
      <c r="U13" s="1637"/>
      <c r="V13" s="1637"/>
    </row>
    <row r="14" spans="1:22" ht="14.25">
      <c r="A14" s="3586" t="s">
        <v>281</v>
      </c>
      <c r="B14" s="3587">
        <v>30</v>
      </c>
      <c r="C14" s="3595">
        <v>5</v>
      </c>
      <c r="D14" s="3598">
        <v>5</v>
      </c>
      <c r="E14" s="241" t="s">
        <v>282</v>
      </c>
      <c r="F14" s="242"/>
      <c r="G14" s="242"/>
      <c r="H14" s="242"/>
      <c r="I14" s="243"/>
      <c r="J14" s="1644"/>
      <c r="K14" s="1637"/>
      <c r="L14" s="1637"/>
      <c r="M14" s="1637"/>
      <c r="N14" s="1637"/>
      <c r="O14" s="1637"/>
      <c r="P14" s="1637"/>
      <c r="Q14" s="1637"/>
      <c r="R14" s="1637"/>
      <c r="S14" s="1637"/>
      <c r="T14" s="1637"/>
      <c r="U14" s="1637"/>
      <c r="V14" s="1637"/>
    </row>
    <row r="15" spans="1:22" ht="14.25">
      <c r="A15" s="3586"/>
      <c r="B15" s="3587"/>
      <c r="C15" s="3596"/>
      <c r="D15" s="3598"/>
      <c r="E15" s="241" t="s">
        <v>283</v>
      </c>
      <c r="F15" s="242"/>
      <c r="G15" s="242"/>
      <c r="H15" s="242"/>
      <c r="I15" s="243"/>
      <c r="J15" s="1644"/>
      <c r="K15" s="1637"/>
      <c r="L15" s="1637"/>
      <c r="M15" s="1637"/>
      <c r="N15" s="1637"/>
      <c r="O15" s="1637"/>
      <c r="P15" s="1637"/>
      <c r="Q15" s="1637"/>
      <c r="R15" s="1637"/>
      <c r="S15" s="1637"/>
      <c r="T15" s="1637"/>
      <c r="U15" s="1637"/>
      <c r="V15" s="1637"/>
    </row>
    <row r="16" spans="1:22" ht="14.25">
      <c r="A16" s="3586"/>
      <c r="B16" s="3587"/>
      <c r="C16" s="3597"/>
      <c r="D16" s="3598"/>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5</v>
      </c>
      <c r="D17" s="245">
        <f>SUM(D5:D16)</f>
        <v>5</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f>ROUND(C17/SUM(C17:D17),2)</f>
        <v>0.5</v>
      </c>
      <c r="D18" s="247">
        <f>1-C18</f>
        <v>0.5</v>
      </c>
      <c r="E18" s="3600" t="s">
        <v>2243</v>
      </c>
      <c r="F18" s="3601"/>
      <c r="G18" s="3601"/>
      <c r="H18" s="3601"/>
      <c r="I18" s="3601"/>
      <c r="J18" s="1637"/>
      <c r="K18" s="1637"/>
      <c r="L18" s="1637"/>
      <c r="M18" s="1637"/>
      <c r="N18" s="1637"/>
      <c r="O18" s="1637"/>
      <c r="P18" s="1637"/>
      <c r="Q18" s="1637"/>
      <c r="R18" s="1637"/>
      <c r="S18" s="1637"/>
      <c r="T18" s="1637"/>
      <c r="U18" s="1637"/>
      <c r="V18" s="1637"/>
    </row>
    <row r="19" spans="1:22" ht="15">
      <c r="A19" s="248" t="s">
        <v>287</v>
      </c>
      <c r="B19" s="249" t="s">
        <v>288</v>
      </c>
      <c r="C19" s="250">
        <f ca="1">SUMIF(INDIRECT("'"&amp;C4&amp;"'"&amp;"!A:A"),结果表!B19,INDIRECT("'"&amp;C4&amp;"'"&amp;"!B:B"))</f>
        <v>25877</v>
      </c>
      <c r="D19" s="251">
        <f ca="1">SUMIF(INDIRECT("'"&amp;D4&amp;"'"&amp;"!A:A"),结果表!B19,INDIRECT("'"&amp;D4&amp;"'"&amp;"!B:B"))</f>
        <v>24206</v>
      </c>
      <c r="E19" s="248" t="s">
        <v>289</v>
      </c>
      <c r="F19" s="249" t="s">
        <v>288</v>
      </c>
      <c r="G19" s="252">
        <f ca="1">ROUND(C19*$C$18+D19*$D$18,0)</f>
        <v>25042</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f ca="1">SUMIF(INDIRECT("'"&amp;C4&amp;"'"&amp;"!A:A"),结果表!B20,INDIRECT("'"&amp;C4&amp;"'"&amp;"!B:B"))</f>
        <v>2587</v>
      </c>
      <c r="D20" s="256">
        <f ca="1">SUMIF(INDIRECT("'"&amp;D4&amp;"'"&amp;"!A:A"),结果表!B20,INDIRECT("'"&amp;D4&amp;"'"&amp;"!B:B"))</f>
        <v>2420</v>
      </c>
      <c r="E20" s="254"/>
      <c r="F20" s="102" t="s">
        <v>291</v>
      </c>
      <c r="G20" s="257">
        <f ca="1">ROUND(C20*$C$18+D20*$D$18,0)</f>
        <v>2504</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f ca="1">SUMIF(INDIRECT("'"&amp;C4&amp;"'"&amp;"!A:A"),结果表!B21,INDIRECT("'"&amp;C4&amp;"'"&amp;"!B:B"))</f>
        <v>7761</v>
      </c>
      <c r="D21" s="135">
        <f ca="1">SUMIF(INDIRECT("'"&amp;D4&amp;"'"&amp;"!A:A"),结果表!B21,INDIRECT("'"&amp;D4&amp;"'"&amp;"!B:B"))</f>
        <v>7260</v>
      </c>
      <c r="E21" s="254"/>
      <c r="F21" s="106" t="s">
        <v>293</v>
      </c>
      <c r="G21" s="260">
        <f ca="1">ROUND(C21*$C$18+D21*$D$18,0)</f>
        <v>7511</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f ca="1">IF(C19&lt;D19,D19/C19-1,C19/D19-1)</f>
        <v>6.9032471288110298E-2</v>
      </c>
      <c r="E22" s="262"/>
      <c r="F22" s="263"/>
      <c r="G22" s="264">
        <f ca="1">ROUND(G19/('数据-汇总表'!D3/666.67),0)</f>
        <v>501</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59"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606"/>
      <c r="B25" s="1125" t="s">
        <v>297</v>
      </c>
      <c r="C25" s="268">
        <f>IF(B30=0,0,C30)</f>
        <v>0</v>
      </c>
      <c r="D25" s="269"/>
      <c r="E25" s="287"/>
      <c r="F25" s="287"/>
      <c r="G25" s="287"/>
      <c r="H25" s="287"/>
      <c r="I25" s="287"/>
      <c r="J25" s="1637"/>
      <c r="K25" s="1062" t="str">
        <f ca="1">项目基本情况!A17&amp;"国有建设用地使用权价格："&amp;O38&amp;"万元"</f>
        <v>出让国有建设用地使用权价格：25042万元</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str">
        <f ca="1">"大写金额：人民币"&amp;NUMBERSTRING(INT(O38*10000),2)&amp;"元整"</f>
        <v>大写金额：人民币贰亿伍仟零肆拾贰万元整</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str">
        <f ca="1">"单位面积地价："&amp;M38&amp;"元/平方米"</f>
        <v>单位面积地价：7510元/平方米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 ca="1">"楼面地价："&amp;N38&amp;"元/平方米"</f>
        <v>楼面地价：2503元/平方米</v>
      </c>
      <c r="L28" s="1061"/>
      <c r="M28" s="1061"/>
      <c r="N28" s="1061"/>
      <c r="O28" s="258"/>
      <c r="P28" s="1637"/>
      <c r="V28" s="1637"/>
    </row>
    <row r="29" spans="1:22" ht="18">
      <c r="A29" s="270"/>
      <c r="B29" s="271"/>
      <c r="C29" s="271"/>
      <c r="D29" s="272"/>
      <c r="E29" s="287"/>
      <c r="F29" s="287"/>
      <c r="G29" s="287"/>
      <c r="H29" s="287"/>
      <c r="I29" s="287"/>
      <c r="J29" s="1637"/>
      <c r="K29" s="1065" t="str">
        <f ca="1">IF(OR(项目基本情况!E8="抵押价格",项目基本情况!E8="已注销及未注销"),"抵押价格："&amp;O39&amp;"万元","——")</f>
        <v>抵押价格：25042万元</v>
      </c>
      <c r="L29" s="1061"/>
      <c r="M29" s="1061"/>
      <c r="N29" s="1061"/>
      <c r="O29" s="258"/>
      <c r="P29" s="1637"/>
      <c r="V29" s="1637"/>
    </row>
    <row r="30" spans="1:22" ht="18.75" thickBot="1">
      <c r="A30" s="2366" t="s">
        <v>302</v>
      </c>
      <c r="B30" s="285"/>
      <c r="C30" s="285"/>
      <c r="D30" s="286"/>
      <c r="E30" s="2540" t="s">
        <v>2244</v>
      </c>
      <c r="F30" s="287"/>
      <c r="G30" s="287"/>
      <c r="H30" s="287"/>
      <c r="I30" s="287"/>
      <c r="J30" s="1637"/>
      <c r="K30" s="1065" t="str">
        <f ca="1">IF(K29="——","——","大写金额：人民币"&amp;NUMBERSTRING(INT(O39*10000),2)&amp;"元整")</f>
        <v>大写金额：人民币贰亿伍仟零肆拾贰万元整</v>
      </c>
      <c r="L30" s="1061"/>
      <c r="M30" s="1061"/>
      <c r="N30" s="1061"/>
      <c r="O30" s="258"/>
      <c r="P30" s="1637"/>
      <c r="V30" s="1637"/>
    </row>
    <row r="31" spans="1:22" ht="24" customHeight="1" thickBot="1">
      <c r="A31" s="3602" t="s">
        <v>2245</v>
      </c>
      <c r="B31" s="3602"/>
      <c r="C31" s="3602"/>
      <c r="D31" s="3602"/>
      <c r="E31" s="3602"/>
      <c r="F31" s="3602"/>
      <c r="G31" s="3602"/>
      <c r="H31" s="3602"/>
      <c r="I31" s="3602"/>
      <c r="J31" s="1637"/>
      <c r="K31" s="1981" t="str">
        <f>IF(项目基本情况!E8="抵押价格","——","抵押担保权已注销时的抵押价格："&amp;O40&amp;"万元")</f>
        <v>——</v>
      </c>
      <c r="L31" s="1978"/>
      <c r="M31" s="1978"/>
      <c r="N31" s="1978"/>
      <c r="O31" s="1979"/>
      <c r="P31" s="1637"/>
      <c r="V31" s="1637"/>
    </row>
    <row r="32" spans="1:22" ht="19.5" thickTop="1" thickBot="1">
      <c r="A32" s="254" t="s">
        <v>303</v>
      </c>
      <c r="B32" s="2541" t="s">
        <v>1221</v>
      </c>
      <c r="C32" s="246">
        <f ca="1">G19-C24</f>
        <v>25042</v>
      </c>
      <c r="D32" s="2542" t="s">
        <v>1222</v>
      </c>
      <c r="E32" s="287"/>
      <c r="F32" s="287"/>
      <c r="G32" s="287"/>
      <c r="H32" s="287"/>
      <c r="I32" s="287"/>
      <c r="J32" s="1637"/>
      <c r="K32" s="1977" t="str">
        <f>IF(K31="——","——","大写金额：人民币"&amp;NUMBERSTRING(INT(O40*10000),2)&amp;"元整")</f>
        <v>——</v>
      </c>
      <c r="L32" s="1637"/>
      <c r="M32" s="1637"/>
      <c r="N32" s="1637"/>
      <c r="O32" s="1980"/>
      <c r="P32" s="1637"/>
      <c r="V32" s="1637"/>
    </row>
    <row r="33" spans="1:22" ht="18.75" thickBot="1">
      <c r="A33" s="275" t="s">
        <v>306</v>
      </c>
      <c r="B33" s="1173" t="s">
        <v>1223</v>
      </c>
      <c r="C33" s="244">
        <f ca="1">ROUND(C32*10000/'数据-汇总表'!E3,0)</f>
        <v>2503</v>
      </c>
      <c r="D33" s="1174" t="s">
        <v>1224</v>
      </c>
      <c r="E33" s="3559" t="s">
        <v>304</v>
      </c>
      <c r="F33" s="273" t="s">
        <v>305</v>
      </c>
      <c r="G33" s="274"/>
      <c r="H33" s="895"/>
      <c r="I33" s="1066"/>
      <c r="J33" s="1637"/>
      <c r="K33" s="1065" t="str">
        <f>IF(项目基本情况!E9="——","——","抵押净值："&amp;C46&amp;"万元")</f>
        <v>——</v>
      </c>
      <c r="L33" s="1061"/>
      <c r="M33" s="1061"/>
      <c r="N33" s="1061"/>
      <c r="O33" s="258"/>
      <c r="P33" s="1637"/>
      <c r="V33" s="1637"/>
    </row>
    <row r="34" spans="1:22" ht="18.75" thickBot="1">
      <c r="A34" s="277"/>
      <c r="B34" s="98" t="s">
        <v>1225</v>
      </c>
      <c r="C34" s="244">
        <f ca="1">ROUND(C32*10000/'数据-汇总表'!D3,0)</f>
        <v>7510</v>
      </c>
      <c r="D34" s="1174" t="s">
        <v>1224</v>
      </c>
      <c r="E34" s="3560"/>
      <c r="F34" s="118" t="s">
        <v>307</v>
      </c>
      <c r="G34" s="276"/>
      <c r="H34" s="96"/>
      <c r="I34" s="287"/>
      <c r="J34" s="1637"/>
      <c r="K34" s="1068" t="str">
        <f>IF(K33="——","——","大写金额：人民币"&amp;NUMBERSTRING(INT(O41*10000),2)&amp;"元整")</f>
        <v>——</v>
      </c>
      <c r="L34" s="1069"/>
      <c r="M34" s="1069"/>
      <c r="N34" s="1069"/>
      <c r="O34" s="1070"/>
      <c r="P34" s="1637"/>
      <c r="V34" s="1637"/>
    </row>
    <row r="35" spans="1:22" ht="15.75" thickBot="1">
      <c r="A35" s="262"/>
      <c r="B35" s="1175"/>
      <c r="C35" s="1176">
        <f ca="1">ROUND(C32/('数据-汇总表'!D3/666.67),0)</f>
        <v>501</v>
      </c>
      <c r="D35" s="1177" t="s">
        <v>1226</v>
      </c>
      <c r="E35" s="3561"/>
      <c r="F35" s="278" t="s">
        <v>308</v>
      </c>
      <c r="G35" s="897"/>
      <c r="H35" s="896" t="s">
        <v>309</v>
      </c>
      <c r="I35" s="287"/>
      <c r="J35" s="1637"/>
      <c r="K35" s="3565" t="s">
        <v>316</v>
      </c>
      <c r="L35" s="3565" t="s">
        <v>317</v>
      </c>
      <c r="M35" s="1071" t="s">
        <v>318</v>
      </c>
      <c r="N35" s="3565" t="s">
        <v>319</v>
      </c>
      <c r="O35" s="3565" t="s">
        <v>320</v>
      </c>
      <c r="P35" s="1637"/>
      <c r="V35" s="1637"/>
    </row>
    <row r="36" spans="1:22" ht="16.5" customHeight="1">
      <c r="A36" s="280" t="s">
        <v>310</v>
      </c>
      <c r="B36" s="281" t="s">
        <v>299</v>
      </c>
      <c r="C36" s="282" t="s">
        <v>311</v>
      </c>
      <c r="D36" s="282" t="s">
        <v>312</v>
      </c>
      <c r="E36" s="283" t="s">
        <v>313</v>
      </c>
      <c r="F36" s="287"/>
      <c r="G36" s="287"/>
      <c r="H36" s="287"/>
      <c r="I36" s="287"/>
      <c r="J36" s="1645"/>
      <c r="K36" s="3566"/>
      <c r="L36" s="3566"/>
      <c r="M36" s="1073" t="s">
        <v>321</v>
      </c>
      <c r="N36" s="3566"/>
      <c r="O36" s="3566"/>
      <c r="P36" s="1637"/>
      <c r="V36" s="1637"/>
    </row>
    <row r="37" spans="1:22" ht="16.5" customHeight="1" thickBot="1">
      <c r="A37" s="1067" t="s">
        <v>314</v>
      </c>
      <c r="B37" s="270"/>
      <c r="C37" s="271"/>
      <c r="D37" s="271"/>
      <c r="E37" s="272"/>
      <c r="F37" s="287"/>
      <c r="G37" s="287"/>
      <c r="H37" s="287"/>
      <c r="I37" s="287"/>
      <c r="J37" s="1645"/>
      <c r="K37" s="3567"/>
      <c r="L37" s="3567"/>
      <c r="M37" s="1074"/>
      <c r="N37" s="3567"/>
      <c r="O37" s="3567"/>
      <c r="P37" s="1637"/>
      <c r="V37" s="1637"/>
    </row>
    <row r="38" spans="1:22" ht="16.5" customHeight="1" thickBot="1">
      <c r="A38" s="1067" t="s">
        <v>315</v>
      </c>
      <c r="B38" s="270"/>
      <c r="C38" s="271"/>
      <c r="D38" s="271"/>
      <c r="E38" s="272"/>
      <c r="F38" s="287"/>
      <c r="G38" s="287"/>
      <c r="H38" s="287"/>
      <c r="I38" s="287"/>
      <c r="J38" s="1645"/>
      <c r="K38" s="1075">
        <f>'数据-汇总表'!D3</f>
        <v>33342.660000000003</v>
      </c>
      <c r="L38" s="1076">
        <f>'数据-汇总表'!E3</f>
        <v>100027.98000000001</v>
      </c>
      <c r="M38" s="1076">
        <f ca="1">C34</f>
        <v>7510</v>
      </c>
      <c r="N38" s="1076">
        <f ca="1">C33</f>
        <v>2503</v>
      </c>
      <c r="O38" s="1077">
        <f ca="1">C32</f>
        <v>25042</v>
      </c>
      <c r="P38" s="1637"/>
      <c r="V38" s="1637"/>
    </row>
    <row r="39" spans="1:22" ht="16.5" customHeight="1" thickBot="1">
      <c r="A39" s="1072"/>
      <c r="B39" s="284"/>
      <c r="C39" s="285"/>
      <c r="D39" s="285"/>
      <c r="E39" s="286"/>
      <c r="F39" s="287"/>
      <c r="G39" s="287"/>
      <c r="H39" s="287"/>
      <c r="I39" s="287"/>
      <c r="J39" s="1645"/>
      <c r="K39" s="3578" t="str">
        <f>MID(A44,3,LEN(A44)-2)</f>
        <v>抵押价格</v>
      </c>
      <c r="L39" s="3579"/>
      <c r="M39" s="3579"/>
      <c r="N39" s="3580"/>
      <c r="O39" s="1179">
        <f ca="1">C44</f>
        <v>25042</v>
      </c>
      <c r="P39" s="1637"/>
      <c r="V39" s="1637"/>
    </row>
    <row r="40" spans="1:22" ht="19.5" thickBot="1">
      <c r="A40" s="95" t="s">
        <v>810</v>
      </c>
      <c r="B40" s="287"/>
      <c r="C40" s="287"/>
      <c r="D40" s="287"/>
      <c r="E40" s="287"/>
      <c r="F40" s="287"/>
      <c r="G40" s="287"/>
      <c r="H40" s="287"/>
      <c r="I40" s="287"/>
      <c r="J40" s="1645"/>
      <c r="K40" s="3578" t="str">
        <f>MID(A45,3,LEN(A45)-2)</f>
        <v/>
      </c>
      <c r="L40" s="3579"/>
      <c r="M40" s="3579"/>
      <c r="N40" s="3580"/>
      <c r="O40" s="1179" t="str">
        <f>C45</f>
        <v>——</v>
      </c>
      <c r="P40" s="1637"/>
      <c r="V40" s="1637"/>
    </row>
    <row r="41" spans="1:22" ht="16.5" thickBot="1">
      <c r="A41" s="288" t="s">
        <v>322</v>
      </c>
      <c r="B41" s="289"/>
      <c r="C41" s="290" t="s">
        <v>323</v>
      </c>
      <c r="D41" s="291" t="s">
        <v>324</v>
      </c>
      <c r="E41" s="291" t="s">
        <v>325</v>
      </c>
      <c r="F41" s="292" t="s">
        <v>326</v>
      </c>
      <c r="G41" s="287"/>
      <c r="H41" s="287"/>
      <c r="I41" s="287"/>
      <c r="J41" s="1645"/>
      <c r="K41" s="3578" t="str">
        <f>MID(A46,3,LEN(A46)-2)</f>
        <v/>
      </c>
      <c r="L41" s="3579"/>
      <c r="M41" s="3579"/>
      <c r="N41" s="3580"/>
      <c r="O41" s="1179" t="str">
        <f>C46</f>
        <v>——</v>
      </c>
      <c r="P41" s="1637"/>
      <c r="V41" s="1637"/>
    </row>
    <row r="42" spans="1:22" ht="29.25">
      <c r="A42" s="3607" t="s">
        <v>1585</v>
      </c>
      <c r="B42" s="3608"/>
      <c r="C42" s="244">
        <f ca="1">C32</f>
        <v>25042</v>
      </c>
      <c r="D42" s="293">
        <f ca="1">C33</f>
        <v>2503</v>
      </c>
      <c r="E42" s="293">
        <f ca="1">C34</f>
        <v>7510</v>
      </c>
      <c r="F42" s="294">
        <f ca="1">C35</f>
        <v>501</v>
      </c>
      <c r="G42" s="287"/>
      <c r="H42" s="287"/>
      <c r="I42" s="295"/>
      <c r="J42" s="1645"/>
      <c r="K42" s="1078" t="s">
        <v>327</v>
      </c>
      <c r="L42" s="1661" t="s">
        <v>328</v>
      </c>
      <c r="M42" s="1079" t="s">
        <v>329</v>
      </c>
      <c r="N42" s="1662" t="s">
        <v>330</v>
      </c>
      <c r="O42" s="1663" t="s">
        <v>331</v>
      </c>
      <c r="P42" s="1637"/>
      <c r="V42" s="1637"/>
    </row>
    <row r="43" spans="1:22" ht="30">
      <c r="A43" s="3617" t="s">
        <v>2011</v>
      </c>
      <c r="B43" s="3618"/>
      <c r="C43" s="244">
        <f>IF(H33="正常操作",G33+G34+G35,G34+G35)</f>
        <v>0</v>
      </c>
      <c r="D43" s="293" t="s">
        <v>17</v>
      </c>
      <c r="E43" s="293" t="s">
        <v>18</v>
      </c>
      <c r="F43" s="294" t="s">
        <v>18</v>
      </c>
      <c r="G43" s="2172" t="s">
        <v>877</v>
      </c>
      <c r="H43" s="287"/>
      <c r="I43" s="295"/>
      <c r="J43" s="1645"/>
      <c r="K43" s="1080" t="str">
        <f>C4</f>
        <v>比较法-住宅、综合</v>
      </c>
      <c r="L43" s="1081">
        <f ca="1">IF(L42="估价结果/万元",C19,C20)</f>
        <v>25877</v>
      </c>
      <c r="M43" s="1082">
        <f>C18</f>
        <v>0.5</v>
      </c>
      <c r="N43" s="1083">
        <f ca="1">IF(N42="测算结果/万元",G19,G20)</f>
        <v>25042</v>
      </c>
      <c r="O43" s="1084">
        <f ca="1">IF(O42="最终结果/万元",C32,C33)</f>
        <v>25042</v>
      </c>
      <c r="P43" s="1637"/>
      <c r="V43" s="1637"/>
    </row>
    <row r="44" spans="1:22" ht="30.75" thickBot="1">
      <c r="A44" s="3607" t="str">
        <f>IF(OR(项目基本情况!E8="抵押价格",项目基本情况!E8="已注销及未注销"),"3.抵押价格","——")</f>
        <v>3.抵押价格</v>
      </c>
      <c r="B44" s="3608"/>
      <c r="C44" s="244">
        <f ca="1">IF(A44="——","——",C42-C43)</f>
        <v>25042</v>
      </c>
      <c r="D44" s="293">
        <f ca="1">ROUND(C44*10000/'数据-汇总表'!E3,0)</f>
        <v>2503</v>
      </c>
      <c r="E44" s="293">
        <f ca="1">ROUND(C44*10000/'数据-汇总表'!D3,0)</f>
        <v>7510</v>
      </c>
      <c r="F44" s="294">
        <f ca="1">ROUND(C44/('数据-汇总表'!D3/666.67),0)</f>
        <v>501</v>
      </c>
      <c r="G44" s="287"/>
      <c r="H44" s="287"/>
      <c r="I44" s="295"/>
      <c r="J44" s="1645"/>
      <c r="K44" s="1085" t="str">
        <f>D4</f>
        <v>剩余法-待开发</v>
      </c>
      <c r="L44" s="1086">
        <f ca="1">IF(L42="估价结果/万元",D19,D20)</f>
        <v>24206</v>
      </c>
      <c r="M44" s="1087">
        <f>D18</f>
        <v>0.5</v>
      </c>
      <c r="N44" s="1088"/>
      <c r="O44" s="1089"/>
      <c r="P44" s="1637"/>
      <c r="V44" s="1637"/>
    </row>
    <row r="45" spans="1:22" ht="15">
      <c r="A45" s="3612" t="str">
        <f>IF(项目基本情况!E8="已注销及未注销","4.抵押担保权已注销时的抵押价格",IF(项目基本情况!E8="已注销","3.抵押担保权已注销时的抵押价格","——"))</f>
        <v>——</v>
      </c>
      <c r="B45" s="3613"/>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609" t="str">
        <f>IF(项目基本情况!E9="抵押净值",IF(A45="——","4.抵押净值","5.抵押净值"),"——")</f>
        <v>——</v>
      </c>
      <c r="B46" s="3610"/>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70" t="s">
        <v>340</v>
      </c>
      <c r="B63" s="3571"/>
      <c r="C63" s="3572"/>
      <c r="D63" s="315">
        <f ca="1">ROUND(C42*F63,0)</f>
        <v>25042</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614" t="s">
        <v>344</v>
      </c>
      <c r="B64" s="3615"/>
      <c r="C64" s="3615"/>
      <c r="D64" s="3615"/>
      <c r="E64" s="3615"/>
      <c r="F64" s="3615"/>
      <c r="G64" s="3616"/>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611" t="s">
        <v>352</v>
      </c>
      <c r="B66" s="3577"/>
      <c r="C66" s="3577"/>
      <c r="D66" s="241" t="b">
        <f>IF(H66="情况1",0,IF(H66="情况2",D70,IF(H66="情况3",D71,IF(H66="情况4",D72))))</f>
        <v>0</v>
      </c>
      <c r="E66" s="907" t="str">
        <f>IF(H66="情况4","(销售额-原购置价)×税（费）率","销售额×税（费）率")</f>
        <v>销售额×税（费）率</v>
      </c>
      <c r="F66" s="324">
        <f>IF(H66="情况1","免征",'数据-取费表'!B41)</f>
        <v>5.6000000000000001E-2</v>
      </c>
      <c r="G66" s="325" t="s">
        <v>353</v>
      </c>
      <c r="H66" s="174"/>
      <c r="I66" s="1094"/>
      <c r="J66" s="1649"/>
      <c r="K66" s="1097">
        <v>1</v>
      </c>
      <c r="L66" s="3538" t="s">
        <v>351</v>
      </c>
      <c r="M66" s="3539"/>
      <c r="N66" s="1974"/>
      <c r="O66" s="1975"/>
      <c r="P66" s="1976"/>
      <c r="Q66" s="1637"/>
      <c r="R66" s="1637"/>
      <c r="S66" s="1637"/>
      <c r="T66" s="1637"/>
      <c r="U66" s="1637"/>
      <c r="V66" s="1637"/>
    </row>
    <row r="67" spans="1:22" ht="25.5" customHeight="1">
      <c r="A67" s="326" t="s">
        <v>355</v>
      </c>
      <c r="B67" s="3589" t="s">
        <v>356</v>
      </c>
      <c r="C67" s="3589"/>
      <c r="D67" s="327">
        <v>0</v>
      </c>
      <c r="E67" s="37" t="s">
        <v>357</v>
      </c>
      <c r="F67" s="58" t="s">
        <v>15</v>
      </c>
      <c r="G67" s="3573"/>
      <c r="H67" s="2543" t="s">
        <v>2246</v>
      </c>
      <c r="I67" s="2545"/>
      <c r="J67" s="1650"/>
      <c r="K67" s="1633">
        <v>2</v>
      </c>
      <c r="L67" s="3543" t="s">
        <v>354</v>
      </c>
      <c r="M67" s="3543"/>
      <c r="N67" s="1129">
        <f>'数据-取费表'!B2</f>
        <v>46000</v>
      </c>
      <c r="O67" s="1129"/>
      <c r="P67" s="1129"/>
      <c r="Q67" s="1637"/>
      <c r="R67" s="1637"/>
      <c r="S67" s="1637"/>
      <c r="T67" s="1637"/>
      <c r="U67" s="1637"/>
      <c r="V67" s="1637"/>
    </row>
    <row r="68" spans="1:22" ht="25.5" customHeight="1">
      <c r="A68" s="328"/>
      <c r="B68" s="3589" t="s">
        <v>359</v>
      </c>
      <c r="C68" s="3589"/>
      <c r="D68" s="329"/>
      <c r="E68" s="73"/>
      <c r="F68" s="330"/>
      <c r="G68" s="3574"/>
      <c r="H68" s="2544" t="s">
        <v>2247</v>
      </c>
      <c r="I68" s="2545"/>
      <c r="J68" s="1650"/>
      <c r="K68" s="1633">
        <v>3</v>
      </c>
      <c r="L68" s="3543" t="s">
        <v>358</v>
      </c>
      <c r="M68" s="3543"/>
      <c r="N68" s="1099">
        <f ca="1">C42</f>
        <v>25042</v>
      </c>
      <c r="O68" s="1099"/>
      <c r="P68" s="1099"/>
      <c r="Q68" s="1637"/>
      <c r="R68" s="1637"/>
      <c r="S68" s="1637"/>
      <c r="T68" s="1637"/>
      <c r="U68" s="1637"/>
      <c r="V68" s="1637"/>
    </row>
    <row r="69" spans="1:22" ht="23.45" customHeight="1">
      <c r="A69" s="331"/>
      <c r="B69" s="3589" t="s">
        <v>360</v>
      </c>
      <c r="C69" s="3589"/>
      <c r="D69" s="332"/>
      <c r="E69" s="69"/>
      <c r="F69" s="330"/>
      <c r="G69" s="3575"/>
      <c r="H69" s="2544" t="s">
        <v>2248</v>
      </c>
      <c r="I69" s="2545"/>
      <c r="J69" s="1650"/>
      <c r="K69" s="1100">
        <v>4</v>
      </c>
      <c r="L69" s="3544" t="s">
        <v>2156</v>
      </c>
      <c r="M69" s="3545"/>
      <c r="N69" s="1101">
        <f ca="1">C44</f>
        <v>25042</v>
      </c>
      <c r="O69" s="1101"/>
      <c r="P69" s="1101"/>
      <c r="Q69" s="1637"/>
      <c r="R69" s="1637"/>
      <c r="S69" s="1637"/>
      <c r="T69" s="1637"/>
      <c r="U69" s="1637"/>
      <c r="V69" s="1637"/>
    </row>
    <row r="70" spans="1:22" ht="24" customHeight="1">
      <c r="A70" s="333" t="s">
        <v>361</v>
      </c>
      <c r="B70" s="3589" t="s">
        <v>362</v>
      </c>
      <c r="C70" s="3589"/>
      <c r="D70" s="332">
        <f ca="1">ROUND(D63*'数据-取费表'!B41/(1+'数据-取费表'!C42),0)</f>
        <v>1336</v>
      </c>
      <c r="E70" s="14" t="s">
        <v>363</v>
      </c>
      <c r="F70" s="334">
        <f>'数据-取费表'!B41</f>
        <v>5.6000000000000001E-2</v>
      </c>
      <c r="G70" s="335"/>
      <c r="H70" s="287"/>
      <c r="I70" s="1098"/>
      <c r="J70" s="1650"/>
      <c r="K70" s="2334"/>
      <c r="L70" s="2335"/>
      <c r="M70" s="2335"/>
      <c r="N70" s="2336" t="s">
        <v>2160</v>
      </c>
      <c r="O70" s="2335"/>
      <c r="P70" s="2337"/>
      <c r="Q70" s="1637"/>
      <c r="R70" s="1637"/>
      <c r="S70" s="1637"/>
      <c r="T70" s="1637"/>
      <c r="U70" s="1637"/>
      <c r="V70" s="1637"/>
    </row>
    <row r="71" spans="1:22" ht="12" customHeight="1">
      <c r="A71" s="333" t="s">
        <v>369</v>
      </c>
      <c r="B71" s="3588" t="s">
        <v>2270</v>
      </c>
      <c r="C71" s="3605"/>
      <c r="D71" s="332">
        <f ca="1">ROUND(D63*'数据-取费表'!B41/(1+'数据-取费表'!C42),0)</f>
        <v>1336</v>
      </c>
      <c r="E71" s="14" t="s">
        <v>363</v>
      </c>
      <c r="F71" s="334">
        <f>'数据-取费表'!B41</f>
        <v>5.6000000000000001E-2</v>
      </c>
      <c r="G71" s="335"/>
      <c r="H71" s="287"/>
      <c r="I71" s="1098"/>
      <c r="J71" s="1650"/>
      <c r="K71" s="2333" t="s">
        <v>364</v>
      </c>
      <c r="L71" s="3546" t="s">
        <v>365</v>
      </c>
      <c r="M71" s="3546"/>
      <c r="N71" s="2333" t="s">
        <v>366</v>
      </c>
      <c r="O71" s="2333" t="s">
        <v>367</v>
      </c>
      <c r="P71" s="2333" t="s">
        <v>368</v>
      </c>
      <c r="Q71" s="1637"/>
      <c r="R71" s="1637"/>
      <c r="S71" s="1637"/>
      <c r="T71" s="1637"/>
      <c r="U71" s="1637"/>
      <c r="V71" s="1637"/>
    </row>
    <row r="72" spans="1:22" ht="12" customHeight="1">
      <c r="A72" s="333" t="s">
        <v>371</v>
      </c>
      <c r="B72" s="3588" t="s">
        <v>2271</v>
      </c>
      <c r="C72" s="3605"/>
      <c r="D72" s="332">
        <f ca="1">C86</f>
        <v>1336</v>
      </c>
      <c r="E72" s="69" t="s">
        <v>372</v>
      </c>
      <c r="F72" s="334">
        <f>'数据-取费表'!B41</f>
        <v>5.6000000000000001E-2</v>
      </c>
      <c r="G72" s="335"/>
      <c r="H72" s="1104"/>
      <c r="I72" s="1098"/>
      <c r="J72" s="1650"/>
      <c r="K72" s="1633">
        <v>1</v>
      </c>
      <c r="L72" s="3542" t="s">
        <v>370</v>
      </c>
      <c r="M72" s="3542"/>
      <c r="N72" s="1102" t="b">
        <f>D66</f>
        <v>0</v>
      </c>
      <c r="O72" s="1540" t="str">
        <f>E66</f>
        <v>销售额×税（费）率</v>
      </c>
      <c r="P72" s="1103">
        <f>F66</f>
        <v>5.6000000000000001E-2</v>
      </c>
      <c r="Q72" s="1637"/>
      <c r="R72" s="1637"/>
      <c r="S72" s="1637"/>
      <c r="T72" s="1637"/>
      <c r="U72" s="1637"/>
      <c r="V72" s="1637"/>
    </row>
    <row r="73" spans="1:22" ht="24" customHeight="1">
      <c r="A73" s="3576" t="s">
        <v>374</v>
      </c>
      <c r="B73" s="3577"/>
      <c r="C73" s="3577"/>
      <c r="D73" s="336">
        <f ca="1">IF(H73="个人住宅",0,ROUND(D63*I73,0))</f>
        <v>13</v>
      </c>
      <c r="E73" s="14" t="s">
        <v>375</v>
      </c>
      <c r="F73" s="334" t="str">
        <f>IF(H73="正常",I73,"免征")</f>
        <v>免征</v>
      </c>
      <c r="G73" s="335"/>
      <c r="H73" s="174"/>
      <c r="I73" s="334">
        <f>'数据-取费表'!B49</f>
        <v>5.0000000000000001E-4</v>
      </c>
      <c r="J73" s="1650"/>
      <c r="K73" s="1633">
        <v>2</v>
      </c>
      <c r="L73" s="3542" t="s">
        <v>373</v>
      </c>
      <c r="M73" s="3542"/>
      <c r="N73" s="1102">
        <f t="shared" ref="N73:P74" ca="1" si="0">D73</f>
        <v>13</v>
      </c>
      <c r="O73" s="1540" t="str">
        <f t="shared" si="0"/>
        <v>销售额×税（费）率</v>
      </c>
      <c r="P73" s="1103" t="str">
        <f t="shared" si="0"/>
        <v>免征</v>
      </c>
      <c r="Q73" s="1637"/>
      <c r="R73" s="1637"/>
      <c r="S73" s="1637"/>
      <c r="T73" s="1637"/>
      <c r="U73" s="1637"/>
      <c r="V73" s="1637"/>
    </row>
    <row r="74" spans="1:22" ht="24.75">
      <c r="A74" s="3576" t="s">
        <v>377</v>
      </c>
      <c r="B74" s="3577"/>
      <c r="C74" s="3577"/>
      <c r="D74" s="336">
        <f ca="1">IF(H74="个人住宅",D75,D76)</f>
        <v>14174</v>
      </c>
      <c r="E74" s="14" t="s">
        <v>378</v>
      </c>
      <c r="F74" s="334" t="str">
        <f>IF(H74="正常",F76,"免征")</f>
        <v>免征</v>
      </c>
      <c r="G74" s="898" t="s">
        <v>379</v>
      </c>
      <c r="H74" s="337"/>
      <c r="I74" s="38"/>
      <c r="J74" s="1650"/>
      <c r="K74" s="1633">
        <v>3</v>
      </c>
      <c r="L74" s="3542" t="s">
        <v>376</v>
      </c>
      <c r="M74" s="3542"/>
      <c r="N74" s="1102">
        <f t="shared" ca="1" si="0"/>
        <v>14174</v>
      </c>
      <c r="O74" s="1540" t="str">
        <f t="shared" si="0"/>
        <v>增值额×税（费）率</v>
      </c>
      <c r="P74" s="1105" t="str">
        <f t="shared" si="0"/>
        <v>免征</v>
      </c>
      <c r="Q74" s="1637"/>
      <c r="R74" s="1637"/>
      <c r="S74" s="1637"/>
      <c r="T74" s="1637"/>
      <c r="U74" s="1637"/>
      <c r="V74" s="1637"/>
    </row>
    <row r="75" spans="1:22" ht="12.75">
      <c r="A75" s="333" t="s">
        <v>380</v>
      </c>
      <c r="B75" s="3557" t="s">
        <v>381</v>
      </c>
      <c r="C75" s="3558"/>
      <c r="D75" s="338">
        <v>0</v>
      </c>
      <c r="E75" s="37" t="s">
        <v>382</v>
      </c>
      <c r="F75" s="339"/>
      <c r="G75" s="335"/>
      <c r="H75" s="38"/>
      <c r="I75" s="38"/>
      <c r="J75" s="1650"/>
      <c r="K75" s="1633">
        <f>IF(H77="非个人房产","",4)</f>
        <v>4</v>
      </c>
      <c r="L75" s="3542" t="str">
        <f>IF(H77="非个人房产","——","个人所得税")</f>
        <v>个人所得税</v>
      </c>
      <c r="M75" s="3542"/>
      <c r="N75" s="1106">
        <f>D77</f>
        <v>0</v>
      </c>
      <c r="O75" s="1541" t="str">
        <f>E77</f>
        <v>差额计税</v>
      </c>
      <c r="P75" s="1107">
        <f>F77</f>
        <v>0.01</v>
      </c>
      <c r="Q75" s="1637"/>
      <c r="R75" s="1637"/>
      <c r="S75" s="1637"/>
      <c r="T75" s="1637"/>
      <c r="U75" s="1637"/>
      <c r="V75" s="1637"/>
    </row>
    <row r="76" spans="1:22" ht="24.75">
      <c r="A76" s="333" t="s">
        <v>361</v>
      </c>
      <c r="B76" s="3557" t="s">
        <v>384</v>
      </c>
      <c r="C76" s="3599"/>
      <c r="D76" s="336">
        <f ca="1">IF(H76="转让取得",C99,C115)</f>
        <v>14174</v>
      </c>
      <c r="E76" s="14" t="s">
        <v>385</v>
      </c>
      <c r="F76" s="49" t="s">
        <v>15</v>
      </c>
      <c r="G76" s="335"/>
      <c r="H76" s="337"/>
      <c r="I76" s="38"/>
      <c r="J76" s="1650"/>
      <c r="K76" s="1633" t="str">
        <f>IF(项目基本情况!K6="上海银行",IF(K75="",4,K75+1),"")</f>
        <v/>
      </c>
      <c r="L76" s="3553" t="str">
        <f>IF(项目基本情况!K6="上海银行","其他处置费用","")</f>
        <v/>
      </c>
      <c r="M76" s="3554"/>
      <c r="N76" s="1102" t="str">
        <f>IF(项目基本情况!K6="上海银行",N89,"")</f>
        <v/>
      </c>
      <c r="O76" s="3555" t="str">
        <f>IF(项目基本情况!K6="上海银行","包含处置中涉及的律师、诉讼、拍卖、评估等费用","")</f>
        <v/>
      </c>
      <c r="P76" s="3556"/>
      <c r="Q76" s="1637"/>
      <c r="R76" s="1637"/>
      <c r="S76" s="1637"/>
      <c r="T76" s="1637"/>
      <c r="U76" s="1637"/>
      <c r="V76" s="1637"/>
    </row>
    <row r="77" spans="1:22" ht="24.75" thickBot="1">
      <c r="A77" s="3568" t="s">
        <v>387</v>
      </c>
      <c r="B77" s="3569"/>
      <c r="C77" s="3569"/>
      <c r="D77" s="2548">
        <f>IF(H77="非个人房产","——",IF(H77="个人住宅（满五唯一有凭证）",0,IF(H77="个人其他（无凭证）",ROUND(D63(1+'数据-取费表'!C42)*F77,0),ROUND(C84*F77,0))))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2249</v>
      </c>
      <c r="J77" s="1650"/>
      <c r="K77" s="3564">
        <f>IF(AND(K75="",K76=""),4,IF(项目基本情况!K6="上海银行",K76+1,K75+1))</f>
        <v>5</v>
      </c>
      <c r="L77" s="3542" t="s">
        <v>2157</v>
      </c>
      <c r="M77" s="2332" t="s">
        <v>383</v>
      </c>
      <c r="N77" s="1108"/>
      <c r="O77" s="1109">
        <f ca="1">SUMIF(N72:N76,"&lt;9e307")</f>
        <v>14187</v>
      </c>
      <c r="P77" s="1110"/>
      <c r="Q77" s="2330">
        <f ca="1">O77/N69</f>
        <v>0.56652823256928364</v>
      </c>
      <c r="R77" s="1637"/>
      <c r="S77" s="1637"/>
      <c r="T77" s="1637"/>
      <c r="U77" s="1637"/>
      <c r="V77" s="1637"/>
    </row>
    <row r="78" spans="1:22" ht="12" customHeight="1">
      <c r="A78" s="1111"/>
      <c r="B78" s="287"/>
      <c r="C78" s="287"/>
      <c r="D78" s="287"/>
      <c r="E78" s="38"/>
      <c r="F78" s="38"/>
      <c r="G78" s="38"/>
      <c r="H78" s="867"/>
      <c r="I78" s="287"/>
      <c r="J78" s="1650"/>
      <c r="K78" s="3564"/>
      <c r="L78" s="3542"/>
      <c r="M78" s="2332" t="s">
        <v>386</v>
      </c>
      <c r="N78" s="1108"/>
      <c r="O78" s="1109" t="str">
        <f ca="1">NUMBERSTRING(INT(O77*10000),2)&amp;"元整"</f>
        <v>壹亿肆仟壹佰捌拾柒万元整</v>
      </c>
      <c r="P78" s="1110"/>
      <c r="Q78" s="1637"/>
      <c r="R78" s="1637"/>
      <c r="S78" s="1637"/>
      <c r="T78" s="1637"/>
      <c r="U78" s="1637"/>
      <c r="V78" s="1637"/>
    </row>
    <row r="79" spans="1:22" ht="13.5" thickBot="1">
      <c r="A79" s="3619" t="s">
        <v>388</v>
      </c>
      <c r="B79" s="3619"/>
      <c r="C79" s="3619"/>
      <c r="D79" s="3619"/>
      <c r="E79" s="3619"/>
      <c r="F79" s="38"/>
      <c r="G79" s="38"/>
      <c r="H79" s="867"/>
      <c r="I79" s="287"/>
      <c r="J79" s="1650"/>
      <c r="K79" s="3540">
        <f>K77+1</f>
        <v>6</v>
      </c>
      <c r="L79" s="3542" t="s">
        <v>2158</v>
      </c>
      <c r="M79" s="2332" t="s">
        <v>383</v>
      </c>
      <c r="N79" s="1108"/>
      <c r="O79" s="1109">
        <f ca="1">N69-O77</f>
        <v>10855</v>
      </c>
      <c r="P79" s="1110"/>
      <c r="Q79" s="1637"/>
      <c r="R79" s="1637"/>
      <c r="S79" s="1637"/>
      <c r="T79" s="1637"/>
      <c r="U79" s="1637"/>
      <c r="V79" s="1637"/>
    </row>
    <row r="80" spans="1:22" ht="25.5">
      <c r="A80" s="3550" t="s">
        <v>389</v>
      </c>
      <c r="B80" s="3551"/>
      <c r="C80" s="908"/>
      <c r="D80" s="908" t="s">
        <v>390</v>
      </c>
      <c r="E80" s="340" t="s">
        <v>391</v>
      </c>
      <c r="F80" s="38"/>
      <c r="G80" s="38"/>
      <c r="H80" s="867"/>
      <c r="I80" s="287"/>
      <c r="J80" s="1637"/>
      <c r="K80" s="3541"/>
      <c r="L80" s="3542"/>
      <c r="M80" s="2332" t="s">
        <v>386</v>
      </c>
      <c r="N80" s="1108"/>
      <c r="O80" s="1109" t="str">
        <f ca="1">NUMBERSTRING(INT(O79*10000),2)&amp;"元整"</f>
        <v>壹亿零捌佰伍拾伍万元整</v>
      </c>
      <c r="P80" s="1110"/>
      <c r="Q80" s="1637"/>
      <c r="R80" s="1637"/>
      <c r="S80" s="1637"/>
      <c r="T80" s="1637"/>
      <c r="U80" s="1637"/>
      <c r="V80" s="1637"/>
    </row>
    <row r="81" spans="1:26" ht="13.5" thickBot="1">
      <c r="A81" s="351" t="s">
        <v>1352</v>
      </c>
      <c r="B81" s="341" t="s">
        <v>392</v>
      </c>
      <c r="C81" s="342">
        <f ca="1">ROUND((C82+C83)/(1+'数据-取费表'!C42),0)</f>
        <v>23850</v>
      </c>
      <c r="D81" s="343"/>
      <c r="E81" s="344"/>
      <c r="F81" s="38"/>
      <c r="G81" s="38"/>
      <c r="H81" s="867"/>
      <c r="I81" s="287"/>
      <c r="J81" s="1637"/>
      <c r="K81" s="1633">
        <f>K79+1</f>
        <v>7</v>
      </c>
      <c r="L81" s="3562" t="s">
        <v>2159</v>
      </c>
      <c r="M81" s="3563"/>
      <c r="N81" s="1112"/>
      <c r="O81" s="1113">
        <f ca="1">ROUND(O79*10000/'数据-汇总表'!E3,0)</f>
        <v>1085</v>
      </c>
      <c r="P81" s="1114"/>
      <c r="Q81" s="1637"/>
      <c r="R81" s="1637"/>
      <c r="S81" s="1637"/>
      <c r="T81" s="1637"/>
      <c r="U81" s="1637"/>
      <c r="V81" s="1637"/>
    </row>
    <row r="82" spans="1:26" ht="13.5" thickTop="1">
      <c r="A82" s="345" t="s">
        <v>1353</v>
      </c>
      <c r="B82" s="346" t="s">
        <v>393</v>
      </c>
      <c r="C82" s="347">
        <f ca="1">D63</f>
        <v>25042</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552" t="s">
        <v>2147</v>
      </c>
      <c r="L83" s="2338" t="s">
        <v>2148</v>
      </c>
      <c r="M83" s="2328">
        <f ca="1">IF(N69&gt;10000,N69*0.5%,IF(AND(N69&gt;1000,N69&lt;=10000),N69*1%,IF(AND(N69&gt;100,N69&lt;=1000),N69*3%,IF(AND(N69&gt;10,N69&lt;=100),N69*5%,N69*8%))))</f>
        <v>125.21000000000001</v>
      </c>
      <c r="N83" s="49">
        <f ca="1">ROUND(M83,1)</f>
        <v>125.2</v>
      </c>
      <c r="O83" s="2331"/>
      <c r="P83" s="1637"/>
      <c r="Q83" s="1637"/>
      <c r="R83" s="1637"/>
      <c r="S83" s="1637"/>
      <c r="T83" s="1637"/>
      <c r="U83" s="1637"/>
      <c r="V83" s="1637"/>
    </row>
    <row r="84" spans="1:26" ht="12.75">
      <c r="A84" s="351" t="s">
        <v>1355</v>
      </c>
      <c r="B84" s="352" t="s">
        <v>395</v>
      </c>
      <c r="C84" s="353"/>
      <c r="D84" s="354" t="s">
        <v>13</v>
      </c>
      <c r="E84" s="2353" t="s">
        <v>2192</v>
      </c>
      <c r="F84" s="38"/>
      <c r="G84" s="38"/>
      <c r="H84" s="867"/>
      <c r="I84" s="287"/>
      <c r="J84" s="1637"/>
      <c r="K84" s="3552"/>
      <c r="L84" s="2338" t="s">
        <v>2149</v>
      </c>
      <c r="M84" s="2328">
        <f ca="1">IF(N69&gt;2000,N69*0.5%,IF(AND(N69&gt;1000,N69&lt;=2000),N69*0.6%,IF(AND(N69&gt;500,N69&lt;=1000),N69*0.7%,IF(AND(N69&gt;200,N69&lt;=500),N69*0.8%,IF(AND(N69&gt;100,N69&lt;=200),N69*0.9%,IF(AND(N69&gt;50,N69&lt;=100),N69*1%,IF(AND(N69&gt;20,N69&lt;=50),N69*1.5%,IF(AND(N69&gt;10,N69&lt;=20),N69*2%,IF(AND(N69&gt;1,N69&lt;=10),N69*2.5%)))))))))</f>
        <v>125.21000000000001</v>
      </c>
      <c r="N84" s="49">
        <f ca="1">ROUND(M84,1)</f>
        <v>125.2</v>
      </c>
      <c r="O84" s="1637" t="s">
        <v>2150</v>
      </c>
      <c r="P84" s="1637"/>
      <c r="Q84" s="1637"/>
      <c r="R84" s="1637"/>
      <c r="S84" s="1637"/>
      <c r="T84" s="1637"/>
      <c r="U84" s="1637"/>
      <c r="V84" s="1637"/>
    </row>
    <row r="85" spans="1:26" ht="12.75">
      <c r="A85" s="351" t="s">
        <v>1356</v>
      </c>
      <c r="B85" s="352" t="s">
        <v>396</v>
      </c>
      <c r="C85" s="355">
        <f ca="1">C81-C84</f>
        <v>23850</v>
      </c>
      <c r="D85" s="348" t="s">
        <v>13</v>
      </c>
      <c r="E85" s="349"/>
      <c r="F85" s="38"/>
      <c r="G85" s="38"/>
      <c r="H85" s="867"/>
      <c r="I85" s="287"/>
      <c r="J85" s="1637"/>
      <c r="K85" s="3552"/>
      <c r="L85" s="2338" t="s">
        <v>2151</v>
      </c>
      <c r="M85" s="2328">
        <f ca="1">IF(N69&gt;1000,N69*0.1%,IF(AND(N69&gt;500,N69&lt;=1000),N69*0.5%,IF(AND(N69&gt;50,N69&lt;=500),N69*1%,IF(AND(N69&gt;1,N69&lt;=50),N69*1.5%))))</f>
        <v>25.042000000000002</v>
      </c>
      <c r="N85" s="49">
        <f ca="1">ROUND(M85,1)</f>
        <v>25</v>
      </c>
      <c r="O85" s="1637" t="s">
        <v>2150</v>
      </c>
      <c r="P85" s="1637"/>
      <c r="Q85" s="1637"/>
      <c r="R85" s="1637"/>
      <c r="S85" s="1637"/>
      <c r="T85" s="1637"/>
      <c r="U85" s="1637"/>
      <c r="V85" s="1637"/>
    </row>
    <row r="86" spans="1:26" ht="13.5" thickBot="1">
      <c r="A86" s="356" t="s">
        <v>1357</v>
      </c>
      <c r="B86" s="357" t="s">
        <v>397</v>
      </c>
      <c r="C86" s="358">
        <f ca="1">IF(C85&lt;=0,0,ROUND(C85*D86,0))</f>
        <v>1336</v>
      </c>
      <c r="D86" s="359">
        <f>'数据-取费表'!B41</f>
        <v>5.6000000000000001E-2</v>
      </c>
      <c r="E86" s="360"/>
      <c r="F86" s="38"/>
      <c r="G86" s="38"/>
      <c r="H86" s="867"/>
      <c r="I86" s="287"/>
      <c r="J86" s="1637"/>
      <c r="K86" s="3552"/>
      <c r="L86" s="2338" t="s">
        <v>2152</v>
      </c>
      <c r="M86" s="2328">
        <f ca="1">N69*0.5%</f>
        <v>125.21000000000001</v>
      </c>
      <c r="N86" s="49">
        <f ca="1">IF(M86&gt;0.5,0.5,ROUND(M86,0))</f>
        <v>0.5</v>
      </c>
      <c r="O86" s="1637" t="s">
        <v>2153</v>
      </c>
      <c r="P86" s="1637"/>
      <c r="Q86" s="1637"/>
      <c r="R86" s="1637"/>
      <c r="S86" s="1637"/>
      <c r="T86" s="1637"/>
      <c r="U86" s="1637"/>
      <c r="V86" s="1637"/>
    </row>
    <row r="87" spans="1:26" ht="14.25" customHeight="1">
      <c r="A87" s="1115"/>
      <c r="B87" s="1116"/>
      <c r="C87" s="1117"/>
      <c r="D87" s="1118"/>
      <c r="E87" s="1119"/>
      <c r="F87" s="38"/>
      <c r="G87" s="38"/>
      <c r="H87" s="867"/>
      <c r="I87" s="287"/>
      <c r="J87" s="1637"/>
      <c r="K87" s="3552"/>
      <c r="L87" s="2338" t="s">
        <v>2154</v>
      </c>
      <c r="M87" s="2328">
        <f ca="1">IF(N69&gt;=10000,(8.25+(N69-10000)*0.01%),IF(AND(N69&gt;=8000,N69&lt;10000),(7.85+(N69-8000)*0.02%),IF(AND(N69&gt;=5000,N69&lt;8000),(6.65+(N69-5000)*0.04%),IF(AND(N69&gt;=2000,N69&lt;5000),(4.25+(PN69-2000)*0.08%),IF(AND(N69&gt;=1000,N69&lt;2000),(2.75+(N69-1000)*0.15%),IF(AND(N69&gt;=100,N69&lt;1000),(0.5+(N69-100)*0.25%),IF(AND(N69&gt;0,N69&lt;100),N69*0.5%)))))))</f>
        <v>9.7542000000000009</v>
      </c>
      <c r="N87" s="49">
        <f ca="1">ROUND(M87*0.9,1)</f>
        <v>8.8000000000000007</v>
      </c>
      <c r="O87" s="2331"/>
      <c r="P87" s="1637"/>
      <c r="Q87" s="1637"/>
      <c r="R87" s="1637"/>
      <c r="S87" s="1637"/>
      <c r="T87" s="1637"/>
      <c r="U87" s="1637"/>
      <c r="V87" s="1637"/>
    </row>
    <row r="88" spans="1:26" s="1008" customFormat="1" ht="15" thickBot="1">
      <c r="A88" s="3591" t="s">
        <v>398</v>
      </c>
      <c r="B88" s="3592"/>
      <c r="C88" s="3592"/>
      <c r="D88" s="3592"/>
      <c r="E88" s="3592"/>
      <c r="F88" s="3592"/>
      <c r="G88" s="3592"/>
      <c r="H88" s="3592"/>
      <c r="I88" s="1120"/>
      <c r="J88" s="1651"/>
      <c r="K88" s="3552"/>
      <c r="L88" s="2338" t="s">
        <v>2155</v>
      </c>
      <c r="M88" s="2328">
        <f ca="1">IF(N69&gt;10000,N69*0.5%,IF(AND(N69&gt;5000,N69&lt;=10000),N69*1%,IF(AND(N69&gt;1000,N69&lt;=5000),N69*2%,IF(AND(N69&gt;200,N69&lt;=1000),N69*3%,N69*5%))))</f>
        <v>125.21000000000001</v>
      </c>
      <c r="N88" s="49">
        <f ca="1">ROUND(M88,1)</f>
        <v>125.2</v>
      </c>
      <c r="O88" s="2331"/>
      <c r="P88" s="1648"/>
      <c r="Q88" s="1648"/>
      <c r="R88" s="1648"/>
      <c r="S88" s="1648"/>
      <c r="T88" s="1648"/>
      <c r="U88" s="1648"/>
      <c r="V88" s="1648"/>
      <c r="W88" s="1652"/>
      <c r="X88" s="1652"/>
      <c r="Y88" s="1652"/>
      <c r="Z88" s="1652"/>
    </row>
    <row r="89" spans="1:26" s="1008" customFormat="1" ht="14.25">
      <c r="A89" s="3550" t="s">
        <v>389</v>
      </c>
      <c r="B89" s="3551"/>
      <c r="C89" s="908"/>
      <c r="D89" s="908" t="s">
        <v>390</v>
      </c>
      <c r="E89" s="361" t="s">
        <v>399</v>
      </c>
      <c r="F89" s="362"/>
      <c r="G89" s="362"/>
      <c r="H89" s="363"/>
      <c r="I89" s="1121"/>
      <c r="J89" s="1653"/>
      <c r="K89" s="3552"/>
      <c r="L89" s="2338" t="s">
        <v>16</v>
      </c>
      <c r="M89" s="2329"/>
      <c r="N89" s="49">
        <f ca="1">ROUND(SUM(N83:N88),0)</f>
        <v>410</v>
      </c>
      <c r="O89" s="2339">
        <f ca="1">N89/N69</f>
        <v>1.6372494209727657E-2</v>
      </c>
      <c r="P89" s="1648"/>
      <c r="Q89" s="1648"/>
      <c r="R89" s="1648"/>
      <c r="S89" s="1648"/>
      <c r="T89" s="1648"/>
      <c r="U89" s="1648"/>
      <c r="V89" s="1648"/>
      <c r="W89" s="1652"/>
      <c r="X89" s="1652"/>
      <c r="Y89" s="1652"/>
      <c r="Z89" s="1652"/>
    </row>
    <row r="90" spans="1:26" s="1008" customFormat="1" ht="14.25">
      <c r="A90" s="351" t="s">
        <v>1352</v>
      </c>
      <c r="B90" s="352" t="s">
        <v>400</v>
      </c>
      <c r="C90" s="355">
        <f ca="1">ROUND(D63/(1+'数据-取费表'!C42),0)</f>
        <v>23850</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f ca="1">C92+C96</f>
        <v>143</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88" t="s">
        <v>407</v>
      </c>
      <c r="F94" s="3589"/>
      <c r="G94" s="3589"/>
      <c r="H94" s="3590"/>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f ca="1">ROUND(D63*D96/(1+'数据-取费表'!C42),0)</f>
        <v>143</v>
      </c>
      <c r="D96" s="376">
        <f>'数据-取费表'!B43</f>
        <v>6.000000000000001E-3</v>
      </c>
      <c r="E96" s="3547" t="s">
        <v>1780</v>
      </c>
      <c r="F96" s="3548"/>
      <c r="G96" s="3548"/>
      <c r="H96" s="3549"/>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f ca="1">C90-C91</f>
        <v>23707</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f ca="1">IF(C97&lt;=0,0,C97/C91)</f>
        <v>165.78321678321677</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f ca="1">ROUND(IF(C97&lt;=0,0,IF(C98&gt;=200%,C97*60%-C91*35%,IF(C98&gt;=100%,C97*50%-C91*15%,IF(C98&gt;=50%,C97*40%-C91*5%,IF(C98&lt;50%,C97*30%,0))))),0)</f>
        <v>14174</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91" t="s">
        <v>414</v>
      </c>
      <c r="B101" s="3592"/>
      <c r="C101" s="3592"/>
      <c r="D101" s="3592"/>
      <c r="E101" s="3592"/>
      <c r="F101" s="3592"/>
      <c r="G101" s="3592"/>
      <c r="H101" s="3592"/>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550" t="s">
        <v>389</v>
      </c>
      <c r="B102" s="3551"/>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f ca="1">ROUND(D63/(1+'数据-取费表'!C42),0)</f>
        <v>23850</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f ca="1">IF(H106="仅含出让金",C105+C108+C109+C110+C111+C112,C105+C109+C110+C111+C112)</f>
        <v>143</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6" t="s">
        <v>2264</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603" t="s">
        <v>2241</v>
      </c>
      <c r="H108" s="3604"/>
      <c r="I108" s="2418"/>
      <c r="J108" s="1648"/>
      <c r="K108" s="2746" t="s">
        <v>2265</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81" t="s">
        <v>422</v>
      </c>
      <c r="F109" s="3548"/>
      <c r="G109" s="3548"/>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6">
        <v>0</v>
      </c>
      <c r="E110" s="3581" t="s">
        <v>424</v>
      </c>
      <c r="F110" s="3548"/>
      <c r="G110" s="3548"/>
      <c r="H110" s="3549"/>
      <c r="I110" s="9"/>
      <c r="J110" s="1648"/>
      <c r="K110" s="2747" t="s">
        <v>2266</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f ca="1">ROUND(D63*D111/(1+'数据-取费表'!C42),0)</f>
        <v>143</v>
      </c>
      <c r="D111" s="376">
        <f>'数据-取费表'!B43</f>
        <v>6.000000000000001E-3</v>
      </c>
      <c r="E111" s="3547" t="s">
        <v>1780</v>
      </c>
      <c r="F111" s="3548"/>
      <c r="G111" s="3548"/>
      <c r="H111" s="3549"/>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81" t="s">
        <v>1799</v>
      </c>
      <c r="F112" s="3548"/>
      <c r="G112" s="3548"/>
      <c r="H112" s="3549"/>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f ca="1">ROUND(C103-C104,0)</f>
        <v>23707</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f ca="1">IF(C113&lt;=0,0,C113/C104)</f>
        <v>165.78321678321677</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f ca="1">ROUND(IF(C113&lt;=0,0,IF(C114&gt;=200%,C113*60%-C104*35%,IF(C114&gt;=100%,C113*50%-C104*15%,IF(C114&gt;=50%,C113*40%-C104*5%,IF(C114&lt;50%,C113*30%,0))))),0)</f>
        <v>14174</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2B452-8101-4C06-A9FB-BA5261DFF312}">
  <dimension ref="A1:R13"/>
  <sheetViews>
    <sheetView workbookViewId="0">
      <selection activeCell="K21" sqref="K21"/>
    </sheetView>
  </sheetViews>
  <sheetFormatPr defaultRowHeight="12"/>
  <cols>
    <col min="1" max="1" width="34.75" style="3413" customWidth="1"/>
    <col min="2" max="2" width="7.125" style="3413" bestFit="1" customWidth="1"/>
    <col min="3" max="3" width="17.625" style="3413" customWidth="1"/>
    <col min="4" max="4" width="10.75" style="3413" customWidth="1"/>
    <col min="5" max="5" width="11.25" style="3413" customWidth="1"/>
    <col min="6" max="6" width="15.375" style="3413" customWidth="1"/>
    <col min="7" max="7" width="16.75" style="3413" customWidth="1"/>
    <col min="8" max="8" width="15.625" style="3413" hidden="1" customWidth="1"/>
    <col min="9" max="9" width="15" style="3413" customWidth="1"/>
    <col min="10" max="10" width="5.75" style="3413" customWidth="1"/>
    <col min="11" max="11" width="6.75" style="3413" customWidth="1"/>
    <col min="12" max="12" width="10.25" style="3413" hidden="1" customWidth="1"/>
    <col min="13" max="13" width="11.625" style="3413" bestFit="1" customWidth="1"/>
    <col min="14" max="14" width="11.75" style="3413" customWidth="1"/>
    <col min="15" max="16" width="10.625" style="3413" customWidth="1"/>
    <col min="17" max="17" width="9" style="3413" bestFit="1" customWidth="1"/>
    <col min="18" max="18" width="24.875" style="3413" customWidth="1"/>
    <col min="19" max="16384" width="9" style="3413"/>
  </cols>
  <sheetData>
    <row r="1" spans="1:18">
      <c r="A1" s="3478" t="s">
        <v>3420</v>
      </c>
      <c r="B1" s="3478" t="s">
        <v>3419</v>
      </c>
      <c r="C1" s="3478" t="s">
        <v>3418</v>
      </c>
      <c r="D1" s="3478" t="s">
        <v>3417</v>
      </c>
      <c r="E1" s="3478" t="s">
        <v>3416</v>
      </c>
      <c r="F1" s="3478" t="s">
        <v>3415</v>
      </c>
      <c r="G1" s="3478" t="s">
        <v>3414</v>
      </c>
      <c r="H1" s="3478" t="s">
        <v>3413</v>
      </c>
      <c r="I1" s="3478" t="s">
        <v>1550</v>
      </c>
      <c r="J1" s="3478" t="s">
        <v>3412</v>
      </c>
      <c r="K1" s="3478" t="s">
        <v>3411</v>
      </c>
      <c r="L1" s="3478" t="s">
        <v>3410</v>
      </c>
      <c r="M1" s="3478" t="s">
        <v>3409</v>
      </c>
      <c r="N1" s="3478" t="s">
        <v>3408</v>
      </c>
      <c r="O1" s="3478" t="s">
        <v>3407</v>
      </c>
      <c r="P1" s="3478" t="s">
        <v>3432</v>
      </c>
      <c r="Q1" s="3478" t="s">
        <v>3406</v>
      </c>
      <c r="R1" s="3478" t="s">
        <v>3405</v>
      </c>
    </row>
    <row r="2" spans="1:18">
      <c r="A2" s="3478" t="s">
        <v>3404</v>
      </c>
      <c r="B2" s="3478" t="s">
        <v>3342</v>
      </c>
      <c r="C2" s="3478" t="s">
        <v>3403</v>
      </c>
      <c r="D2" s="3478">
        <v>28867.06</v>
      </c>
      <c r="E2" s="3478">
        <v>51960.71</v>
      </c>
      <c r="F2" s="3478" t="s">
        <v>3353</v>
      </c>
      <c r="G2" s="3478" t="s">
        <v>3370</v>
      </c>
      <c r="H2" s="3478" t="s">
        <v>3369</v>
      </c>
      <c r="I2" s="3478" t="s">
        <v>3402</v>
      </c>
      <c r="J2" s="3478" t="s">
        <v>3350</v>
      </c>
      <c r="K2" s="3478" t="s">
        <v>3336</v>
      </c>
      <c r="L2" s="3478" t="s">
        <v>3350</v>
      </c>
      <c r="M2" s="3478" t="s">
        <v>3401</v>
      </c>
      <c r="N2" s="3478">
        <v>21823.5</v>
      </c>
      <c r="O2" s="3478">
        <v>504</v>
      </c>
      <c r="P2" s="3478">
        <v>4200</v>
      </c>
      <c r="Q2" s="3478">
        <v>0</v>
      </c>
      <c r="R2" s="3478" t="s">
        <v>3400</v>
      </c>
    </row>
    <row r="3" spans="1:18">
      <c r="A3" s="3478" t="s">
        <v>3399</v>
      </c>
      <c r="B3" s="3478" t="s">
        <v>3342</v>
      </c>
      <c r="C3" s="3478" t="s">
        <v>3398</v>
      </c>
      <c r="D3" s="3478">
        <v>41453.949999999997</v>
      </c>
      <c r="E3" s="3478">
        <v>82907.899999999994</v>
      </c>
      <c r="F3" s="3478" t="s">
        <v>3353</v>
      </c>
      <c r="G3" s="3478" t="s">
        <v>3370</v>
      </c>
      <c r="H3" s="3478" t="s">
        <v>3369</v>
      </c>
      <c r="I3" s="3478" t="s">
        <v>3397</v>
      </c>
      <c r="J3" s="3478" t="s">
        <v>3350</v>
      </c>
      <c r="K3" s="3478" t="s">
        <v>3336</v>
      </c>
      <c r="L3" s="3478" t="s">
        <v>3350</v>
      </c>
      <c r="M3" s="3478" t="s">
        <v>3396</v>
      </c>
      <c r="N3" s="3478">
        <v>33163.160000000003</v>
      </c>
      <c r="O3" s="3478">
        <v>533.33000000000004</v>
      </c>
      <c r="P3" s="3478">
        <v>4000</v>
      </c>
      <c r="Q3" s="3478">
        <v>0</v>
      </c>
      <c r="R3" s="3478" t="s">
        <v>3395</v>
      </c>
    </row>
    <row r="4" spans="1:18">
      <c r="A4" s="3478" t="s">
        <v>3394</v>
      </c>
      <c r="B4" s="3478" t="s">
        <v>3342</v>
      </c>
      <c r="C4" s="3478" t="s">
        <v>3393</v>
      </c>
      <c r="D4" s="3478">
        <v>24384.44</v>
      </c>
      <c r="E4" s="3478">
        <v>48768.88</v>
      </c>
      <c r="F4" s="3478" t="s">
        <v>3353</v>
      </c>
      <c r="G4" s="3478" t="s">
        <v>3370</v>
      </c>
      <c r="H4" s="3478" t="s">
        <v>3369</v>
      </c>
      <c r="I4" s="3478" t="s">
        <v>3392</v>
      </c>
      <c r="J4" s="3478" t="s">
        <v>3350</v>
      </c>
      <c r="K4" s="3478" t="s">
        <v>3336</v>
      </c>
      <c r="L4" s="3478" t="s">
        <v>3350</v>
      </c>
      <c r="M4" s="3478" t="s">
        <v>3391</v>
      </c>
      <c r="N4" s="3478">
        <v>21946</v>
      </c>
      <c r="O4" s="3478">
        <v>600</v>
      </c>
      <c r="P4" s="3478">
        <v>4500</v>
      </c>
      <c r="Q4" s="3478">
        <v>2.27</v>
      </c>
      <c r="R4" s="3478" t="s">
        <v>3390</v>
      </c>
    </row>
    <row r="5" spans="1:18">
      <c r="A5" s="3620" t="s">
        <v>3389</v>
      </c>
      <c r="B5" s="3620" t="s">
        <v>3342</v>
      </c>
      <c r="C5" s="3620" t="s">
        <v>3388</v>
      </c>
      <c r="D5" s="3620">
        <v>79798.23</v>
      </c>
      <c r="E5" s="3620">
        <v>143636.81</v>
      </c>
      <c r="F5" s="3620" t="s">
        <v>3340</v>
      </c>
      <c r="G5" s="3620" t="s">
        <v>3387</v>
      </c>
      <c r="H5" s="3620" t="s">
        <v>3386</v>
      </c>
      <c r="I5" s="3620" t="s">
        <v>3385</v>
      </c>
      <c r="J5" s="3620">
        <v>15</v>
      </c>
      <c r="K5" s="3620" t="s">
        <v>3336</v>
      </c>
      <c r="L5" s="3620" t="s">
        <v>3350</v>
      </c>
      <c r="M5" s="3620" t="s">
        <v>3384</v>
      </c>
      <c r="N5" s="3620">
        <v>57454.73</v>
      </c>
      <c r="O5" s="3620">
        <v>480</v>
      </c>
      <c r="P5" s="3620">
        <v>4000</v>
      </c>
      <c r="Q5" s="3620">
        <v>0</v>
      </c>
      <c r="R5" s="3620" t="s">
        <v>3383</v>
      </c>
    </row>
    <row r="6" spans="1:18">
      <c r="A6" s="3478" t="s">
        <v>3382</v>
      </c>
      <c r="B6" s="3478" t="s">
        <v>3342</v>
      </c>
      <c r="C6" s="3478" t="s">
        <v>3381</v>
      </c>
      <c r="D6" s="3478">
        <v>63942.86</v>
      </c>
      <c r="E6" s="3478">
        <v>44760</v>
      </c>
      <c r="F6" s="3478" t="s">
        <v>3353</v>
      </c>
      <c r="G6" s="3478" t="s">
        <v>3308</v>
      </c>
      <c r="H6" s="3478" t="s">
        <v>3380</v>
      </c>
      <c r="I6" s="3478" t="s">
        <v>3379</v>
      </c>
      <c r="J6" s="3478" t="s">
        <v>3350</v>
      </c>
      <c r="K6" s="3478" t="s">
        <v>3336</v>
      </c>
      <c r="L6" s="3478" t="s">
        <v>3350</v>
      </c>
      <c r="M6" s="3478" t="s">
        <v>3378</v>
      </c>
      <c r="N6" s="3478">
        <v>32227</v>
      </c>
      <c r="O6" s="3478">
        <v>336</v>
      </c>
      <c r="P6" s="3478">
        <v>7200</v>
      </c>
      <c r="Q6" s="3478">
        <v>0</v>
      </c>
      <c r="R6" s="3478" t="s">
        <v>3377</v>
      </c>
    </row>
    <row r="7" spans="1:18">
      <c r="A7" s="3478" t="s">
        <v>3361</v>
      </c>
      <c r="B7" s="3478" t="s">
        <v>3342</v>
      </c>
      <c r="C7" s="3478" t="s">
        <v>3376</v>
      </c>
      <c r="D7" s="3478">
        <v>32224.07</v>
      </c>
      <c r="E7" s="3478">
        <v>64448.14</v>
      </c>
      <c r="F7" s="3478" t="s">
        <v>3353</v>
      </c>
      <c r="G7" s="3478" t="s">
        <v>3353</v>
      </c>
      <c r="H7" s="3478" t="s">
        <v>3375</v>
      </c>
      <c r="I7" s="3478" t="s">
        <v>3374</v>
      </c>
      <c r="J7" s="3478" t="s">
        <v>3350</v>
      </c>
      <c r="K7" s="3478" t="s">
        <v>3336</v>
      </c>
      <c r="L7" s="3478" t="s">
        <v>3350</v>
      </c>
      <c r="M7" s="3478" t="s">
        <v>3373</v>
      </c>
      <c r="N7" s="3478">
        <v>28357</v>
      </c>
      <c r="O7" s="3478">
        <v>586.66</v>
      </c>
      <c r="P7" s="3478">
        <v>4400</v>
      </c>
      <c r="Q7" s="3478">
        <v>0</v>
      </c>
      <c r="R7" s="3478" t="s">
        <v>3372</v>
      </c>
    </row>
    <row r="8" spans="1:18">
      <c r="A8" s="3478" t="s">
        <v>3361</v>
      </c>
      <c r="B8" s="3478" t="s">
        <v>3342</v>
      </c>
      <c r="C8" s="3478" t="s">
        <v>3371</v>
      </c>
      <c r="D8" s="3478">
        <v>21912.720000000001</v>
      </c>
      <c r="E8" s="3478">
        <v>54781.8</v>
      </c>
      <c r="F8" s="3478" t="s">
        <v>3353</v>
      </c>
      <c r="G8" s="3478" t="s">
        <v>3370</v>
      </c>
      <c r="H8" s="3478" t="s">
        <v>3369</v>
      </c>
      <c r="I8" s="3478" t="s">
        <v>3368</v>
      </c>
      <c r="J8" s="3478" t="s">
        <v>3350</v>
      </c>
      <c r="K8" s="3478" t="s">
        <v>3336</v>
      </c>
      <c r="L8" s="3478" t="s">
        <v>3350</v>
      </c>
      <c r="M8" s="3478" t="s">
        <v>3367</v>
      </c>
      <c r="N8" s="3478">
        <v>23556</v>
      </c>
      <c r="O8" s="3478">
        <v>716.66</v>
      </c>
      <c r="P8" s="3478">
        <v>4300</v>
      </c>
      <c r="Q8" s="3478">
        <v>0</v>
      </c>
      <c r="R8" s="3478" t="s">
        <v>3333</v>
      </c>
    </row>
    <row r="9" spans="1:18">
      <c r="A9" s="3620" t="s">
        <v>3366</v>
      </c>
      <c r="B9" s="3620" t="s">
        <v>3342</v>
      </c>
      <c r="C9" s="3620" t="s">
        <v>3365</v>
      </c>
      <c r="D9" s="3620">
        <v>18283.5</v>
      </c>
      <c r="E9" s="3620">
        <v>45708.75</v>
      </c>
      <c r="F9" s="3620" t="s">
        <v>3353</v>
      </c>
      <c r="G9" s="3620" t="s">
        <v>3359</v>
      </c>
      <c r="H9" s="3620" t="s">
        <v>3352</v>
      </c>
      <c r="I9" s="3620" t="s">
        <v>3364</v>
      </c>
      <c r="J9" s="3620">
        <v>0</v>
      </c>
      <c r="K9" s="3620" t="s">
        <v>3336</v>
      </c>
      <c r="L9" s="3620" t="s">
        <v>3350</v>
      </c>
      <c r="M9" s="3620" t="s">
        <v>3363</v>
      </c>
      <c r="N9" s="3620">
        <v>15998</v>
      </c>
      <c r="O9" s="3620">
        <v>583.33000000000004</v>
      </c>
      <c r="P9" s="3620">
        <v>3500</v>
      </c>
      <c r="Q9" s="3620">
        <v>0</v>
      </c>
      <c r="R9" s="3620" t="s">
        <v>3362</v>
      </c>
    </row>
    <row r="10" spans="1:18">
      <c r="A10" s="3478" t="s">
        <v>3361</v>
      </c>
      <c r="B10" s="3478" t="s">
        <v>3342</v>
      </c>
      <c r="C10" s="3478" t="s">
        <v>3360</v>
      </c>
      <c r="D10" s="3478">
        <v>27431.08</v>
      </c>
      <c r="E10" s="3478">
        <v>54862.16</v>
      </c>
      <c r="F10" s="3478" t="s">
        <v>3353</v>
      </c>
      <c r="G10" s="3478" t="s">
        <v>3359</v>
      </c>
      <c r="H10" s="3478" t="s">
        <v>3352</v>
      </c>
      <c r="I10" s="3478" t="s">
        <v>3358</v>
      </c>
      <c r="J10" s="3478" t="s">
        <v>3350</v>
      </c>
      <c r="K10" s="3478" t="s">
        <v>3336</v>
      </c>
      <c r="L10" s="3478" t="s">
        <v>3350</v>
      </c>
      <c r="M10" s="3478" t="s">
        <v>3357</v>
      </c>
      <c r="N10" s="3478">
        <v>24688</v>
      </c>
      <c r="O10" s="3478">
        <v>600</v>
      </c>
      <c r="P10" s="3478">
        <v>4500</v>
      </c>
      <c r="Q10" s="3478">
        <v>0</v>
      </c>
      <c r="R10" s="3478" t="s">
        <v>3356</v>
      </c>
    </row>
    <row r="11" spans="1:18">
      <c r="A11" s="3478" t="s">
        <v>3355</v>
      </c>
      <c r="B11" s="3478" t="s">
        <v>3342</v>
      </c>
      <c r="C11" s="3478" t="s">
        <v>3354</v>
      </c>
      <c r="D11" s="3478">
        <v>27436.91</v>
      </c>
      <c r="E11" s="3478">
        <v>82310.73</v>
      </c>
      <c r="F11" s="3478" t="s">
        <v>3353</v>
      </c>
      <c r="G11" s="3478" t="s">
        <v>3353</v>
      </c>
      <c r="H11" s="3478" t="s">
        <v>3352</v>
      </c>
      <c r="I11" s="3478" t="s">
        <v>3351</v>
      </c>
      <c r="J11" s="3478" t="s">
        <v>3350</v>
      </c>
      <c r="K11" s="3478" t="s">
        <v>3336</v>
      </c>
      <c r="L11" s="3478" t="s">
        <v>3350</v>
      </c>
      <c r="M11" s="3478" t="s">
        <v>3349</v>
      </c>
      <c r="N11" s="3478">
        <v>28808.76</v>
      </c>
      <c r="O11" s="3478">
        <v>700</v>
      </c>
      <c r="P11" s="3478">
        <v>3500</v>
      </c>
      <c r="Q11" s="3478">
        <v>0</v>
      </c>
      <c r="R11" s="3478" t="s">
        <v>3333</v>
      </c>
    </row>
    <row r="12" spans="1:18">
      <c r="A12" s="3620" t="s">
        <v>3348</v>
      </c>
      <c r="B12" s="3620" t="s">
        <v>3342</v>
      </c>
      <c r="C12" s="3620" t="s">
        <v>3347</v>
      </c>
      <c r="D12" s="3620">
        <v>20366.560000000001</v>
      </c>
      <c r="E12" s="3620">
        <v>24439.87</v>
      </c>
      <c r="F12" s="3620" t="s">
        <v>3340</v>
      </c>
      <c r="G12" s="3620" t="s">
        <v>3346</v>
      </c>
      <c r="H12" s="3620" t="s">
        <v>3338</v>
      </c>
      <c r="I12" s="3620" t="s">
        <v>3345</v>
      </c>
      <c r="J12" s="3620">
        <v>15</v>
      </c>
      <c r="K12" s="3620" t="s">
        <v>3336</v>
      </c>
      <c r="L12" s="3620" t="s">
        <v>3335</v>
      </c>
      <c r="M12" s="3620" t="s">
        <v>3334</v>
      </c>
      <c r="N12" s="3620">
        <v>6598.77</v>
      </c>
      <c r="O12" s="3620">
        <v>216</v>
      </c>
      <c r="P12" s="3620">
        <v>2700</v>
      </c>
      <c r="Q12" s="3620">
        <v>0</v>
      </c>
      <c r="R12" s="3620" t="s">
        <v>3344</v>
      </c>
    </row>
    <row r="13" spans="1:18">
      <c r="A13" s="3478" t="s">
        <v>3343</v>
      </c>
      <c r="B13" s="3478" t="s">
        <v>3342</v>
      </c>
      <c r="C13" s="3478" t="s">
        <v>3341</v>
      </c>
      <c r="D13" s="3478">
        <v>92602.66</v>
      </c>
      <c r="E13" s="3478">
        <v>185205.32</v>
      </c>
      <c r="F13" s="3478" t="s">
        <v>3340</v>
      </c>
      <c r="G13" s="3478" t="s">
        <v>3339</v>
      </c>
      <c r="H13" s="3478" t="s">
        <v>3338</v>
      </c>
      <c r="I13" s="3478" t="s">
        <v>3337</v>
      </c>
      <c r="J13" s="3478">
        <v>25</v>
      </c>
      <c r="K13" s="3478" t="s">
        <v>3336</v>
      </c>
      <c r="L13" s="3478" t="s">
        <v>3335</v>
      </c>
      <c r="M13" s="3478" t="s">
        <v>3334</v>
      </c>
      <c r="N13" s="3478">
        <v>83342.39</v>
      </c>
      <c r="O13" s="3478">
        <v>600</v>
      </c>
      <c r="P13" s="3478">
        <v>4500</v>
      </c>
      <c r="Q13" s="3478">
        <v>0</v>
      </c>
      <c r="R13" s="3478" t="s">
        <v>3333</v>
      </c>
    </row>
  </sheetData>
  <mergeCells count="234">
    <mergeCell ref="A1"/>
    <mergeCell ref="B1"/>
    <mergeCell ref="C1"/>
    <mergeCell ref="D1"/>
    <mergeCell ref="E1"/>
    <mergeCell ref="F1"/>
    <mergeCell ref="J1"/>
    <mergeCell ref="K1"/>
    <mergeCell ref="L1"/>
    <mergeCell ref="M1"/>
    <mergeCell ref="R1"/>
    <mergeCell ref="L2"/>
    <mergeCell ref="M2"/>
    <mergeCell ref="R2"/>
    <mergeCell ref="F2"/>
    <mergeCell ref="G2"/>
    <mergeCell ref="H2"/>
    <mergeCell ref="I2"/>
    <mergeCell ref="J2"/>
    <mergeCell ref="K2"/>
    <mergeCell ref="N1"/>
    <mergeCell ref="O1"/>
    <mergeCell ref="P1"/>
    <mergeCell ref="Q1"/>
    <mergeCell ref="G1"/>
    <mergeCell ref="H1"/>
    <mergeCell ref="I1"/>
    <mergeCell ref="A2"/>
    <mergeCell ref="B2"/>
    <mergeCell ref="C2"/>
    <mergeCell ref="D2"/>
    <mergeCell ref="E2"/>
    <mergeCell ref="M3"/>
    <mergeCell ref="R3"/>
    <mergeCell ref="N3"/>
    <mergeCell ref="G3"/>
    <mergeCell ref="H3"/>
    <mergeCell ref="I3"/>
    <mergeCell ref="J3"/>
    <mergeCell ref="K3"/>
    <mergeCell ref="L3"/>
    <mergeCell ref="N2"/>
    <mergeCell ref="O2"/>
    <mergeCell ref="P2"/>
    <mergeCell ref="Q2"/>
    <mergeCell ref="A3"/>
    <mergeCell ref="B3"/>
    <mergeCell ref="C3"/>
    <mergeCell ref="D3"/>
    <mergeCell ref="E3"/>
    <mergeCell ref="F3"/>
    <mergeCell ref="R4"/>
    <mergeCell ref="N4"/>
    <mergeCell ref="O4"/>
    <mergeCell ref="H4"/>
    <mergeCell ref="I4"/>
    <mergeCell ref="J4"/>
    <mergeCell ref="K4"/>
    <mergeCell ref="L4"/>
    <mergeCell ref="M4"/>
    <mergeCell ref="O3"/>
    <mergeCell ref="P3"/>
    <mergeCell ref="Q3"/>
    <mergeCell ref="A4"/>
    <mergeCell ref="B4"/>
    <mergeCell ref="C4"/>
    <mergeCell ref="D4"/>
    <mergeCell ref="E4"/>
    <mergeCell ref="F4"/>
    <mergeCell ref="G4"/>
    <mergeCell ref="P4"/>
    <mergeCell ref="Q4"/>
    <mergeCell ref="H5"/>
    <mergeCell ref="M6"/>
    <mergeCell ref="R5"/>
    <mergeCell ref="N5"/>
    <mergeCell ref="O5"/>
    <mergeCell ref="P5"/>
    <mergeCell ref="I5"/>
    <mergeCell ref="J5"/>
    <mergeCell ref="K5"/>
    <mergeCell ref="L5"/>
    <mergeCell ref="M5"/>
    <mergeCell ref="R6"/>
    <mergeCell ref="N6"/>
    <mergeCell ref="O6"/>
    <mergeCell ref="P6"/>
    <mergeCell ref="Q6"/>
    <mergeCell ref="G6"/>
    <mergeCell ref="H6"/>
    <mergeCell ref="I6"/>
    <mergeCell ref="J6"/>
    <mergeCell ref="K6"/>
    <mergeCell ref="L6"/>
    <mergeCell ref="Q5"/>
    <mergeCell ref="A6"/>
    <mergeCell ref="B6"/>
    <mergeCell ref="C6"/>
    <mergeCell ref="D6"/>
    <mergeCell ref="E6"/>
    <mergeCell ref="F6"/>
    <mergeCell ref="A7"/>
    <mergeCell ref="B7"/>
    <mergeCell ref="C7"/>
    <mergeCell ref="D7"/>
    <mergeCell ref="E7"/>
    <mergeCell ref="F7"/>
    <mergeCell ref="J7"/>
    <mergeCell ref="K7"/>
    <mergeCell ref="L7"/>
    <mergeCell ref="M7"/>
    <mergeCell ref="A5"/>
    <mergeCell ref="B5"/>
    <mergeCell ref="C5"/>
    <mergeCell ref="D5"/>
    <mergeCell ref="E5"/>
    <mergeCell ref="F5"/>
    <mergeCell ref="G5"/>
    <mergeCell ref="R7"/>
    <mergeCell ref="L8"/>
    <mergeCell ref="M8"/>
    <mergeCell ref="R8"/>
    <mergeCell ref="F8"/>
    <mergeCell ref="G8"/>
    <mergeCell ref="H8"/>
    <mergeCell ref="I8"/>
    <mergeCell ref="J8"/>
    <mergeCell ref="K8"/>
    <mergeCell ref="N7"/>
    <mergeCell ref="O7"/>
    <mergeCell ref="P7"/>
    <mergeCell ref="Q7"/>
    <mergeCell ref="G7"/>
    <mergeCell ref="H7"/>
    <mergeCell ref="I7"/>
    <mergeCell ref="A8"/>
    <mergeCell ref="B8"/>
    <mergeCell ref="C8"/>
    <mergeCell ref="D8"/>
    <mergeCell ref="E8"/>
    <mergeCell ref="M9"/>
    <mergeCell ref="R9"/>
    <mergeCell ref="N9"/>
    <mergeCell ref="G9"/>
    <mergeCell ref="H9"/>
    <mergeCell ref="I9"/>
    <mergeCell ref="J9"/>
    <mergeCell ref="K9"/>
    <mergeCell ref="L9"/>
    <mergeCell ref="N8"/>
    <mergeCell ref="O8"/>
    <mergeCell ref="P8"/>
    <mergeCell ref="Q8"/>
    <mergeCell ref="A9"/>
    <mergeCell ref="B9"/>
    <mergeCell ref="C9"/>
    <mergeCell ref="D9"/>
    <mergeCell ref="E9"/>
    <mergeCell ref="F9"/>
    <mergeCell ref="R10"/>
    <mergeCell ref="N10"/>
    <mergeCell ref="O10"/>
    <mergeCell ref="H10"/>
    <mergeCell ref="I10"/>
    <mergeCell ref="J10"/>
    <mergeCell ref="K10"/>
    <mergeCell ref="L10"/>
    <mergeCell ref="M10"/>
    <mergeCell ref="O9"/>
    <mergeCell ref="P9"/>
    <mergeCell ref="Q9"/>
    <mergeCell ref="A10"/>
    <mergeCell ref="B10"/>
    <mergeCell ref="C10"/>
    <mergeCell ref="D10"/>
    <mergeCell ref="E10"/>
    <mergeCell ref="F10"/>
    <mergeCell ref="G10"/>
    <mergeCell ref="P10"/>
    <mergeCell ref="Q10"/>
    <mergeCell ref="R11"/>
    <mergeCell ref="N11"/>
    <mergeCell ref="O11"/>
    <mergeCell ref="P11"/>
    <mergeCell ref="I11"/>
    <mergeCell ref="J11"/>
    <mergeCell ref="K11"/>
    <mergeCell ref="L11"/>
    <mergeCell ref="M11"/>
    <mergeCell ref="R12"/>
    <mergeCell ref="N12"/>
    <mergeCell ref="O12"/>
    <mergeCell ref="P12"/>
    <mergeCell ref="Q12"/>
    <mergeCell ref="H12"/>
    <mergeCell ref="I12"/>
    <mergeCell ref="J12"/>
    <mergeCell ref="K12"/>
    <mergeCell ref="L12"/>
    <mergeCell ref="M12"/>
    <mergeCell ref="Q11"/>
    <mergeCell ref="A12"/>
    <mergeCell ref="B12"/>
    <mergeCell ref="C12"/>
    <mergeCell ref="D12"/>
    <mergeCell ref="E12"/>
    <mergeCell ref="F12"/>
    <mergeCell ref="G12"/>
    <mergeCell ref="A11"/>
    <mergeCell ref="B11"/>
    <mergeCell ref="C11"/>
    <mergeCell ref="D11"/>
    <mergeCell ref="E11"/>
    <mergeCell ref="F11"/>
    <mergeCell ref="G11"/>
    <mergeCell ref="H11"/>
    <mergeCell ref="R13"/>
    <mergeCell ref="A13"/>
    <mergeCell ref="B13"/>
    <mergeCell ref="C13"/>
    <mergeCell ref="D13"/>
    <mergeCell ref="E13"/>
    <mergeCell ref="F13"/>
    <mergeCell ref="G13"/>
    <mergeCell ref="N13"/>
    <mergeCell ref="O13"/>
    <mergeCell ref="P13"/>
    <mergeCell ref="Q13"/>
    <mergeCell ref="J13"/>
    <mergeCell ref="K13"/>
    <mergeCell ref="L13"/>
    <mergeCell ref="M13"/>
    <mergeCell ref="H13"/>
    <mergeCell ref="I13"/>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7" zoomScale="70" zoomScaleNormal="95" zoomScaleSheetLayoutView="70" workbookViewId="0">
      <selection activeCell="F26" sqref="F26"/>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11.12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f>F67</f>
        <v>25877</v>
      </c>
      <c r="C2" s="2728"/>
      <c r="D2" s="2728"/>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2587</v>
      </c>
      <c r="C3" s="2729"/>
      <c r="D3" s="2733"/>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2721"/>
      <c r="AC3" s="1675"/>
    </row>
    <row r="4" spans="1:29" s="1131" customFormat="1" ht="28.5" customHeight="1">
      <c r="A4" s="462" t="s">
        <v>469</v>
      </c>
      <c r="B4" s="397">
        <f>IF(B48="单位面积地价",C50,ROUND(B2*10000/'数据-汇总表'!D3,0))</f>
        <v>7761</v>
      </c>
      <c r="C4" s="2729"/>
      <c r="D4" s="2733"/>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517</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644" t="s">
        <v>471</v>
      </c>
      <c r="D6" s="3645"/>
      <c r="E6" s="3644" t="s">
        <v>472</v>
      </c>
      <c r="F6" s="3645"/>
      <c r="G6" s="3644" t="s">
        <v>473</v>
      </c>
      <c r="H6" s="3645"/>
      <c r="I6" s="3644" t="s">
        <v>474</v>
      </c>
      <c r="J6" s="3645"/>
      <c r="K6" s="465" t="s">
        <v>475</v>
      </c>
      <c r="L6" s="1742"/>
      <c r="M6" s="1741"/>
      <c r="N6" s="1741"/>
      <c r="O6" s="1743"/>
      <c r="P6" s="3646" t="s">
        <v>476</v>
      </c>
      <c r="Q6" s="3647"/>
      <c r="R6" s="3630" t="s">
        <v>472</v>
      </c>
      <c r="S6" s="3631"/>
      <c r="T6" s="3630" t="s">
        <v>473</v>
      </c>
      <c r="U6" s="3631"/>
      <c r="V6" s="3652" t="s">
        <v>474</v>
      </c>
      <c r="W6" s="3652"/>
      <c r="X6" s="1303"/>
      <c r="Y6" s="3630" t="s">
        <v>476</v>
      </c>
      <c r="Z6" s="3631"/>
      <c r="AA6" s="3625" t="s">
        <v>472</v>
      </c>
      <c r="AB6" s="3626" t="s">
        <v>473</v>
      </c>
      <c r="AC6" s="3625" t="s">
        <v>474</v>
      </c>
    </row>
    <row r="7" spans="1:29" ht="20.25">
      <c r="A7" s="466"/>
      <c r="B7" s="467"/>
      <c r="C7" s="3655" t="s">
        <v>2181</v>
      </c>
      <c r="D7" s="3656"/>
      <c r="E7" s="3655" t="str">
        <f>土地案例!A5</f>
        <v>新津区花源街道杨柳村一组、四组</v>
      </c>
      <c r="F7" s="3656"/>
      <c r="G7" s="3655" t="str">
        <f>土地案例!A9</f>
        <v>新津区宝墩镇迎先村四组、七组</v>
      </c>
      <c r="H7" s="3656"/>
      <c r="I7" s="3655" t="str">
        <f>土地案例!A12</f>
        <v>新津区兴义镇田渡村一组、十组,兴场社区四组</v>
      </c>
      <c r="J7" s="3656"/>
      <c r="K7" s="465"/>
      <c r="L7" s="1742"/>
      <c r="M7" s="1741"/>
      <c r="N7" s="1741"/>
      <c r="O7" s="1743"/>
      <c r="P7" s="3648"/>
      <c r="Q7" s="3649"/>
      <c r="R7" s="3632"/>
      <c r="S7" s="3633"/>
      <c r="T7" s="3632"/>
      <c r="U7" s="3633"/>
      <c r="V7" s="3652"/>
      <c r="W7" s="3652"/>
      <c r="X7" s="1303"/>
      <c r="Y7" s="3632"/>
      <c r="Z7" s="3633"/>
      <c r="AA7" s="3626"/>
      <c r="AB7" s="3626"/>
      <c r="AC7" s="3626"/>
    </row>
    <row r="8" spans="1:29" ht="21" thickBot="1">
      <c r="A8" s="466"/>
      <c r="B8" s="467"/>
      <c r="C8" s="3657" t="s">
        <v>2185</v>
      </c>
      <c r="D8" s="3658"/>
      <c r="E8" s="3657" t="s">
        <v>2185</v>
      </c>
      <c r="F8" s="3658"/>
      <c r="G8" s="3653" t="s">
        <v>2185</v>
      </c>
      <c r="H8" s="3654"/>
      <c r="I8" s="3653" t="s">
        <v>2185</v>
      </c>
      <c r="J8" s="3654"/>
      <c r="K8" s="465" t="s">
        <v>477</v>
      </c>
      <c r="L8" s="1742"/>
      <c r="M8" s="1741"/>
      <c r="N8" s="1741"/>
      <c r="O8" s="1743"/>
      <c r="P8" s="3650"/>
      <c r="Q8" s="3651"/>
      <c r="R8" s="3632"/>
      <c r="S8" s="3633"/>
      <c r="T8" s="3634"/>
      <c r="U8" s="3635"/>
      <c r="V8" s="3652"/>
      <c r="W8" s="3652"/>
      <c r="X8" s="1303"/>
      <c r="Y8" s="3634"/>
      <c r="Z8" s="3635"/>
      <c r="AA8" s="3627"/>
      <c r="AB8" s="3627"/>
      <c r="AC8" s="3627"/>
    </row>
    <row r="9" spans="1:29" s="1060" customFormat="1" ht="21" thickBot="1">
      <c r="A9" s="2210"/>
      <c r="B9" s="2217" t="s">
        <v>478</v>
      </c>
      <c r="C9" s="2209">
        <f>'数据-取费表'!B2</f>
        <v>46000</v>
      </c>
      <c r="D9" s="471">
        <v>100</v>
      </c>
      <c r="E9" s="472" t="str">
        <f>土地案例!M5</f>
        <v>2025-03-18</v>
      </c>
      <c r="F9" s="473">
        <f>SUMIF(71:71,YEAR(E9)&amp;"-"&amp;INT((MONTH(E9)+2)/3),72:72)</f>
        <v>101.5</v>
      </c>
      <c r="G9" s="474" t="str">
        <f>土地案例!M9</f>
        <v>2024-06-27</v>
      </c>
      <c r="H9" s="471">
        <f>SUMIF(71:71,YEAR(G9)&amp;"-"&amp;INT((MONTH(G9)+2)/3),72:72)</f>
        <v>103</v>
      </c>
      <c r="I9" s="474" t="str">
        <f>土地案例!M12</f>
        <v>2022-12-13</v>
      </c>
      <c r="J9" s="471">
        <f>SUMIF(71:71,YEAR(I9)&amp;"-"&amp;INT((MONTH(I9)+2)/3),72:72)</f>
        <v>106</v>
      </c>
      <c r="K9" s="88"/>
      <c r="L9" s="1744"/>
      <c r="M9" s="1741"/>
      <c r="N9" s="1741"/>
      <c r="O9" s="1641"/>
      <c r="P9" s="3628" t="s">
        <v>479</v>
      </c>
      <c r="Q9" s="3637"/>
      <c r="R9" s="1304" t="s">
        <v>5</v>
      </c>
      <c r="S9" s="1305">
        <f t="shared" ref="S9:S17" si="0">F9</f>
        <v>101.5</v>
      </c>
      <c r="T9" s="1304" t="s">
        <v>5</v>
      </c>
      <c r="U9" s="1305">
        <f t="shared" ref="U9:U17" si="1">H9</f>
        <v>103</v>
      </c>
      <c r="V9" s="1304" t="s">
        <v>5</v>
      </c>
      <c r="W9" s="1305">
        <f t="shared" ref="W9:W17" si="2">J9</f>
        <v>106</v>
      </c>
      <c r="X9" s="1306"/>
      <c r="Y9" s="3628" t="s">
        <v>479</v>
      </c>
      <c r="Z9" s="3629"/>
      <c r="AA9" s="997">
        <f>D9/F9</f>
        <v>0.98522167487684731</v>
      </c>
      <c r="AB9" s="997">
        <f>D9/H9</f>
        <v>0.970873786407767</v>
      </c>
      <c r="AC9" s="997">
        <f>D9/J9</f>
        <v>0.94339622641509435</v>
      </c>
    </row>
    <row r="10" spans="1:29" s="1060" customFormat="1" ht="21" thickBot="1">
      <c r="A10" s="2211"/>
      <c r="B10" s="2218" t="s">
        <v>480</v>
      </c>
      <c r="C10" s="790" t="s">
        <v>481</v>
      </c>
      <c r="D10" s="471">
        <v>100</v>
      </c>
      <c r="E10" s="475" t="s">
        <v>3424</v>
      </c>
      <c r="F10" s="473">
        <f>SUMIF(74:74,E10,75:75)-SUMIF(74:74,C10,75:75)+100</f>
        <v>100</v>
      </c>
      <c r="G10" s="475" t="s">
        <v>3424</v>
      </c>
      <c r="H10" s="471">
        <f>SUMIF(74:74,G10,75:75)-SUMIF(74:74,C10,75:75)+100</f>
        <v>100</v>
      </c>
      <c r="I10" s="475" t="s">
        <v>3424</v>
      </c>
      <c r="J10" s="471">
        <f>SUMIF(74:74,I10,75:75)-SUMIF(74:74,C10,75:75)+100</f>
        <v>100</v>
      </c>
      <c r="K10" s="88"/>
      <c r="L10" s="1744"/>
      <c r="M10" s="1741"/>
      <c r="N10" s="1741"/>
      <c r="O10" s="1641"/>
      <c r="P10" s="3628" t="s">
        <v>482</v>
      </c>
      <c r="Q10" s="3629"/>
      <c r="R10" s="1304" t="s">
        <v>5</v>
      </c>
      <c r="S10" s="1305">
        <f t="shared" si="0"/>
        <v>100</v>
      </c>
      <c r="T10" s="1304" t="s">
        <v>5</v>
      </c>
      <c r="U10" s="1305">
        <f t="shared" si="1"/>
        <v>100</v>
      </c>
      <c r="V10" s="1304" t="s">
        <v>5</v>
      </c>
      <c r="W10" s="1305">
        <f t="shared" si="2"/>
        <v>100</v>
      </c>
      <c r="X10" s="1306"/>
      <c r="Y10" s="3628" t="s">
        <v>482</v>
      </c>
      <c r="Z10" s="3629"/>
      <c r="AA10" s="997">
        <f t="shared" ref="AA10:AA47" si="3">D10/F10</f>
        <v>1</v>
      </c>
      <c r="AB10" s="997">
        <f t="shared" ref="AB10:AB47" si="4">D10/H10</f>
        <v>1</v>
      </c>
      <c r="AC10" s="997">
        <f t="shared" ref="AC10:AC47" si="5">D10/J10</f>
        <v>1</v>
      </c>
    </row>
    <row r="11" spans="1:29" s="1060" customFormat="1" ht="57">
      <c r="A11" s="2212"/>
      <c r="B11" s="2219" t="s">
        <v>2037</v>
      </c>
      <c r="C11" s="2206" t="s">
        <v>3387</v>
      </c>
      <c r="D11" s="154">
        <v>100</v>
      </c>
      <c r="E11" s="476" t="s">
        <v>3387</v>
      </c>
      <c r="F11" s="154">
        <f>SUMIF(76:76,E11,77:77)-SUMIF(76:76,C11,77:77)+100</f>
        <v>100</v>
      </c>
      <c r="G11" s="476" t="s">
        <v>3359</v>
      </c>
      <c r="H11" s="154">
        <f>SUMIF(76:76,G11,77:77)-SUMIF(76:76,C11,77:77)+100</f>
        <v>90</v>
      </c>
      <c r="I11" s="476" t="s">
        <v>3387</v>
      </c>
      <c r="J11" s="154">
        <f>SUMIF(76:76,I11,77:77)-SUMIF(76:76,C11,77:77)+100</f>
        <v>100</v>
      </c>
      <c r="K11" s="88"/>
      <c r="L11" s="1744"/>
      <c r="M11" s="1741"/>
      <c r="N11" s="1741"/>
      <c r="O11" s="1745"/>
      <c r="P11" s="3636" t="s">
        <v>484</v>
      </c>
      <c r="Q11" s="818" t="str">
        <f t="shared" ref="Q11:Q17" si="6">B11</f>
        <v>用途</v>
      </c>
      <c r="R11" s="1304" t="s">
        <v>5</v>
      </c>
      <c r="S11" s="1305">
        <f t="shared" si="0"/>
        <v>100</v>
      </c>
      <c r="T11" s="1304" t="s">
        <v>5</v>
      </c>
      <c r="U11" s="1305">
        <f t="shared" si="1"/>
        <v>90</v>
      </c>
      <c r="V11" s="1304" t="s">
        <v>5</v>
      </c>
      <c r="W11" s="1305">
        <f t="shared" si="2"/>
        <v>100</v>
      </c>
      <c r="X11" s="1306"/>
      <c r="Y11" s="3587" t="s">
        <v>485</v>
      </c>
      <c r="Z11" s="997" t="str">
        <f t="shared" ref="Z11:Z17" si="7">Q11</f>
        <v>用途</v>
      </c>
      <c r="AA11" s="997">
        <f t="shared" si="3"/>
        <v>1</v>
      </c>
      <c r="AB11" s="997">
        <f t="shared" si="4"/>
        <v>1.1111111111111112</v>
      </c>
      <c r="AC11" s="997">
        <f t="shared" si="5"/>
        <v>1</v>
      </c>
    </row>
    <row r="12" spans="1:29" s="1133" customFormat="1" ht="27">
      <c r="A12" s="2213"/>
      <c r="B12" s="2218" t="s">
        <v>2038</v>
      </c>
      <c r="C12" s="833"/>
      <c r="D12" s="235">
        <v>100</v>
      </c>
      <c r="E12" s="479"/>
      <c r="F12" s="235">
        <f>ROUND(100/'数据-取费表'!G16,0)</f>
        <v>107</v>
      </c>
      <c r="G12" s="480"/>
      <c r="H12" s="235">
        <f>ROUND(100/'数据-取费表'!G16,0)</f>
        <v>107</v>
      </c>
      <c r="I12" s="480"/>
      <c r="J12" s="235">
        <f>ROUND(100/'数据-取费表'!G16,0)</f>
        <v>107</v>
      </c>
      <c r="K12" s="481"/>
      <c r="L12" s="1746"/>
      <c r="M12" s="1741"/>
      <c r="N12" s="1741"/>
      <c r="O12" s="1747"/>
      <c r="P12" s="3636"/>
      <c r="Q12" s="818" t="str">
        <f t="shared" si="6"/>
        <v>土地使用年限（年）</v>
      </c>
      <c r="R12" s="1304" t="s">
        <v>5</v>
      </c>
      <c r="S12" s="1305">
        <f t="shared" si="0"/>
        <v>107</v>
      </c>
      <c r="T12" s="1304" t="s">
        <v>5</v>
      </c>
      <c r="U12" s="1305">
        <f t="shared" si="1"/>
        <v>107</v>
      </c>
      <c r="V12" s="1304" t="s">
        <v>5</v>
      </c>
      <c r="W12" s="1305">
        <f t="shared" si="2"/>
        <v>107</v>
      </c>
      <c r="X12" s="1306"/>
      <c r="Y12" s="3587"/>
      <c r="Z12" s="997" t="str">
        <f t="shared" si="7"/>
        <v>土地使用年限（年）</v>
      </c>
      <c r="AA12" s="997">
        <f t="shared" si="3"/>
        <v>0.93457943925233644</v>
      </c>
      <c r="AB12" s="997">
        <f t="shared" si="4"/>
        <v>0.93457943925233644</v>
      </c>
      <c r="AC12" s="997">
        <f t="shared" si="5"/>
        <v>0.93457943925233644</v>
      </c>
    </row>
    <row r="13" spans="1:29" ht="21" thickBot="1">
      <c r="A13" s="2214"/>
      <c r="B13" s="2218" t="s">
        <v>2039</v>
      </c>
      <c r="C13" s="484">
        <f>'数据-汇总表'!I6</f>
        <v>3</v>
      </c>
      <c r="D13" s="235">
        <v>100</v>
      </c>
      <c r="E13" s="483">
        <v>1.8</v>
      </c>
      <c r="F13" s="235">
        <f>LOOKUP(E13,81:81,82:82)-LOOKUP(C13,81:81,82:82)+100</f>
        <v>104</v>
      </c>
      <c r="G13" s="484">
        <v>2.5</v>
      </c>
      <c r="H13" s="235">
        <f>LOOKUP(G13,81:81,82:82)-LOOKUP(C13,81:81,82:82)+100</f>
        <v>102</v>
      </c>
      <c r="I13" s="483">
        <v>1.2</v>
      </c>
      <c r="J13" s="235">
        <f>LOOKUP(I13,81:81,82:82)-LOOKUP(C13,81:81,82:82)+100</f>
        <v>104</v>
      </c>
      <c r="K13" s="485">
        <v>2</v>
      </c>
      <c r="L13" s="1748"/>
      <c r="M13" s="1741"/>
      <c r="N13" s="1741"/>
      <c r="O13" s="1749"/>
      <c r="P13" s="3636"/>
      <c r="Q13" s="818" t="str">
        <f t="shared" si="6"/>
        <v>容积率</v>
      </c>
      <c r="R13" s="1304" t="s">
        <v>5</v>
      </c>
      <c r="S13" s="1305">
        <f t="shared" si="0"/>
        <v>104</v>
      </c>
      <c r="T13" s="1304" t="s">
        <v>5</v>
      </c>
      <c r="U13" s="1305">
        <f t="shared" si="1"/>
        <v>102</v>
      </c>
      <c r="V13" s="1304" t="s">
        <v>5</v>
      </c>
      <c r="W13" s="1305">
        <f t="shared" si="2"/>
        <v>104</v>
      </c>
      <c r="X13" s="1306"/>
      <c r="Y13" s="3587"/>
      <c r="Z13" s="997" t="str">
        <f t="shared" si="7"/>
        <v>容积率</v>
      </c>
      <c r="AA13" s="997">
        <f t="shared" si="3"/>
        <v>0.96153846153846156</v>
      </c>
      <c r="AB13" s="997">
        <f t="shared" si="4"/>
        <v>0.98039215686274506</v>
      </c>
      <c r="AC13" s="997">
        <f t="shared" si="5"/>
        <v>0.96153846153846156</v>
      </c>
    </row>
    <row r="14" spans="1:29" s="1060" customFormat="1" ht="20.25" hidden="1">
      <c r="A14" s="2211"/>
      <c r="B14" s="2220" t="s">
        <v>2040</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636"/>
      <c r="Q14" s="818" t="str">
        <f t="shared" si="6"/>
        <v>配建</v>
      </c>
      <c r="R14" s="1304" t="s">
        <v>5</v>
      </c>
      <c r="S14" s="1305">
        <f t="shared" si="0"/>
        <v>100</v>
      </c>
      <c r="T14" s="1304" t="s">
        <v>5</v>
      </c>
      <c r="U14" s="1305">
        <f t="shared" si="1"/>
        <v>100</v>
      </c>
      <c r="V14" s="1304" t="s">
        <v>5</v>
      </c>
      <c r="W14" s="1305">
        <f t="shared" si="2"/>
        <v>100</v>
      </c>
      <c r="X14" s="1306"/>
      <c r="Y14" s="3587"/>
      <c r="Z14" s="997" t="str">
        <f t="shared" si="7"/>
        <v>配建</v>
      </c>
      <c r="AA14" s="997">
        <f>D14/F14</f>
        <v>1</v>
      </c>
      <c r="AB14" s="997">
        <f>D14/H14</f>
        <v>1</v>
      </c>
      <c r="AC14" s="997">
        <f>D14/J14</f>
        <v>1</v>
      </c>
    </row>
    <row r="15" spans="1:29" ht="20.25" hidden="1">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636"/>
      <c r="Q15" s="818">
        <f t="shared" si="6"/>
        <v>111</v>
      </c>
      <c r="R15" s="1304" t="s">
        <v>5</v>
      </c>
      <c r="S15" s="1305">
        <f t="shared" si="0"/>
        <v>100</v>
      </c>
      <c r="T15" s="1304" t="s">
        <v>5</v>
      </c>
      <c r="U15" s="1305">
        <f t="shared" si="1"/>
        <v>100</v>
      </c>
      <c r="V15" s="1304" t="s">
        <v>5</v>
      </c>
      <c r="W15" s="1305">
        <f t="shared" si="2"/>
        <v>100</v>
      </c>
      <c r="X15" s="1306"/>
      <c r="Y15" s="3587"/>
      <c r="Z15" s="997">
        <f t="shared" si="7"/>
        <v>111</v>
      </c>
      <c r="AA15" s="997">
        <f>D15/F15</f>
        <v>1</v>
      </c>
      <c r="AB15" s="997">
        <f>D15/H15</f>
        <v>1</v>
      </c>
      <c r="AC15" s="997">
        <f>D15/J15</f>
        <v>1</v>
      </c>
    </row>
    <row r="16" spans="1:29" ht="21" hidden="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636"/>
      <c r="Q16" s="818">
        <f t="shared" si="6"/>
        <v>111</v>
      </c>
      <c r="R16" s="1304" t="s">
        <v>5</v>
      </c>
      <c r="S16" s="1305">
        <f t="shared" si="0"/>
        <v>100</v>
      </c>
      <c r="T16" s="1304" t="s">
        <v>5</v>
      </c>
      <c r="U16" s="1305">
        <f t="shared" si="1"/>
        <v>100</v>
      </c>
      <c r="V16" s="1304" t="s">
        <v>5</v>
      </c>
      <c r="W16" s="1305">
        <f t="shared" si="2"/>
        <v>100</v>
      </c>
      <c r="X16" s="1306"/>
      <c r="Y16" s="3587"/>
      <c r="Z16" s="997">
        <f t="shared" si="7"/>
        <v>111</v>
      </c>
      <c r="AA16" s="997">
        <f>D16/F16</f>
        <v>1</v>
      </c>
      <c r="AB16" s="997">
        <f>D16/H16</f>
        <v>1</v>
      </c>
      <c r="AC16" s="997">
        <f>D16/J16</f>
        <v>1</v>
      </c>
    </row>
    <row r="17" spans="1:29" ht="20.25">
      <c r="A17" s="2208" t="s">
        <v>2035</v>
      </c>
      <c r="B17" s="528" t="s">
        <v>261</v>
      </c>
      <c r="C17" s="498">
        <f>估价对象房地状况!C15</f>
        <v>0</v>
      </c>
      <c r="D17" s="501">
        <v>100</v>
      </c>
      <c r="E17" s="502"/>
      <c r="F17" s="499">
        <f>SUMIF(89:89,E18,90:90)-SUMIF(89:89,C18,90:90)+100</f>
        <v>102</v>
      </c>
      <c r="G17" s="500"/>
      <c r="H17" s="499">
        <f>SUMIF(89:89,G18,90:90)-SUMIF(89:89,C18,90:90)+100</f>
        <v>102</v>
      </c>
      <c r="I17" s="502"/>
      <c r="J17" s="499">
        <f>SUMIF(89:89,I18,90:90)-SUMIF(89:89,C18,90:90)+100</f>
        <v>100</v>
      </c>
      <c r="K17" s="485">
        <v>2</v>
      </c>
      <c r="L17" s="1750"/>
      <c r="M17" s="1741"/>
      <c r="N17" s="1741"/>
      <c r="O17" s="1749"/>
      <c r="P17" s="3638" t="s">
        <v>489</v>
      </c>
      <c r="Q17" s="1307" t="str">
        <f t="shared" si="6"/>
        <v>居住社区成熟度</v>
      </c>
      <c r="R17" s="1308" t="s">
        <v>5</v>
      </c>
      <c r="S17" s="1309">
        <f t="shared" si="0"/>
        <v>102</v>
      </c>
      <c r="T17" s="1308" t="s">
        <v>5</v>
      </c>
      <c r="U17" s="1309">
        <f t="shared" si="1"/>
        <v>102</v>
      </c>
      <c r="V17" s="1308" t="s">
        <v>5</v>
      </c>
      <c r="W17" s="1309">
        <f t="shared" si="2"/>
        <v>100</v>
      </c>
      <c r="X17" s="1303"/>
      <c r="Y17" s="3638" t="s">
        <v>489</v>
      </c>
      <c r="Z17" s="1310" t="str">
        <f t="shared" si="7"/>
        <v>居住社区成熟度</v>
      </c>
      <c r="AA17" s="1310">
        <f t="shared" si="3"/>
        <v>0.98039215686274506</v>
      </c>
      <c r="AB17" s="1310">
        <f t="shared" si="4"/>
        <v>0.98039215686274506</v>
      </c>
      <c r="AC17" s="1310">
        <f t="shared" si="5"/>
        <v>1</v>
      </c>
    </row>
    <row r="18" spans="1:29" ht="20.25">
      <c r="A18" s="482"/>
      <c r="B18" s="503"/>
      <c r="C18" s="504" t="s">
        <v>3428</v>
      </c>
      <c r="D18" s="507"/>
      <c r="E18" s="508" t="s">
        <v>3431</v>
      </c>
      <c r="F18" s="505"/>
      <c r="G18" s="506" t="s">
        <v>3431</v>
      </c>
      <c r="H18" s="509"/>
      <c r="I18" s="508" t="s">
        <v>3428</v>
      </c>
      <c r="J18" s="505"/>
      <c r="K18" s="481"/>
      <c r="L18" s="1750"/>
      <c r="M18" s="1741"/>
      <c r="N18" s="1741"/>
      <c r="O18" s="1749"/>
      <c r="P18" s="3639"/>
      <c r="Q18" s="1307"/>
      <c r="R18" s="1308"/>
      <c r="S18" s="1309"/>
      <c r="T18" s="1308"/>
      <c r="U18" s="1309"/>
      <c r="V18" s="1308"/>
      <c r="W18" s="1309"/>
      <c r="X18" s="1303"/>
      <c r="Y18" s="3639"/>
      <c r="Z18" s="1310"/>
      <c r="AA18" s="1310">
        <v>1</v>
      </c>
      <c r="AB18" s="1310">
        <v>1</v>
      </c>
      <c r="AC18" s="1310">
        <v>1</v>
      </c>
    </row>
    <row r="19" spans="1:29" ht="20.25">
      <c r="A19" s="482"/>
      <c r="B19" s="510" t="s">
        <v>490</v>
      </c>
      <c r="C19" s="511">
        <f>估价对象房地状况!C16</f>
        <v>0</v>
      </c>
      <c r="D19" s="513">
        <v>100</v>
      </c>
      <c r="E19" s="514"/>
      <c r="F19" s="509">
        <f>SUMIF(91:91,E20,92:92)-SUMIF(91:91,C20,92:92)+100</f>
        <v>102</v>
      </c>
      <c r="G19" s="512"/>
      <c r="H19" s="515">
        <f>SUMIF(91:91,G20,92:92)-SUMIF(91:91,C20,92:92)+100</f>
        <v>102</v>
      </c>
      <c r="I19" s="514"/>
      <c r="J19" s="515">
        <f>SUMIF(91:91,I20,92:92)-SUMIF(91:91,C20,92:92)+100</f>
        <v>100</v>
      </c>
      <c r="K19" s="485">
        <v>2</v>
      </c>
      <c r="L19" s="1750"/>
      <c r="M19" s="1741"/>
      <c r="N19" s="1741"/>
      <c r="O19" s="1749"/>
      <c r="P19" s="3639"/>
      <c r="Q19" s="1307" t="str">
        <f>B19</f>
        <v>商业繁华度</v>
      </c>
      <c r="R19" s="1308" t="s">
        <v>5</v>
      </c>
      <c r="S19" s="1309">
        <f>F19</f>
        <v>102</v>
      </c>
      <c r="T19" s="1308" t="s">
        <v>5</v>
      </c>
      <c r="U19" s="1309">
        <f>H19</f>
        <v>102</v>
      </c>
      <c r="V19" s="1308" t="s">
        <v>5</v>
      </c>
      <c r="W19" s="1309">
        <f>J19</f>
        <v>100</v>
      </c>
      <c r="X19" s="1303"/>
      <c r="Y19" s="3639"/>
      <c r="Z19" s="1310" t="str">
        <f>Q19</f>
        <v>商业繁华度</v>
      </c>
      <c r="AA19" s="1310">
        <f t="shared" si="3"/>
        <v>0.98039215686274506</v>
      </c>
      <c r="AB19" s="1310">
        <f t="shared" si="4"/>
        <v>0.98039215686274506</v>
      </c>
      <c r="AC19" s="1310">
        <f t="shared" si="5"/>
        <v>1</v>
      </c>
    </row>
    <row r="20" spans="1:29" ht="20.25">
      <c r="A20" s="482"/>
      <c r="B20" s="516"/>
      <c r="C20" s="517" t="s">
        <v>3429</v>
      </c>
      <c r="D20" s="513"/>
      <c r="E20" s="519" t="s">
        <v>3428</v>
      </c>
      <c r="F20" s="509"/>
      <c r="G20" s="506" t="s">
        <v>3428</v>
      </c>
      <c r="H20" s="505"/>
      <c r="I20" s="519" t="s">
        <v>3429</v>
      </c>
      <c r="J20" s="505"/>
      <c r="K20" s="481"/>
      <c r="L20" s="1750"/>
      <c r="M20" s="1741"/>
      <c r="N20" s="1741"/>
      <c r="O20" s="1749"/>
      <c r="P20" s="3639"/>
      <c r="Q20" s="1307"/>
      <c r="R20" s="1308"/>
      <c r="S20" s="1309"/>
      <c r="T20" s="1308"/>
      <c r="U20" s="1309"/>
      <c r="V20" s="1308"/>
      <c r="W20" s="1309"/>
      <c r="X20" s="1303"/>
      <c r="Y20" s="3639"/>
      <c r="Z20" s="1310"/>
      <c r="AA20" s="1310">
        <v>1</v>
      </c>
      <c r="AB20" s="1310">
        <v>1</v>
      </c>
      <c r="AC20" s="1310">
        <v>1</v>
      </c>
    </row>
    <row r="21" spans="1:29" ht="20.25" hidden="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39"/>
      <c r="Q21" s="1307" t="str">
        <f>B21</f>
        <v>办公集聚程度</v>
      </c>
      <c r="R21" s="1308" t="s">
        <v>5</v>
      </c>
      <c r="S21" s="1309">
        <f>F21</f>
        <v>100</v>
      </c>
      <c r="T21" s="1308" t="s">
        <v>5</v>
      </c>
      <c r="U21" s="1309">
        <f>H21</f>
        <v>100</v>
      </c>
      <c r="V21" s="1308" t="s">
        <v>5</v>
      </c>
      <c r="W21" s="1309">
        <f>J21</f>
        <v>100</v>
      </c>
      <c r="X21" s="1303"/>
      <c r="Y21" s="3639"/>
      <c r="Z21" s="1310" t="str">
        <f>Q21</f>
        <v>办公集聚程度</v>
      </c>
      <c r="AA21" s="1310">
        <f t="shared" si="3"/>
        <v>1</v>
      </c>
      <c r="AB21" s="1310">
        <f t="shared" si="4"/>
        <v>1</v>
      </c>
      <c r="AC21" s="1310">
        <f t="shared" si="5"/>
        <v>1</v>
      </c>
    </row>
    <row r="22" spans="1:29" ht="20.25" hidden="1">
      <c r="A22" s="482"/>
      <c r="B22" s="516"/>
      <c r="C22" s="504"/>
      <c r="D22" s="507"/>
      <c r="E22" s="508"/>
      <c r="F22" s="505"/>
      <c r="G22" s="506"/>
      <c r="H22" s="505"/>
      <c r="I22" s="508"/>
      <c r="J22" s="505"/>
      <c r="K22" s="481"/>
      <c r="L22" s="1750"/>
      <c r="M22" s="1741"/>
      <c r="N22" s="1741"/>
      <c r="O22" s="1749"/>
      <c r="P22" s="3639"/>
      <c r="Q22" s="1307"/>
      <c r="R22" s="1308"/>
      <c r="S22" s="1309"/>
      <c r="T22" s="1308"/>
      <c r="U22" s="1309"/>
      <c r="V22" s="1308"/>
      <c r="W22" s="1309"/>
      <c r="X22" s="1303"/>
      <c r="Y22" s="3639"/>
      <c r="Z22" s="1310"/>
      <c r="AA22" s="1310">
        <v>1</v>
      </c>
      <c r="AB22" s="1310">
        <v>1</v>
      </c>
      <c r="AC22" s="1310">
        <v>1</v>
      </c>
    </row>
    <row r="23" spans="1:29" ht="20.25">
      <c r="A23" s="482"/>
      <c r="B23" s="510" t="s">
        <v>492</v>
      </c>
      <c r="C23" s="523">
        <f>估价对象房地状况!C18</f>
        <v>0</v>
      </c>
      <c r="D23" s="513">
        <v>100</v>
      </c>
      <c r="E23" s="514"/>
      <c r="F23" s="515">
        <f>SUMIF(95:95,E24,96:96)-SUMIF(95:95,C24,96:96)+100</f>
        <v>104</v>
      </c>
      <c r="G23" s="512"/>
      <c r="H23" s="509">
        <f>SUMIF(95:95,G24,96:96)-SUMIF(95:95,C24,96:96)+100</f>
        <v>104</v>
      </c>
      <c r="I23" s="514"/>
      <c r="J23" s="509">
        <f>SUMIF(95:95,I24,96:96)-SUMIF(95:95,C24,96:96)+100</f>
        <v>100</v>
      </c>
      <c r="K23" s="485">
        <v>2</v>
      </c>
      <c r="L23" s="1750"/>
      <c r="M23" s="1741"/>
      <c r="N23" s="1741"/>
      <c r="O23" s="1749"/>
      <c r="P23" s="3639"/>
      <c r="Q23" s="1307" t="str">
        <f>B23</f>
        <v>交通便捷度</v>
      </c>
      <c r="R23" s="1308" t="s">
        <v>5</v>
      </c>
      <c r="S23" s="1309">
        <f>F23</f>
        <v>104</v>
      </c>
      <c r="T23" s="1308" t="s">
        <v>5</v>
      </c>
      <c r="U23" s="1309">
        <f>H23</f>
        <v>104</v>
      </c>
      <c r="V23" s="1308" t="s">
        <v>5</v>
      </c>
      <c r="W23" s="1309">
        <f>J23</f>
        <v>100</v>
      </c>
      <c r="X23" s="1303"/>
      <c r="Y23" s="3639"/>
      <c r="Z23" s="1310" t="str">
        <f>Q23</f>
        <v>交通便捷度</v>
      </c>
      <c r="AA23" s="1310">
        <f t="shared" si="3"/>
        <v>0.96153846153846156</v>
      </c>
      <c r="AB23" s="1310">
        <f t="shared" si="4"/>
        <v>0.96153846153846156</v>
      </c>
      <c r="AC23" s="1310">
        <f t="shared" si="5"/>
        <v>1</v>
      </c>
    </row>
    <row r="24" spans="1:29" ht="20.25">
      <c r="A24" s="482"/>
      <c r="B24" s="528"/>
      <c r="C24" s="504" t="s">
        <v>3429</v>
      </c>
      <c r="D24" s="507"/>
      <c r="E24" s="508" t="s">
        <v>3431</v>
      </c>
      <c r="F24" s="505"/>
      <c r="G24" s="506" t="s">
        <v>3431</v>
      </c>
      <c r="H24" s="505"/>
      <c r="I24" s="508" t="s">
        <v>3429</v>
      </c>
      <c r="J24" s="505"/>
      <c r="K24" s="481"/>
      <c r="L24" s="1750"/>
      <c r="M24" s="1741"/>
      <c r="N24" s="1741"/>
      <c r="O24" s="1749"/>
      <c r="P24" s="3639"/>
      <c r="Q24" s="1307"/>
      <c r="R24" s="1308"/>
      <c r="S24" s="1309"/>
      <c r="T24" s="1308"/>
      <c r="U24" s="1309"/>
      <c r="V24" s="1308"/>
      <c r="W24" s="1309"/>
      <c r="X24" s="1303"/>
      <c r="Y24" s="3639"/>
      <c r="Z24" s="1310"/>
      <c r="AA24" s="1310">
        <v>1</v>
      </c>
      <c r="AB24" s="1310">
        <v>1</v>
      </c>
      <c r="AC24" s="1310">
        <v>1</v>
      </c>
    </row>
    <row r="25" spans="1:29" ht="27">
      <c r="A25" s="466"/>
      <c r="B25" s="239" t="s">
        <v>493</v>
      </c>
      <c r="C25" s="523">
        <f>估价对象房地状况!C19</f>
        <v>0</v>
      </c>
      <c r="D25" s="513">
        <v>100</v>
      </c>
      <c r="E25" s="514"/>
      <c r="F25" s="515">
        <f>SUMIF(97:97,E26,98:98)-SUMIF(97:97,C26,98:98)+100</f>
        <v>102</v>
      </c>
      <c r="G25" s="512"/>
      <c r="H25" s="509">
        <f>SUMIF(97:97,G26,98:98)-SUMIF(97:97,C26,98:98)+100</f>
        <v>102</v>
      </c>
      <c r="I25" s="514"/>
      <c r="J25" s="509">
        <f>SUMIF(97:97,I26,98:98)-SUMIF(97:97,C26,98:98)+100</f>
        <v>100</v>
      </c>
      <c r="K25" s="485">
        <v>2</v>
      </c>
      <c r="L25" s="1750"/>
      <c r="M25" s="1741"/>
      <c r="N25" s="1741"/>
      <c r="O25" s="1749"/>
      <c r="P25" s="3639"/>
      <c r="Q25" s="1307" t="str">
        <f t="shared" ref="Q25:Q39" si="8">B25</f>
        <v>区域土地利用方向</v>
      </c>
      <c r="R25" s="1308" t="s">
        <v>5</v>
      </c>
      <c r="S25" s="1309">
        <f>F25</f>
        <v>102</v>
      </c>
      <c r="T25" s="1308" t="s">
        <v>5</v>
      </c>
      <c r="U25" s="1309">
        <f>H25</f>
        <v>102</v>
      </c>
      <c r="V25" s="1308" t="s">
        <v>5</v>
      </c>
      <c r="W25" s="1309">
        <f>J25</f>
        <v>100</v>
      </c>
      <c r="X25" s="1303"/>
      <c r="Y25" s="3639"/>
      <c r="Z25" s="1310" t="str">
        <f>Q25</f>
        <v>区域土地利用方向</v>
      </c>
      <c r="AA25" s="1310">
        <f t="shared" si="3"/>
        <v>0.98039215686274506</v>
      </c>
      <c r="AB25" s="1310">
        <f t="shared" si="4"/>
        <v>0.98039215686274506</v>
      </c>
      <c r="AC25" s="1310">
        <f t="shared" si="5"/>
        <v>1</v>
      </c>
    </row>
    <row r="26" spans="1:29" ht="20.25">
      <c r="A26" s="466"/>
      <c r="B26" s="919"/>
      <c r="C26" s="504" t="s">
        <v>3428</v>
      </c>
      <c r="D26" s="507"/>
      <c r="E26" s="508" t="s">
        <v>3431</v>
      </c>
      <c r="F26" s="505"/>
      <c r="G26" s="506" t="s">
        <v>3431</v>
      </c>
      <c r="H26" s="505"/>
      <c r="I26" s="508" t="s">
        <v>3428</v>
      </c>
      <c r="J26" s="505"/>
      <c r="K26" s="481"/>
      <c r="L26" s="1750"/>
      <c r="M26" s="1741"/>
      <c r="N26" s="1741"/>
      <c r="O26" s="1749"/>
      <c r="P26" s="3639"/>
      <c r="Q26" s="1307"/>
      <c r="R26" s="1308"/>
      <c r="S26" s="1309"/>
      <c r="T26" s="1308"/>
      <c r="U26" s="1309"/>
      <c r="V26" s="1308"/>
      <c r="W26" s="1309"/>
      <c r="X26" s="1303"/>
      <c r="Y26" s="3639"/>
      <c r="Z26" s="1310"/>
      <c r="AA26" s="1310"/>
      <c r="AB26" s="1310"/>
      <c r="AC26" s="1310"/>
    </row>
    <row r="27" spans="1:29" ht="27">
      <c r="A27" s="466"/>
      <c r="B27" s="528" t="s">
        <v>494</v>
      </c>
      <c r="C27" s="511">
        <f>估价对象房地状况!C20</f>
        <v>0</v>
      </c>
      <c r="D27" s="513">
        <v>100</v>
      </c>
      <c r="E27" s="514"/>
      <c r="F27" s="509">
        <f>SUMIF(99:99,E28,100:100)-SUMIF(99:99,C28,100:100)+100</f>
        <v>102</v>
      </c>
      <c r="G27" s="512"/>
      <c r="H27" s="509">
        <f>SUMIF(99:99,G28,100:100)-SUMIF(99:99,C28,100:100)+100</f>
        <v>102</v>
      </c>
      <c r="I27" s="514"/>
      <c r="J27" s="509">
        <f>SUMIF(99:99,I28,100:100)-SUMIF(99:99,C28,100:100)+100</f>
        <v>100</v>
      </c>
      <c r="K27" s="485">
        <v>2</v>
      </c>
      <c r="L27" s="1750"/>
      <c r="M27" s="1741"/>
      <c r="N27" s="1741"/>
      <c r="O27" s="1749"/>
      <c r="P27" s="3639"/>
      <c r="Q27" s="1307" t="str">
        <f t="shared" si="8"/>
        <v>自然及人文环境状况</v>
      </c>
      <c r="R27" s="1308" t="s">
        <v>5</v>
      </c>
      <c r="S27" s="1309">
        <f>F27</f>
        <v>102</v>
      </c>
      <c r="T27" s="1308" t="s">
        <v>5</v>
      </c>
      <c r="U27" s="1309">
        <f>H27</f>
        <v>102</v>
      </c>
      <c r="V27" s="1308" t="s">
        <v>5</v>
      </c>
      <c r="W27" s="1309">
        <f>J27</f>
        <v>100</v>
      </c>
      <c r="X27" s="1303"/>
      <c r="Y27" s="3639"/>
      <c r="Z27" s="1310" t="str">
        <f>Q27</f>
        <v>自然及人文环境状况</v>
      </c>
      <c r="AA27" s="1310">
        <f t="shared" si="3"/>
        <v>0.98039215686274506</v>
      </c>
      <c r="AB27" s="1310">
        <f t="shared" si="4"/>
        <v>0.98039215686274506</v>
      </c>
      <c r="AC27" s="1310">
        <f t="shared" si="5"/>
        <v>1</v>
      </c>
    </row>
    <row r="28" spans="1:29" ht="20.25">
      <c r="A28" s="466"/>
      <c r="B28" s="516"/>
      <c r="C28" s="504" t="s">
        <v>3428</v>
      </c>
      <c r="D28" s="507"/>
      <c r="E28" s="526" t="s">
        <v>3431</v>
      </c>
      <c r="F28" s="505"/>
      <c r="G28" s="506" t="s">
        <v>3431</v>
      </c>
      <c r="H28" s="505"/>
      <c r="I28" s="526" t="s">
        <v>3428</v>
      </c>
      <c r="J28" s="505"/>
      <c r="K28" s="481"/>
      <c r="L28" s="1750"/>
      <c r="M28" s="1741"/>
      <c r="N28" s="1741"/>
      <c r="O28" s="1749"/>
      <c r="P28" s="3639"/>
      <c r="Q28" s="1307"/>
      <c r="R28" s="1308"/>
      <c r="S28" s="1309"/>
      <c r="T28" s="1308"/>
      <c r="U28" s="1309"/>
      <c r="V28" s="1308"/>
      <c r="W28" s="1309"/>
      <c r="X28" s="1303"/>
      <c r="Y28" s="3639"/>
      <c r="Z28" s="1310"/>
      <c r="AA28" s="1310">
        <v>1</v>
      </c>
      <c r="AB28" s="1310">
        <v>1</v>
      </c>
      <c r="AC28" s="1310">
        <v>1</v>
      </c>
    </row>
    <row r="29" spans="1:29" s="1060" customFormat="1" ht="20.25">
      <c r="A29" s="527"/>
      <c r="B29" s="2051" t="s">
        <v>1831</v>
      </c>
      <c r="C29" s="523">
        <f>估价对象房地状况!C21</f>
        <v>0</v>
      </c>
      <c r="D29" s="513">
        <v>100</v>
      </c>
      <c r="E29" s="514"/>
      <c r="F29" s="509">
        <f>SUMIF(101:101,E30,102:102)-SUMIF(101:101,C30,102:102)+100</f>
        <v>102</v>
      </c>
      <c r="G29" s="512"/>
      <c r="H29" s="509">
        <f>SUMIF(101:101,G30,102:102)-SUMIF(101:101,C30,102:102)+100</f>
        <v>102</v>
      </c>
      <c r="I29" s="514"/>
      <c r="J29" s="509">
        <f>SUMIF(101:101,I30,102:102)-SUMIF(101:101,C30,102:102)+100</f>
        <v>100</v>
      </c>
      <c r="K29" s="485">
        <v>2</v>
      </c>
      <c r="L29" s="1744"/>
      <c r="M29" s="1741"/>
      <c r="N29" s="1741"/>
      <c r="O29" s="1745"/>
      <c r="P29" s="3639"/>
      <c r="Q29" s="818" t="str">
        <f t="shared" si="8"/>
        <v>公共配套设施</v>
      </c>
      <c r="R29" s="1304" t="s">
        <v>5</v>
      </c>
      <c r="S29" s="1305">
        <f>F29</f>
        <v>102</v>
      </c>
      <c r="T29" s="1304" t="s">
        <v>5</v>
      </c>
      <c r="U29" s="1305">
        <f>H29</f>
        <v>102</v>
      </c>
      <c r="V29" s="1304" t="s">
        <v>5</v>
      </c>
      <c r="W29" s="1305">
        <f>J29</f>
        <v>100</v>
      </c>
      <c r="X29" s="1306"/>
      <c r="Y29" s="3639"/>
      <c r="Z29" s="997" t="str">
        <f>Q29</f>
        <v>公共配套设施</v>
      </c>
      <c r="AA29" s="1310">
        <f>D29/F29</f>
        <v>0.98039215686274506</v>
      </c>
      <c r="AB29" s="1310">
        <f>D29/H29</f>
        <v>0.98039215686274506</v>
      </c>
      <c r="AC29" s="1310">
        <f>D29/J29</f>
        <v>1</v>
      </c>
    </row>
    <row r="30" spans="1:29" s="1060" customFormat="1" ht="20.25">
      <c r="A30" s="527"/>
      <c r="B30" s="516"/>
      <c r="C30" s="529" t="s">
        <v>3428</v>
      </c>
      <c r="D30" s="507"/>
      <c r="E30" s="526" t="s">
        <v>3431</v>
      </c>
      <c r="F30" s="505"/>
      <c r="G30" s="506" t="s">
        <v>3431</v>
      </c>
      <c r="H30" s="505"/>
      <c r="I30" s="526" t="s">
        <v>3428</v>
      </c>
      <c r="J30" s="505"/>
      <c r="K30" s="481"/>
      <c r="L30" s="1744"/>
      <c r="M30" s="1741"/>
      <c r="N30" s="1741"/>
      <c r="O30" s="1745"/>
      <c r="P30" s="3639"/>
      <c r="Q30" s="818"/>
      <c r="R30" s="1304"/>
      <c r="S30" s="1305"/>
      <c r="T30" s="1304"/>
      <c r="U30" s="1305"/>
      <c r="V30" s="1304"/>
      <c r="W30" s="1305"/>
      <c r="X30" s="1306"/>
      <c r="Y30" s="3639"/>
      <c r="Z30" s="997"/>
      <c r="AA30" s="1310">
        <v>1</v>
      </c>
      <c r="AB30" s="1310">
        <v>1</v>
      </c>
      <c r="AC30" s="1310">
        <v>1</v>
      </c>
    </row>
    <row r="31" spans="1:29" s="1060" customFormat="1" ht="20.25">
      <c r="A31" s="527"/>
      <c r="B31" s="2051"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4"/>
      <c r="M31" s="1741"/>
      <c r="N31" s="1741"/>
      <c r="O31" s="1745"/>
      <c r="P31" s="3639"/>
      <c r="Q31" s="818" t="str">
        <f>B31</f>
        <v>基础设施水平</v>
      </c>
      <c r="R31" s="1304" t="s">
        <v>5</v>
      </c>
      <c r="S31" s="1305">
        <f>F31</f>
        <v>100</v>
      </c>
      <c r="T31" s="1304" t="s">
        <v>5</v>
      </c>
      <c r="U31" s="1305">
        <f>H31</f>
        <v>100</v>
      </c>
      <c r="V31" s="1304" t="s">
        <v>5</v>
      </c>
      <c r="W31" s="1305">
        <f>J31</f>
        <v>100</v>
      </c>
      <c r="X31" s="1306"/>
      <c r="Y31" s="3639"/>
      <c r="Z31" s="997" t="str">
        <f>Q31</f>
        <v>基础设施水平</v>
      </c>
      <c r="AA31" s="1310">
        <f>D31/F31</f>
        <v>1</v>
      </c>
      <c r="AB31" s="1310">
        <f>D31/H31</f>
        <v>1</v>
      </c>
      <c r="AC31" s="1310">
        <f>D31/J31</f>
        <v>1</v>
      </c>
    </row>
    <row r="32" spans="1:29" s="1060" customFormat="1" ht="21" thickBot="1">
      <c r="A32" s="527"/>
      <c r="B32" s="516"/>
      <c r="C32" s="529" t="s">
        <v>3430</v>
      </c>
      <c r="D32" s="507"/>
      <c r="E32" s="2052" t="s">
        <v>3430</v>
      </c>
      <c r="F32" s="505"/>
      <c r="G32" s="529" t="s">
        <v>3430</v>
      </c>
      <c r="H32" s="505"/>
      <c r="I32" s="529" t="s">
        <v>3430</v>
      </c>
      <c r="J32" s="505"/>
      <c r="K32" s="481"/>
      <c r="L32" s="1744"/>
      <c r="M32" s="1741"/>
      <c r="N32" s="1741"/>
      <c r="O32" s="1745"/>
      <c r="P32" s="3639"/>
      <c r="Q32" s="818"/>
      <c r="R32" s="1304"/>
      <c r="S32" s="1305"/>
      <c r="T32" s="1304"/>
      <c r="U32" s="1305"/>
      <c r="V32" s="1304"/>
      <c r="W32" s="1305"/>
      <c r="X32" s="1306"/>
      <c r="Y32" s="3639"/>
      <c r="Z32" s="997"/>
      <c r="AA32" s="1310">
        <v>1</v>
      </c>
      <c r="AB32" s="1310">
        <v>1</v>
      </c>
      <c r="AC32" s="1310">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39"/>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39"/>
      <c r="Z33" s="1310" t="str">
        <f t="shared" ref="Z33:Z47" si="12">Q33</f>
        <v>临街状况</v>
      </c>
      <c r="AA33" s="1310">
        <f t="shared" si="3"/>
        <v>1</v>
      </c>
      <c r="AB33" s="1310">
        <f t="shared" si="4"/>
        <v>1</v>
      </c>
      <c r="AC33" s="1310">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39"/>
      <c r="Q34" s="1307" t="str">
        <f t="shared" si="8"/>
        <v>毗邻道路的类型与等级</v>
      </c>
      <c r="R34" s="1308" t="s">
        <v>5</v>
      </c>
      <c r="S34" s="1309">
        <f t="shared" si="9"/>
        <v>100</v>
      </c>
      <c r="T34" s="1308" t="s">
        <v>5</v>
      </c>
      <c r="U34" s="1309">
        <f t="shared" si="10"/>
        <v>100</v>
      </c>
      <c r="V34" s="1308" t="s">
        <v>5</v>
      </c>
      <c r="W34" s="1309">
        <f t="shared" si="11"/>
        <v>100</v>
      </c>
      <c r="X34" s="1303"/>
      <c r="Y34" s="3639"/>
      <c r="Z34" s="1310" t="str">
        <f t="shared" si="12"/>
        <v>毗邻道路的类型与等级</v>
      </c>
      <c r="AA34" s="1310">
        <f t="shared" si="3"/>
        <v>1</v>
      </c>
      <c r="AB34" s="1310">
        <f t="shared" si="4"/>
        <v>1</v>
      </c>
      <c r="AC34" s="1310">
        <f t="shared" si="5"/>
        <v>1</v>
      </c>
    </row>
    <row r="35" spans="1:29" ht="20.25" hidden="1">
      <c r="A35" s="482"/>
      <c r="B35" s="516"/>
      <c r="C35" s="504"/>
      <c r="D35" s="507"/>
      <c r="E35" s="526"/>
      <c r="F35" s="505"/>
      <c r="G35" s="504"/>
      <c r="H35" s="505"/>
      <c r="I35" s="526"/>
      <c r="J35" s="505"/>
      <c r="K35" s="531"/>
      <c r="L35" s="1750"/>
      <c r="M35" s="1741"/>
      <c r="N35" s="1741"/>
      <c r="O35" s="1749"/>
      <c r="P35" s="3639"/>
      <c r="Q35" s="1307"/>
      <c r="R35" s="1308"/>
      <c r="S35" s="1309"/>
      <c r="T35" s="1308"/>
      <c r="U35" s="1309"/>
      <c r="V35" s="1308"/>
      <c r="W35" s="1309"/>
      <c r="X35" s="1303"/>
      <c r="Y35" s="3639"/>
      <c r="Z35" s="1310"/>
      <c r="AA35" s="1310">
        <v>1</v>
      </c>
      <c r="AB35" s="1310">
        <v>1</v>
      </c>
      <c r="AC35" s="1310">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39"/>
      <c r="Q36" s="1307" t="str">
        <f t="shared" si="8"/>
        <v>土地级别</v>
      </c>
      <c r="R36" s="1308" t="s">
        <v>5</v>
      </c>
      <c r="S36" s="1309">
        <f t="shared" si="9"/>
        <v>100</v>
      </c>
      <c r="T36" s="1308" t="s">
        <v>5</v>
      </c>
      <c r="U36" s="1309">
        <f t="shared" si="10"/>
        <v>100</v>
      </c>
      <c r="V36" s="1308" t="s">
        <v>5</v>
      </c>
      <c r="W36" s="1309">
        <f t="shared" si="11"/>
        <v>100</v>
      </c>
      <c r="X36" s="1303"/>
      <c r="Y36" s="3639"/>
      <c r="Z36" s="1310" t="str">
        <f t="shared" si="12"/>
        <v>土地级别</v>
      </c>
      <c r="AA36" s="1310">
        <f t="shared" si="3"/>
        <v>1</v>
      </c>
      <c r="AB36" s="1310">
        <f t="shared" si="4"/>
        <v>1</v>
      </c>
      <c r="AC36" s="1310">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39"/>
      <c r="Q37" s="1307">
        <f t="shared" si="8"/>
        <v>111</v>
      </c>
      <c r="R37" s="1308" t="s">
        <v>5</v>
      </c>
      <c r="S37" s="1309">
        <f t="shared" si="9"/>
        <v>100</v>
      </c>
      <c r="T37" s="1308" t="s">
        <v>5</v>
      </c>
      <c r="U37" s="1309">
        <f t="shared" si="10"/>
        <v>100</v>
      </c>
      <c r="V37" s="1308" t="s">
        <v>5</v>
      </c>
      <c r="W37" s="1309">
        <f t="shared" si="11"/>
        <v>100</v>
      </c>
      <c r="X37" s="1303"/>
      <c r="Y37" s="3639"/>
      <c r="Z37" s="1310">
        <f t="shared" si="12"/>
        <v>111</v>
      </c>
      <c r="AA37" s="1310">
        <f t="shared" si="3"/>
        <v>1</v>
      </c>
      <c r="AB37" s="1310">
        <f t="shared" si="4"/>
        <v>1</v>
      </c>
      <c r="AC37" s="1310">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40" t="s">
        <v>499</v>
      </c>
      <c r="Q38" s="1307">
        <f t="shared" si="8"/>
        <v>111</v>
      </c>
      <c r="R38" s="1308" t="s">
        <v>5</v>
      </c>
      <c r="S38" s="1309">
        <f t="shared" si="9"/>
        <v>100</v>
      </c>
      <c r="T38" s="1308" t="s">
        <v>5</v>
      </c>
      <c r="U38" s="1309">
        <f t="shared" si="10"/>
        <v>100</v>
      </c>
      <c r="V38" s="1308" t="s">
        <v>5</v>
      </c>
      <c r="W38" s="1309">
        <f t="shared" si="11"/>
        <v>100</v>
      </c>
      <c r="X38" s="1303"/>
      <c r="Y38" s="3641" t="s">
        <v>499</v>
      </c>
      <c r="Z38" s="1310">
        <f t="shared" si="12"/>
        <v>111</v>
      </c>
      <c r="AA38" s="1310">
        <f t="shared" si="3"/>
        <v>1</v>
      </c>
      <c r="AB38" s="1310">
        <f t="shared" si="4"/>
        <v>1</v>
      </c>
      <c r="AC38" s="1310">
        <f t="shared" si="5"/>
        <v>1</v>
      </c>
    </row>
    <row r="39" spans="1:29" s="1134"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41"/>
      <c r="Q39" s="1307">
        <f t="shared" si="8"/>
        <v>111</v>
      </c>
      <c r="R39" s="1311" t="s">
        <v>5</v>
      </c>
      <c r="S39" s="1312">
        <f t="shared" si="9"/>
        <v>100</v>
      </c>
      <c r="T39" s="1311" t="s">
        <v>5</v>
      </c>
      <c r="U39" s="1312">
        <f t="shared" si="10"/>
        <v>100</v>
      </c>
      <c r="V39" s="1311" t="s">
        <v>5</v>
      </c>
      <c r="W39" s="1312">
        <f t="shared" si="11"/>
        <v>100</v>
      </c>
      <c r="X39" s="1313"/>
      <c r="Y39" s="3641"/>
      <c r="Z39" s="1314">
        <f t="shared" si="12"/>
        <v>111</v>
      </c>
      <c r="AA39" s="1310">
        <f t="shared" si="3"/>
        <v>1</v>
      </c>
      <c r="AB39" s="1310">
        <f t="shared" si="4"/>
        <v>1</v>
      </c>
      <c r="AC39" s="1310">
        <f t="shared" si="5"/>
        <v>1</v>
      </c>
    </row>
    <row r="40" spans="1:29" ht="20.25">
      <c r="A40" s="2205" t="s">
        <v>2036</v>
      </c>
      <c r="B40" s="544" t="s">
        <v>501</v>
      </c>
      <c r="C40" s="545">
        <f>'数据-汇总表'!D3</f>
        <v>33342.660000000003</v>
      </c>
      <c r="D40" s="546">
        <v>100</v>
      </c>
      <c r="E40" s="545">
        <f>土地案例!D5</f>
        <v>79798.23</v>
      </c>
      <c r="F40" s="546">
        <f>LOOKUP(E40,118:118,119:119)-LOOKUP(C40,118:118,119:119)+100</f>
        <v>102</v>
      </c>
      <c r="G40" s="545">
        <f>土地案例!D9</f>
        <v>18283.5</v>
      </c>
      <c r="H40" s="546">
        <f>LOOKUP(G40,118:118,119:119)-LOOKUP(C40,118:118,119:119)+100</f>
        <v>99</v>
      </c>
      <c r="I40" s="547">
        <f>土地案例!D12</f>
        <v>20366.560000000001</v>
      </c>
      <c r="J40" s="546">
        <f>LOOKUP(I40,118:118,119:119)-LOOKUP(C40,118:118,119:119)+100</f>
        <v>100</v>
      </c>
      <c r="K40" s="531"/>
      <c r="L40" s="1750"/>
      <c r="M40" s="1741"/>
      <c r="N40" s="1741"/>
      <c r="O40" s="1749"/>
      <c r="P40" s="3641"/>
      <c r="Q40" s="1307" t="str">
        <f>B40</f>
        <v>宗地面积</v>
      </c>
      <c r="R40" s="1308" t="s">
        <v>5</v>
      </c>
      <c r="S40" s="1309">
        <f t="shared" si="9"/>
        <v>102</v>
      </c>
      <c r="T40" s="1308" t="s">
        <v>5</v>
      </c>
      <c r="U40" s="1309">
        <f t="shared" si="10"/>
        <v>99</v>
      </c>
      <c r="V40" s="1308" t="s">
        <v>5</v>
      </c>
      <c r="W40" s="1309">
        <f t="shared" si="11"/>
        <v>100</v>
      </c>
      <c r="X40" s="1303"/>
      <c r="Y40" s="3641"/>
      <c r="Z40" s="1310" t="str">
        <f t="shared" si="12"/>
        <v>宗地面积</v>
      </c>
      <c r="AA40" s="1310">
        <f t="shared" si="3"/>
        <v>0.98039215686274506</v>
      </c>
      <c r="AB40" s="1310">
        <f t="shared" si="4"/>
        <v>1.0101010101010102</v>
      </c>
      <c r="AC40" s="1310">
        <f t="shared" si="5"/>
        <v>1</v>
      </c>
    </row>
    <row r="41" spans="1:29" ht="20.25">
      <c r="A41" s="543"/>
      <c r="B41" s="477" t="s">
        <v>502</v>
      </c>
      <c r="C41" s="548" t="s">
        <v>3578</v>
      </c>
      <c r="D41" s="490">
        <v>100</v>
      </c>
      <c r="E41" s="548" t="s">
        <v>3578</v>
      </c>
      <c r="F41" s="490">
        <f>SUMIF(120:120,E41,121:121)-SUMIF(120:120,C41,121:121)+100</f>
        <v>100</v>
      </c>
      <c r="G41" s="548" t="s">
        <v>3578</v>
      </c>
      <c r="H41" s="490">
        <f>SUMIF(120:120,G41,121:121)-SUMIF(120:120,C41,121:121)+100</f>
        <v>100</v>
      </c>
      <c r="I41" s="548" t="s">
        <v>3578</v>
      </c>
      <c r="J41" s="490">
        <f>SUMIF(120:120,I41,121:121)-SUMIF(120:120,C41,121:121)+100</f>
        <v>100</v>
      </c>
      <c r="K41" s="533">
        <v>1</v>
      </c>
      <c r="L41" s="1750"/>
      <c r="M41" s="1741"/>
      <c r="N41" s="1741"/>
      <c r="O41" s="1749"/>
      <c r="P41" s="3641"/>
      <c r="Q41" s="1307" t="str">
        <f t="shared" ref="Q41:Q47" si="13">B41</f>
        <v>宗地形状</v>
      </c>
      <c r="R41" s="1308" t="s">
        <v>5</v>
      </c>
      <c r="S41" s="1309">
        <f t="shared" si="9"/>
        <v>100</v>
      </c>
      <c r="T41" s="1308" t="s">
        <v>5</v>
      </c>
      <c r="U41" s="1309">
        <f t="shared" si="10"/>
        <v>100</v>
      </c>
      <c r="V41" s="1308" t="s">
        <v>5</v>
      </c>
      <c r="W41" s="1309">
        <f t="shared" si="11"/>
        <v>100</v>
      </c>
      <c r="X41" s="1303"/>
      <c r="Y41" s="3641"/>
      <c r="Z41" s="1310" t="str">
        <f t="shared" si="12"/>
        <v>宗地形状</v>
      </c>
      <c r="AA41" s="1310">
        <f t="shared" si="3"/>
        <v>1</v>
      </c>
      <c r="AB41" s="1310">
        <f t="shared" si="4"/>
        <v>1</v>
      </c>
      <c r="AC41" s="1310">
        <f t="shared" si="5"/>
        <v>1</v>
      </c>
    </row>
    <row r="42" spans="1:29" ht="20.25">
      <c r="A42" s="543"/>
      <c r="B42" s="477" t="s">
        <v>503</v>
      </c>
      <c r="C42" s="548" t="s">
        <v>3579</v>
      </c>
      <c r="D42" s="490">
        <v>100</v>
      </c>
      <c r="E42" s="548" t="s">
        <v>3579</v>
      </c>
      <c r="F42" s="490">
        <f>SUMIF(122:122,E42,123:123)-SUMIF(122:122,C42,123:123)+100</f>
        <v>100</v>
      </c>
      <c r="G42" s="548" t="s">
        <v>3579</v>
      </c>
      <c r="H42" s="490">
        <f>SUMIF(122:122,G42,123:123)-SUMIF(122:122,C42,123:123)+100</f>
        <v>100</v>
      </c>
      <c r="I42" s="548" t="s">
        <v>3579</v>
      </c>
      <c r="J42" s="490">
        <f>SUMIF(122:122,I42,123:123)-SUMIF(122:122,C42,123:123)+100</f>
        <v>100</v>
      </c>
      <c r="K42" s="533">
        <v>1</v>
      </c>
      <c r="L42" s="1750"/>
      <c r="M42" s="1741"/>
      <c r="N42" s="1741"/>
      <c r="O42" s="1749"/>
      <c r="P42" s="3641"/>
      <c r="Q42" s="1307" t="str">
        <f t="shared" si="13"/>
        <v>临街宽度及深度</v>
      </c>
      <c r="R42" s="1308" t="s">
        <v>5</v>
      </c>
      <c r="S42" s="1309">
        <f t="shared" si="9"/>
        <v>100</v>
      </c>
      <c r="T42" s="1308" t="s">
        <v>5</v>
      </c>
      <c r="U42" s="1309">
        <f t="shared" si="10"/>
        <v>100</v>
      </c>
      <c r="V42" s="1308" t="s">
        <v>5</v>
      </c>
      <c r="W42" s="1309">
        <f t="shared" si="11"/>
        <v>100</v>
      </c>
      <c r="X42" s="1303"/>
      <c r="Y42" s="3641"/>
      <c r="Z42" s="1310" t="str">
        <f t="shared" si="12"/>
        <v>临街宽度及深度</v>
      </c>
      <c r="AA42" s="1310">
        <f t="shared" si="3"/>
        <v>1</v>
      </c>
      <c r="AB42" s="1310">
        <f t="shared" si="4"/>
        <v>1</v>
      </c>
      <c r="AC42" s="1310">
        <f t="shared" si="5"/>
        <v>1</v>
      </c>
    </row>
    <row r="43" spans="1:29" s="1060" customFormat="1" ht="20.25">
      <c r="A43" s="549"/>
      <c r="B43" s="1555" t="s">
        <v>1776</v>
      </c>
      <c r="C43" s="550" t="s">
        <v>3430</v>
      </c>
      <c r="D43" s="235">
        <v>100</v>
      </c>
      <c r="E43" s="550" t="s">
        <v>3430</v>
      </c>
      <c r="F43" s="490">
        <f>SUMIF(124:124,E43,125:125)-SUMIF(124:124,C43,125:125)+100</f>
        <v>100</v>
      </c>
      <c r="G43" s="550" t="s">
        <v>3430</v>
      </c>
      <c r="H43" s="490">
        <f>SUMIF(124:124,G43,125:125)-SUMIF(124:124,C43,125:125)+100</f>
        <v>100</v>
      </c>
      <c r="I43" s="550" t="s">
        <v>3430</v>
      </c>
      <c r="J43" s="490">
        <f>SUMIF(124:124,I43,125:125)-SUMIF(124:124,C43,125:125)+100</f>
        <v>100</v>
      </c>
      <c r="K43" s="533">
        <v>1</v>
      </c>
      <c r="L43" s="1744"/>
      <c r="M43" s="1741"/>
      <c r="N43" s="1741"/>
      <c r="O43" s="1745"/>
      <c r="P43" s="3641"/>
      <c r="Q43" s="1307" t="str">
        <f t="shared" si="13"/>
        <v>宗地开发程度</v>
      </c>
      <c r="R43" s="1304" t="s">
        <v>5</v>
      </c>
      <c r="S43" s="1305">
        <f t="shared" si="9"/>
        <v>100</v>
      </c>
      <c r="T43" s="1304" t="s">
        <v>5</v>
      </c>
      <c r="U43" s="1305">
        <f t="shared" si="10"/>
        <v>100</v>
      </c>
      <c r="V43" s="1304" t="s">
        <v>5</v>
      </c>
      <c r="W43" s="1305">
        <f t="shared" si="11"/>
        <v>100</v>
      </c>
      <c r="X43" s="1306"/>
      <c r="Y43" s="3641"/>
      <c r="Z43" s="997" t="str">
        <f t="shared" si="12"/>
        <v>宗地开发程度</v>
      </c>
      <c r="AA43" s="997">
        <f t="shared" si="3"/>
        <v>1</v>
      </c>
      <c r="AB43" s="997">
        <f t="shared" si="4"/>
        <v>1</v>
      </c>
      <c r="AC43" s="997">
        <f t="shared" si="5"/>
        <v>1</v>
      </c>
    </row>
    <row r="44" spans="1:29" ht="21" thickBot="1">
      <c r="A44" s="543"/>
      <c r="B44" s="477" t="s">
        <v>504</v>
      </c>
      <c r="C44" s="548" t="s">
        <v>3431</v>
      </c>
      <c r="D44" s="490">
        <v>100</v>
      </c>
      <c r="E44" s="548" t="s">
        <v>3431</v>
      </c>
      <c r="F44" s="490">
        <f>SUMIF(126:126,E44,127:127)-SUMIF(126:126,C44,127:127)+100</f>
        <v>100</v>
      </c>
      <c r="G44" s="548" t="s">
        <v>3431</v>
      </c>
      <c r="H44" s="490">
        <f>SUMIF(126:126,G44,127:127)-SUMIF(126:126,C44,127:127)+100</f>
        <v>100</v>
      </c>
      <c r="I44" s="548" t="s">
        <v>3431</v>
      </c>
      <c r="J44" s="490">
        <f>SUMIF(126:126,I44,127:127)-SUMIF(126:126,C44,127:127)+100</f>
        <v>100</v>
      </c>
      <c r="K44" s="533">
        <v>1</v>
      </c>
      <c r="L44" s="1750"/>
      <c r="M44" s="1741"/>
      <c r="N44" s="1741"/>
      <c r="O44" s="1749"/>
      <c r="P44" s="3641" t="s">
        <v>499</v>
      </c>
      <c r="Q44" s="1307" t="str">
        <f t="shared" si="13"/>
        <v>工程地质条件</v>
      </c>
      <c r="R44" s="1308" t="s">
        <v>5</v>
      </c>
      <c r="S44" s="1309">
        <f t="shared" si="9"/>
        <v>100</v>
      </c>
      <c r="T44" s="1308" t="s">
        <v>5</v>
      </c>
      <c r="U44" s="1309">
        <f t="shared" si="10"/>
        <v>100</v>
      </c>
      <c r="V44" s="1308" t="s">
        <v>5</v>
      </c>
      <c r="W44" s="1309">
        <f t="shared" si="11"/>
        <v>100</v>
      </c>
      <c r="X44" s="1303"/>
      <c r="Y44" s="3641" t="s">
        <v>499</v>
      </c>
      <c r="Z44" s="1310" t="str">
        <f t="shared" si="12"/>
        <v>工程地质条件</v>
      </c>
      <c r="AA44" s="1310">
        <f t="shared" si="3"/>
        <v>1</v>
      </c>
      <c r="AB44" s="1310">
        <f t="shared" si="4"/>
        <v>1</v>
      </c>
      <c r="AC44" s="1310">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41"/>
      <c r="Q45" s="1307">
        <f t="shared" si="13"/>
        <v>111</v>
      </c>
      <c r="R45" s="1308" t="s">
        <v>5</v>
      </c>
      <c r="S45" s="1309">
        <f t="shared" si="9"/>
        <v>100</v>
      </c>
      <c r="T45" s="1308" t="s">
        <v>5</v>
      </c>
      <c r="U45" s="1309">
        <f t="shared" si="10"/>
        <v>100</v>
      </c>
      <c r="V45" s="1308" t="s">
        <v>5</v>
      </c>
      <c r="W45" s="1309">
        <f t="shared" si="11"/>
        <v>100</v>
      </c>
      <c r="X45" s="1303"/>
      <c r="Y45" s="3641"/>
      <c r="Z45" s="1310">
        <f t="shared" si="12"/>
        <v>111</v>
      </c>
      <c r="AA45" s="1310">
        <f t="shared" si="3"/>
        <v>1</v>
      </c>
      <c r="AB45" s="1310">
        <f t="shared" si="4"/>
        <v>1</v>
      </c>
      <c r="AC45" s="1310">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41"/>
      <c r="Q46" s="1307">
        <f t="shared" si="13"/>
        <v>111</v>
      </c>
      <c r="R46" s="1308" t="s">
        <v>5</v>
      </c>
      <c r="S46" s="1309">
        <f t="shared" si="9"/>
        <v>100</v>
      </c>
      <c r="T46" s="1308" t="s">
        <v>5</v>
      </c>
      <c r="U46" s="1309">
        <f t="shared" si="10"/>
        <v>100</v>
      </c>
      <c r="V46" s="1308" t="s">
        <v>5</v>
      </c>
      <c r="W46" s="1309">
        <f t="shared" si="11"/>
        <v>100</v>
      </c>
      <c r="X46" s="1303"/>
      <c r="Y46" s="3641"/>
      <c r="Z46" s="1310">
        <f t="shared" si="12"/>
        <v>111</v>
      </c>
      <c r="AA46" s="1310">
        <f t="shared" si="3"/>
        <v>1</v>
      </c>
      <c r="AB46" s="1310">
        <f t="shared" si="4"/>
        <v>1</v>
      </c>
      <c r="AC46" s="1310">
        <f t="shared" si="5"/>
        <v>1</v>
      </c>
    </row>
    <row r="47" spans="1:29" s="1134"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41"/>
      <c r="Q47" s="1307">
        <f t="shared" si="13"/>
        <v>111</v>
      </c>
      <c r="R47" s="1311" t="s">
        <v>5</v>
      </c>
      <c r="S47" s="1312">
        <f t="shared" si="9"/>
        <v>100</v>
      </c>
      <c r="T47" s="1311" t="s">
        <v>5</v>
      </c>
      <c r="U47" s="1312">
        <f t="shared" si="10"/>
        <v>100</v>
      </c>
      <c r="V47" s="1311" t="s">
        <v>5</v>
      </c>
      <c r="W47" s="1312">
        <f t="shared" si="11"/>
        <v>100</v>
      </c>
      <c r="X47" s="1313"/>
      <c r="Y47" s="3641"/>
      <c r="Z47" s="1314">
        <f t="shared" si="12"/>
        <v>111</v>
      </c>
      <c r="AA47" s="1310">
        <f t="shared" si="3"/>
        <v>1</v>
      </c>
      <c r="AB47" s="1310">
        <f t="shared" si="4"/>
        <v>1</v>
      </c>
      <c r="AC47" s="1310">
        <f t="shared" si="5"/>
        <v>1</v>
      </c>
    </row>
    <row r="48" spans="1:29" ht="20.25">
      <c r="A48" s="556" t="s">
        <v>505</v>
      </c>
      <c r="B48" s="557" t="s">
        <v>3433</v>
      </c>
      <c r="C48" s="558" t="s">
        <v>0</v>
      </c>
      <c r="D48" s="559"/>
      <c r="E48" s="560">
        <f>土地案例!P5</f>
        <v>4000</v>
      </c>
      <c r="F48" s="561"/>
      <c r="G48" s="562">
        <f>土地案例!P9</f>
        <v>3500</v>
      </c>
      <c r="H48" s="563"/>
      <c r="I48" s="560">
        <f>土地案例!P12</f>
        <v>2700</v>
      </c>
      <c r="J48" s="563"/>
      <c r="K48" s="1135"/>
      <c r="L48" s="1752"/>
      <c r="M48" s="1741"/>
      <c r="N48" s="1741"/>
      <c r="O48" s="1743"/>
      <c r="P48" s="3636" t="str">
        <f>A48</f>
        <v>成交单价</v>
      </c>
      <c r="Q48" s="3636"/>
      <c r="R48" s="3652">
        <f>E48</f>
        <v>4000</v>
      </c>
      <c r="S48" s="3652"/>
      <c r="T48" s="3652">
        <f>G48</f>
        <v>3500</v>
      </c>
      <c r="U48" s="3652"/>
      <c r="V48" s="3652">
        <f>I48</f>
        <v>2700</v>
      </c>
      <c r="W48" s="3652"/>
      <c r="X48" s="799"/>
      <c r="Y48" s="1315"/>
      <c r="Z48" s="799"/>
      <c r="AA48" s="799"/>
      <c r="AB48" s="799"/>
      <c r="AC48" s="799"/>
    </row>
    <row r="49" spans="1:29" ht="21" thickBot="1">
      <c r="A49" s="564" t="s">
        <v>1974</v>
      </c>
      <c r="B49" s="565"/>
      <c r="C49" s="566">
        <f>R50</f>
        <v>2587</v>
      </c>
      <c r="D49" s="2551" t="s">
        <v>2251</v>
      </c>
      <c r="E49" s="566">
        <f>R49</f>
        <v>3024</v>
      </c>
      <c r="F49" s="2552">
        <v>0.2</v>
      </c>
      <c r="G49" s="567">
        <f>T49</f>
        <v>3043</v>
      </c>
      <c r="H49" s="2552">
        <v>0.2</v>
      </c>
      <c r="I49" s="566">
        <f>V49</f>
        <v>2289</v>
      </c>
      <c r="J49" s="2552">
        <v>0.6</v>
      </c>
      <c r="K49" s="2553">
        <f>F49+H49+J49</f>
        <v>1</v>
      </c>
      <c r="L49" s="1752"/>
      <c r="M49" s="1741"/>
      <c r="N49" s="1741"/>
      <c r="O49" s="1743"/>
      <c r="P49" s="3636" t="str">
        <f>A49</f>
        <v>比较价格（元/平方米）</v>
      </c>
      <c r="Q49" s="3636"/>
      <c r="R49" s="3660">
        <f>ROUND(PRODUCT(R48,AA9:AA47),0)</f>
        <v>3024</v>
      </c>
      <c r="S49" s="3660"/>
      <c r="T49" s="3660">
        <f>ROUND(PRODUCT(T48,AB9:AB47),0)</f>
        <v>3043</v>
      </c>
      <c r="U49" s="3660"/>
      <c r="V49" s="3660">
        <f>ROUND(PRODUCT(V48,AC9:AC47),0)</f>
        <v>2289</v>
      </c>
      <c r="W49" s="3660"/>
      <c r="X49" s="799"/>
      <c r="Y49" s="799"/>
      <c r="Z49" s="799"/>
      <c r="AA49" s="799"/>
      <c r="AB49" s="799"/>
      <c r="AC49" s="799"/>
    </row>
    <row r="50" spans="1:29" ht="21" thickBot="1">
      <c r="A50" s="568" t="s">
        <v>2187</v>
      </c>
      <c r="B50" s="569"/>
      <c r="C50" s="570">
        <f>R50</f>
        <v>2587</v>
      </c>
      <c r="D50" s="570"/>
      <c r="E50" s="570"/>
      <c r="F50" s="570"/>
      <c r="G50" s="570"/>
      <c r="H50" s="570"/>
      <c r="I50" s="570"/>
      <c r="J50" s="570"/>
      <c r="K50" s="1136"/>
      <c r="L50" s="1752"/>
      <c r="M50" s="1741"/>
      <c r="N50" s="1741"/>
      <c r="O50" s="1743"/>
      <c r="P50" s="3642" t="str">
        <f>A50</f>
        <v>估价对象XX用房的比较价格（楼面单价，元/平方米）</v>
      </c>
      <c r="Q50" s="3643"/>
      <c r="R50" s="3659">
        <f>ROUND(IF(D49="简单平均",AVERAGE(R49:W49),R49*F49+T49*H49+V49*J49),0)</f>
        <v>2587</v>
      </c>
      <c r="S50" s="3659"/>
      <c r="T50" s="3659"/>
      <c r="U50" s="3659"/>
      <c r="V50" s="3659"/>
      <c r="W50" s="3659"/>
      <c r="X50" s="799"/>
      <c r="Y50" s="799"/>
      <c r="Z50" s="799"/>
      <c r="AA50" s="799"/>
      <c r="AB50" s="799"/>
      <c r="AC50" s="799"/>
    </row>
    <row r="51" spans="1:29" ht="20.25">
      <c r="A51" s="2722"/>
      <c r="B51" s="2722"/>
      <c r="C51" s="2722"/>
      <c r="D51" s="2722"/>
      <c r="E51" s="2722"/>
      <c r="F51" s="2722"/>
      <c r="G51" s="2724"/>
      <c r="H51" s="2722"/>
      <c r="I51" s="2722"/>
      <c r="J51" s="2722"/>
      <c r="K51" s="2725"/>
      <c r="L51" s="1756"/>
      <c r="M51" s="1741"/>
      <c r="N51" s="1741"/>
      <c r="O51" s="1743"/>
      <c r="P51" s="1743"/>
      <c r="Q51" s="1743"/>
      <c r="R51" s="1743"/>
      <c r="S51" s="1743"/>
      <c r="T51" s="1743"/>
      <c r="U51" s="1743"/>
      <c r="V51" s="1743"/>
      <c r="W51" s="1743"/>
      <c r="X51" s="1743"/>
      <c r="Y51" s="1743"/>
      <c r="Z51" s="1743"/>
      <c r="AA51" s="1743"/>
      <c r="AB51" s="1743"/>
      <c r="AC51" s="1743"/>
    </row>
    <row r="52" spans="1:29" ht="20.25">
      <c r="A52" s="2722"/>
      <c r="B52" s="2722"/>
      <c r="C52" s="2722"/>
      <c r="D52" s="2722"/>
      <c r="E52" s="2722"/>
      <c r="F52" s="2722"/>
      <c r="G52" s="2722"/>
      <c r="H52" s="2722"/>
      <c r="I52" s="2722"/>
      <c r="J52" s="2722"/>
      <c r="K52" s="2725"/>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f>IF(E48&lt;E49,E49/E48-1,E48/E49-1)</f>
        <v>0.32275132275132279</v>
      </c>
      <c r="F53" s="574" t="str">
        <f>IF(OR(E53&gt;=0.3,E53&lt;=-0.3),"超过30%","")</f>
        <v>超过30%</v>
      </c>
      <c r="G53" s="573">
        <f>IF(G48&lt;G49,G49/G48-1,G48/G49-1)</f>
        <v>0.15018074268813675</v>
      </c>
      <c r="H53" s="574" t="str">
        <f>IF(OR(G53&gt;=0.3,G53&lt;=-0.3),"超过30%","")</f>
        <v/>
      </c>
      <c r="I53" s="573">
        <f>IF(I48&lt;I49,I49/I48-1,I48/I49-1)</f>
        <v>0.17955439056356481</v>
      </c>
      <c r="J53" s="574" t="str">
        <f>IF(OR(I53&gt;=0.3,I53&lt;=-0.3),"超过30%","")</f>
        <v/>
      </c>
      <c r="K53" s="2725"/>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f>IF(E49&lt;G49,G49/E49-1,E49/G49-1)</f>
        <v>6.2830687830688348E-3</v>
      </c>
      <c r="F54" s="574" t="str">
        <f>IF(OR(E54&gt;=0.2,E54&lt;=-0.2),"超过20%","")</f>
        <v/>
      </c>
      <c r="G54" s="573">
        <f>IF(G49&lt;I49,I49/G49-1,G49/I49-1)</f>
        <v>0.32940148536478819</v>
      </c>
      <c r="H54" s="574" t="str">
        <f>IF(OR(G54&gt;=0.2,G54&lt;=-0.2),"超过20%","")</f>
        <v>超过20%</v>
      </c>
      <c r="I54" s="573">
        <f>IF(I49&lt;E49,E49/I49-1,I49/E49-1)</f>
        <v>0.32110091743119273</v>
      </c>
      <c r="J54" s="574" t="str">
        <f>IF(OR(I54&gt;=0.2,I54&lt;=-0.2),"超过20%","")</f>
        <v>超过20%</v>
      </c>
      <c r="K54" s="2725"/>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f>IF(E48&lt;G48,G48/E48-1,E48/G48-1)</f>
        <v>0.14285714285714279</v>
      </c>
      <c r="F55" s="574" t="str">
        <f>IF(OR(E55&gt;=0.3,E55&lt;=-0.3),"超过30%","")</f>
        <v/>
      </c>
      <c r="G55" s="573">
        <f>IF(G48&lt;I48,I48/G48-1,G48/I48-1)</f>
        <v>0.29629629629629628</v>
      </c>
      <c r="H55" s="574" t="str">
        <f>IF(OR(G55&gt;=0.3,G55&lt;=-0.3),"超过30%","")</f>
        <v/>
      </c>
      <c r="I55" s="573">
        <f>IF(I48&lt;E48,E48/I48-1,I48/E48-1)</f>
        <v>0.4814814814814814</v>
      </c>
      <c r="J55" s="574" t="str">
        <f>IF(OR(I55&gt;=0.3,I55&lt;=-0.3),"超过30%","")</f>
        <v>超过30%</v>
      </c>
      <c r="K55" s="2726"/>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6"/>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21" t="s">
        <v>1639</v>
      </c>
      <c r="H57" s="3622"/>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f>C50</f>
        <v>2587</v>
      </c>
      <c r="C58" s="582">
        <v>1</v>
      </c>
      <c r="D58" s="1823">
        <v>1</v>
      </c>
      <c r="E58" s="582">
        <f>'数据-汇总表'!E8+'数据-汇总表'!E9</f>
        <v>100027.98000000001</v>
      </c>
      <c r="F58" s="583">
        <f t="shared" ref="F58:F66" si="14">ROUND(B58*E58/10000,0)</f>
        <v>25877</v>
      </c>
      <c r="G58" s="3623"/>
      <c r="H58" s="3624"/>
      <c r="I58" s="1299">
        <v>1</v>
      </c>
      <c r="J58" s="1299">
        <v>1</v>
      </c>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f>ROUND($C$50*C59*D59,0)</f>
        <v>0</v>
      </c>
      <c r="C59" s="348">
        <f t="shared" ref="C59:C66" si="15">IF($C$57="北京市系数",I59,J59)</f>
        <v>0</v>
      </c>
      <c r="D59" s="1824">
        <v>0.25</v>
      </c>
      <c r="E59" s="586">
        <v>0</v>
      </c>
      <c r="F59" s="583">
        <f t="shared" si="14"/>
        <v>0</v>
      </c>
      <c r="G59" s="3028" t="s">
        <v>1640</v>
      </c>
      <c r="H59" s="1608">
        <f>项目基本情况!B43</f>
        <v>0</v>
      </c>
      <c r="I59" s="1299">
        <f>SUMIF(修正!$A$59:$A$70,H59,修正!B59:B70)</f>
        <v>0</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f t="shared" ref="B60:B66" si="16">ROUND($C$50*C60*D60,0)</f>
        <v>0</v>
      </c>
      <c r="C60" s="348">
        <f t="shared" si="15"/>
        <v>0</v>
      </c>
      <c r="D60" s="1824">
        <v>0.25</v>
      </c>
      <c r="E60" s="586">
        <v>0</v>
      </c>
      <c r="F60" s="583">
        <f t="shared" si="14"/>
        <v>0</v>
      </c>
      <c r="G60" s="3029"/>
      <c r="H60" s="1608">
        <f>项目基本情况!B43</f>
        <v>0</v>
      </c>
      <c r="I60" s="1299">
        <f>SUMIF(修正!$A$59:$A$70,H60,修正!C59:C70)</f>
        <v>0</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f t="shared" si="16"/>
        <v>0</v>
      </c>
      <c r="C61" s="348">
        <f t="shared" si="15"/>
        <v>0</v>
      </c>
      <c r="D61" s="1824">
        <v>0.25</v>
      </c>
      <c r="E61" s="586">
        <v>0</v>
      </c>
      <c r="F61" s="583">
        <f t="shared" si="14"/>
        <v>0</v>
      </c>
      <c r="G61" s="3029"/>
      <c r="H61" s="1608">
        <f>项目基本情况!B43</f>
        <v>0</v>
      </c>
      <c r="I61" s="1299">
        <f>SUMIF(修正!$A$59:$A$70,H61,修正!D59:D70)</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f t="shared" si="16"/>
        <v>0</v>
      </c>
      <c r="C62" s="348">
        <f t="shared" si="15"/>
        <v>0</v>
      </c>
      <c r="D62" s="1824">
        <v>0.25</v>
      </c>
      <c r="E62" s="588">
        <f>'数据-汇总表'!E11</f>
        <v>0</v>
      </c>
      <c r="F62" s="583">
        <f t="shared" si="14"/>
        <v>0</v>
      </c>
      <c r="G62" s="1605" t="s">
        <v>1641</v>
      </c>
      <c r="H62" s="1608">
        <f>项目基本情况!C43</f>
        <v>0</v>
      </c>
      <c r="I62" s="1299">
        <f>SUMIF(修正!$A$59:$A$70,H62,修正!E59:E70)</f>
        <v>0</v>
      </c>
      <c r="J62" s="1300"/>
      <c r="K62" s="2727"/>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f t="shared" si="16"/>
        <v>0</v>
      </c>
      <c r="C63" s="348">
        <f t="shared" si="15"/>
        <v>0</v>
      </c>
      <c r="D63" s="1824">
        <v>0.25</v>
      </c>
      <c r="E63" s="588">
        <f>'数据-汇总表'!E12</f>
        <v>0</v>
      </c>
      <c r="F63" s="583">
        <f t="shared" si="14"/>
        <v>0</v>
      </c>
      <c r="G63" s="1606" t="s">
        <v>1212</v>
      </c>
      <c r="H63" s="1604">
        <f>IF(G63="商业",项目基本情况!B43,IF(G63="办公",项目基本情况!C43,IF(G63="住宅",项目基本情况!D43,项目基本情况!E43)))</f>
        <v>0</v>
      </c>
      <c r="I63" s="1299">
        <f>SUMIF(修正!$A$59:$A$70,H63,修正!F59:F70)</f>
        <v>0</v>
      </c>
      <c r="J63" s="1300"/>
      <c r="K63" s="2727"/>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f t="shared" si="16"/>
        <v>0</v>
      </c>
      <c r="C64" s="348">
        <f t="shared" si="15"/>
        <v>0</v>
      </c>
      <c r="D64" s="1824">
        <v>0.25</v>
      </c>
      <c r="E64" s="588">
        <f>'数据-汇总表'!E13</f>
        <v>0</v>
      </c>
      <c r="F64" s="583">
        <f t="shared" si="14"/>
        <v>0</v>
      </c>
      <c r="G64" s="1606" t="s">
        <v>851</v>
      </c>
      <c r="H64" s="1604">
        <f>IF(G64="商业",项目基本情况!B43,IF(G64="办公",项目基本情况!C43,IF(G64="住宅",项目基本情况!D43,项目基本情况!E43)))</f>
        <v>0</v>
      </c>
      <c r="I64" s="1299">
        <f>SUMIF(修正!$A$59:$A$70,H64,修正!G59:G70)</f>
        <v>0</v>
      </c>
      <c r="J64" s="1300"/>
      <c r="K64" s="2727"/>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f t="shared" si="16"/>
        <v>0</v>
      </c>
      <c r="C65" s="348">
        <f t="shared" si="15"/>
        <v>0</v>
      </c>
      <c r="D65" s="1824">
        <v>0.25</v>
      </c>
      <c r="E65" s="588">
        <f>'数据-汇总表'!E14</f>
        <v>0</v>
      </c>
      <c r="F65" s="583">
        <f t="shared" si="14"/>
        <v>0</v>
      </c>
      <c r="G65" s="1605" t="s">
        <v>1640</v>
      </c>
      <c r="H65" s="1608">
        <f>项目基本情况!B43</f>
        <v>0</v>
      </c>
      <c r="I65" s="1299">
        <f>SUMIF(修正!$A$59:$A$70,H65,修正!G59:G70)</f>
        <v>0</v>
      </c>
      <c r="J65" s="1300"/>
      <c r="K65" s="2727"/>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f t="shared" si="16"/>
        <v>0</v>
      </c>
      <c r="C66" s="348">
        <f t="shared" si="15"/>
        <v>0</v>
      </c>
      <c r="D66" s="1824">
        <v>0.25</v>
      </c>
      <c r="E66" s="588">
        <f>'数据-汇总表'!E15</f>
        <v>0</v>
      </c>
      <c r="F66" s="583">
        <f t="shared" si="14"/>
        <v>0</v>
      </c>
      <c r="G66" s="1607" t="s">
        <v>1641</v>
      </c>
      <c r="H66" s="1609">
        <f>项目基本情况!C43</f>
        <v>0</v>
      </c>
      <c r="I66" s="1299">
        <f>SUMIF(修正!$A$59:$A$70,H66,修正!G59:G70)</f>
        <v>0</v>
      </c>
      <c r="J66" s="1300"/>
      <c r="K66" s="2727"/>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f>IF(B48="楼面地价",SUM(E58:E66),'数据-汇总表'!D3)</f>
        <v>100027.98000000001</v>
      </c>
      <c r="F67" s="591">
        <f>IF(B48="楼面地价",SUM(F58:F66),ROUND(C50*E67/10000,0))</f>
        <v>25877</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2025-12-1</v>
      </c>
      <c r="D69" s="2112">
        <f>EDATE(C69,-3)</f>
        <v>45901</v>
      </c>
      <c r="E69" s="2112">
        <f t="shared" ref="E69:N69" si="17">EDATE(D69,-3)</f>
        <v>45809</v>
      </c>
      <c r="F69" s="2112">
        <f t="shared" si="17"/>
        <v>45717</v>
      </c>
      <c r="G69" s="2112">
        <f t="shared" si="17"/>
        <v>45627</v>
      </c>
      <c r="H69" s="2112">
        <f t="shared" si="17"/>
        <v>45536</v>
      </c>
      <c r="I69" s="2112">
        <f t="shared" si="17"/>
        <v>45444</v>
      </c>
      <c r="J69" s="2112">
        <f t="shared" si="17"/>
        <v>45352</v>
      </c>
      <c r="K69" s="2112">
        <f t="shared" si="17"/>
        <v>45261</v>
      </c>
      <c r="L69" s="2112">
        <f t="shared" si="17"/>
        <v>45170</v>
      </c>
      <c r="M69" s="2112">
        <f t="shared" si="17"/>
        <v>45078</v>
      </c>
      <c r="N69" s="2112">
        <f t="shared" si="17"/>
        <v>44986</v>
      </c>
      <c r="O69" s="1754">
        <f t="shared" ref="O69" si="18">EDATE(N69,-3)</f>
        <v>44896</v>
      </c>
      <c r="P69" s="1754">
        <f t="shared" ref="P69" si="19">EDATE(O69,-3)</f>
        <v>44805</v>
      </c>
      <c r="Q69" s="1754">
        <f t="shared" ref="Q69" si="20">EDATE(P69,-3)</f>
        <v>44713</v>
      </c>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2025-4</v>
      </c>
      <c r="D71" s="155" t="str">
        <f>YEAR(D69)&amp;"-"&amp;ROUNDUP(MONTH(D69)/3,0)</f>
        <v>2025-3</v>
      </c>
      <c r="E71" s="155" t="str">
        <f t="shared" ref="E71:Q71" si="21">YEAR(E69)&amp;"-"&amp;ROUNDUP(MONTH(E69)/3,0)</f>
        <v>2025-2</v>
      </c>
      <c r="F71" s="155" t="str">
        <f t="shared" si="21"/>
        <v>2025-1</v>
      </c>
      <c r="G71" s="155" t="str">
        <f t="shared" si="21"/>
        <v>2024-4</v>
      </c>
      <c r="H71" s="155" t="str">
        <f t="shared" si="21"/>
        <v>2024-3</v>
      </c>
      <c r="I71" s="155" t="str">
        <f t="shared" si="21"/>
        <v>2024-2</v>
      </c>
      <c r="J71" s="155" t="str">
        <f t="shared" si="21"/>
        <v>2024-1</v>
      </c>
      <c r="K71" s="155" t="str">
        <f t="shared" si="21"/>
        <v>2023-4</v>
      </c>
      <c r="L71" s="155" t="str">
        <f t="shared" si="21"/>
        <v>2023-3</v>
      </c>
      <c r="M71" s="155" t="str">
        <f t="shared" si="21"/>
        <v>2023-2</v>
      </c>
      <c r="N71" s="155" t="str">
        <f t="shared" si="21"/>
        <v>2023-1</v>
      </c>
      <c r="O71" s="3418" t="str">
        <f t="shared" si="21"/>
        <v>2022-4</v>
      </c>
      <c r="P71" s="3418" t="str">
        <f t="shared" si="21"/>
        <v>2022-3</v>
      </c>
      <c r="Q71" s="3418" t="str">
        <f t="shared" si="21"/>
        <v>2022-2</v>
      </c>
      <c r="R71" s="1766"/>
      <c r="S71" s="1766"/>
      <c r="T71" s="1766"/>
      <c r="U71" s="1766"/>
      <c r="V71" s="1766"/>
      <c r="W71" s="1766"/>
      <c r="X71" s="1766"/>
      <c r="Y71" s="1766"/>
      <c r="Z71" s="1766"/>
      <c r="AA71" s="1766"/>
      <c r="AB71" s="1766"/>
      <c r="AC71" s="1766"/>
    </row>
    <row r="72" spans="1:29" s="1060" customFormat="1" ht="27" customHeight="1">
      <c r="A72" s="2118" t="s">
        <v>851</v>
      </c>
      <c r="B72" s="448" t="str">
        <f>"北京市平均增长率"&amp;TEXT(SUMIF(基准地价!N25:N29,A72,基准地价!P25:P29),"0.00%")</f>
        <v>北京市平均增长率0.00%</v>
      </c>
      <c r="C72" s="818">
        <v>100</v>
      </c>
      <c r="D72" s="79">
        <f>C72-$C$73</f>
        <v>100.5</v>
      </c>
      <c r="E72" s="79">
        <f t="shared" ref="E72:Q72" si="22">D72-$C$73</f>
        <v>101</v>
      </c>
      <c r="F72" s="79">
        <f t="shared" si="22"/>
        <v>101.5</v>
      </c>
      <c r="G72" s="79">
        <f t="shared" si="22"/>
        <v>102</v>
      </c>
      <c r="H72" s="79">
        <f t="shared" si="22"/>
        <v>102.5</v>
      </c>
      <c r="I72" s="79">
        <f t="shared" si="22"/>
        <v>103</v>
      </c>
      <c r="J72" s="79">
        <f t="shared" si="22"/>
        <v>103.5</v>
      </c>
      <c r="K72" s="79">
        <f t="shared" si="22"/>
        <v>104</v>
      </c>
      <c r="L72" s="79">
        <f t="shared" si="22"/>
        <v>104.5</v>
      </c>
      <c r="M72" s="79">
        <f t="shared" si="22"/>
        <v>105</v>
      </c>
      <c r="N72" s="79">
        <f t="shared" si="22"/>
        <v>105.5</v>
      </c>
      <c r="O72" s="79">
        <f t="shared" si="22"/>
        <v>106</v>
      </c>
      <c r="P72" s="79">
        <f t="shared" si="22"/>
        <v>106.5</v>
      </c>
      <c r="Q72" s="79">
        <f t="shared" si="22"/>
        <v>107</v>
      </c>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v>-0.5</v>
      </c>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ht="69.75">
      <c r="A76" s="607" t="s">
        <v>525</v>
      </c>
      <c r="B76" s="608" t="s">
        <v>483</v>
      </c>
      <c r="C76" s="3415" t="s">
        <v>3425</v>
      </c>
      <c r="D76" s="3416" t="s">
        <v>3426</v>
      </c>
      <c r="E76" s="3416" t="s">
        <v>3427</v>
      </c>
      <c r="F76" s="3416"/>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v>100</v>
      </c>
      <c r="D77" s="613">
        <v>110</v>
      </c>
      <c r="E77" s="613">
        <v>120</v>
      </c>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0（含）-1</v>
      </c>
      <c r="D80" s="624" t="str">
        <f t="shared" ref="D80:L80" si="23">D81&amp;"（含）"&amp;"-"&amp;E81</f>
        <v>1（含）-2</v>
      </c>
      <c r="E80" s="624" t="str">
        <f t="shared" si="23"/>
        <v>2（含）-3</v>
      </c>
      <c r="F80" s="624" t="str">
        <f t="shared" si="23"/>
        <v>3（含）-4</v>
      </c>
      <c r="G80" s="624" t="str">
        <f t="shared" si="23"/>
        <v>4（含）-5</v>
      </c>
      <c r="H80" s="624" t="str">
        <f t="shared" si="23"/>
        <v>5（含）-6</v>
      </c>
      <c r="I80" s="624" t="str">
        <f t="shared" si="23"/>
        <v>6（含）-7</v>
      </c>
      <c r="J80" s="624" t="str">
        <f t="shared" si="23"/>
        <v>7（含）-8</v>
      </c>
      <c r="K80" s="624" t="str">
        <f t="shared" si="23"/>
        <v>8（含）-9</v>
      </c>
      <c r="L80" s="624" t="str">
        <f t="shared" si="23"/>
        <v>9（含）-10</v>
      </c>
      <c r="M80" s="505" t="str">
        <f>M81&amp;"（含）"&amp;"-"&amp;P81</f>
        <v>10（含）-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v>0</v>
      </c>
      <c r="D81" s="491">
        <v>1</v>
      </c>
      <c r="E81" s="491">
        <v>2</v>
      </c>
      <c r="F81" s="491">
        <v>3</v>
      </c>
      <c r="G81" s="491">
        <v>4</v>
      </c>
      <c r="H81" s="491">
        <v>5</v>
      </c>
      <c r="I81" s="491">
        <v>6</v>
      </c>
      <c r="J81" s="491">
        <v>7</v>
      </c>
      <c r="K81" s="626">
        <v>8</v>
      </c>
      <c r="L81" s="627">
        <v>9</v>
      </c>
      <c r="M81" s="628">
        <v>10</v>
      </c>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4">IF($B$48="单位面积地价",C82+$K13,C82-$K13)</f>
        <v>98</v>
      </c>
      <c r="E82" s="621">
        <f t="shared" si="24"/>
        <v>96</v>
      </c>
      <c r="F82" s="621">
        <f t="shared" si="24"/>
        <v>94</v>
      </c>
      <c r="G82" s="621">
        <f t="shared" si="24"/>
        <v>92</v>
      </c>
      <c r="H82" s="621">
        <f t="shared" si="24"/>
        <v>90</v>
      </c>
      <c r="I82" s="621">
        <f t="shared" si="24"/>
        <v>88</v>
      </c>
      <c r="J82" s="621">
        <f t="shared" si="24"/>
        <v>86</v>
      </c>
      <c r="K82" s="621">
        <f t="shared" si="24"/>
        <v>84</v>
      </c>
      <c r="L82" s="621">
        <f t="shared" si="24"/>
        <v>82</v>
      </c>
      <c r="M82" s="621">
        <f t="shared" si="24"/>
        <v>80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98</v>
      </c>
      <c r="E90" s="621">
        <f>D90-$K17</f>
        <v>96</v>
      </c>
      <c r="F90" s="621">
        <f>E90-$K17</f>
        <v>94</v>
      </c>
      <c r="G90" s="621">
        <f>F90-$K17</f>
        <v>92</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98</v>
      </c>
      <c r="E92" s="621">
        <f>D92-$K19</f>
        <v>96</v>
      </c>
      <c r="F92" s="621">
        <f>E92-$K19</f>
        <v>94</v>
      </c>
      <c r="G92" s="621">
        <f>F92-$K19</f>
        <v>92</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98</v>
      </c>
      <c r="E96" s="621">
        <f>D96-$K23</f>
        <v>96</v>
      </c>
      <c r="F96" s="621">
        <f>E96-$K23</f>
        <v>94</v>
      </c>
      <c r="G96" s="621">
        <f>F96-$K23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98</v>
      </c>
      <c r="E104" s="621">
        <f>D104-$K31</f>
        <v>96</v>
      </c>
      <c r="F104" s="621">
        <f>E104-$K31</f>
        <v>94</v>
      </c>
      <c r="G104" s="621">
        <f>F104-$K31</f>
        <v>92</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5">C106-$K33</f>
        <v>100</v>
      </c>
      <c r="E106" s="621">
        <f t="shared" si="25"/>
        <v>100</v>
      </c>
      <c r="F106" s="621">
        <f t="shared" si="25"/>
        <v>100</v>
      </c>
      <c r="G106" s="621">
        <f t="shared" si="25"/>
        <v>100</v>
      </c>
      <c r="H106" s="621">
        <f t="shared" si="25"/>
        <v>100</v>
      </c>
      <c r="I106" s="621">
        <f t="shared" si="25"/>
        <v>100</v>
      </c>
      <c r="J106" s="621">
        <f t="shared" si="25"/>
        <v>100</v>
      </c>
      <c r="K106" s="621">
        <f t="shared" si="25"/>
        <v>100</v>
      </c>
      <c r="L106" s="621">
        <f t="shared" si="25"/>
        <v>100</v>
      </c>
      <c r="M106" s="621">
        <f t="shared" si="25"/>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6">C108-$K34</f>
        <v>100</v>
      </c>
      <c r="E108" s="621">
        <f t="shared" si="26"/>
        <v>100</v>
      </c>
      <c r="F108" s="621">
        <f t="shared" si="26"/>
        <v>100</v>
      </c>
      <c r="G108" s="621">
        <f t="shared" si="26"/>
        <v>100</v>
      </c>
      <c r="H108" s="621">
        <f t="shared" si="26"/>
        <v>100</v>
      </c>
      <c r="I108" s="621">
        <f t="shared" si="26"/>
        <v>100</v>
      </c>
      <c r="J108" s="621">
        <f t="shared" si="26"/>
        <v>100</v>
      </c>
      <c r="K108" s="621">
        <f t="shared" si="26"/>
        <v>100</v>
      </c>
      <c r="L108" s="621">
        <f t="shared" si="26"/>
        <v>100</v>
      </c>
      <c r="M108" s="621">
        <f t="shared" si="26"/>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7">C110-$K36</f>
        <v>100</v>
      </c>
      <c r="E110" s="621">
        <f t="shared" si="27"/>
        <v>100</v>
      </c>
      <c r="F110" s="621">
        <f t="shared" si="27"/>
        <v>100</v>
      </c>
      <c r="G110" s="621">
        <f t="shared" si="27"/>
        <v>100</v>
      </c>
      <c r="H110" s="621">
        <f t="shared" si="27"/>
        <v>100</v>
      </c>
      <c r="I110" s="621">
        <f t="shared" si="27"/>
        <v>100</v>
      </c>
      <c r="J110" s="621">
        <f t="shared" si="27"/>
        <v>100</v>
      </c>
      <c r="K110" s="621">
        <f t="shared" si="27"/>
        <v>100</v>
      </c>
      <c r="L110" s="621">
        <f t="shared" si="27"/>
        <v>100</v>
      </c>
      <c r="M110" s="621">
        <f t="shared" si="27"/>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8.5">
      <c r="A117" s="607" t="s">
        <v>500</v>
      </c>
      <c r="B117" s="608" t="s">
        <v>541</v>
      </c>
      <c r="C117" s="645" t="str">
        <f t="shared" ref="C117:L117" si="28">C118&amp;"(含)"&amp;"-"&amp;D118</f>
        <v>0(含)-20000</v>
      </c>
      <c r="D117" s="645" t="str">
        <f t="shared" si="28"/>
        <v>20000(含)-40000</v>
      </c>
      <c r="E117" s="645" t="str">
        <f t="shared" si="28"/>
        <v>40000(含)-60000</v>
      </c>
      <c r="F117" s="645" t="str">
        <f t="shared" si="28"/>
        <v>60000(含)-80000</v>
      </c>
      <c r="G117" s="645" t="str">
        <f t="shared" si="28"/>
        <v>80000(含)-100000</v>
      </c>
      <c r="H117" s="645" t="str">
        <f t="shared" si="28"/>
        <v>100000(含)-</v>
      </c>
      <c r="I117" s="645" t="str">
        <f t="shared" si="28"/>
        <v>(含)-</v>
      </c>
      <c r="J117" s="2349" t="str">
        <f t="shared" si="28"/>
        <v>(含)-</v>
      </c>
      <c r="K117" s="2349" t="str">
        <f t="shared" si="28"/>
        <v>(含)-</v>
      </c>
      <c r="L117" s="2350" t="str">
        <f t="shared" si="28"/>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v>0</v>
      </c>
      <c r="D118" s="79">
        <v>20000</v>
      </c>
      <c r="E118" s="79">
        <v>40000</v>
      </c>
      <c r="F118" s="79">
        <v>60000</v>
      </c>
      <c r="G118" s="79">
        <v>80000</v>
      </c>
      <c r="H118" s="79">
        <v>100000</v>
      </c>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v>100</v>
      </c>
      <c r="D119" s="666">
        <v>101</v>
      </c>
      <c r="E119" s="642">
        <v>102</v>
      </c>
      <c r="F119" s="666">
        <v>103</v>
      </c>
      <c r="G119" s="642">
        <v>104</v>
      </c>
      <c r="H119" s="666">
        <v>105</v>
      </c>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3420" t="s">
        <v>3575</v>
      </c>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9">C121-$K41</f>
        <v>99</v>
      </c>
      <c r="E121" s="621">
        <f t="shared" si="29"/>
        <v>98</v>
      </c>
      <c r="F121" s="621">
        <f t="shared" si="29"/>
        <v>97</v>
      </c>
      <c r="G121" s="621">
        <f t="shared" si="29"/>
        <v>96</v>
      </c>
      <c r="H121" s="621">
        <f t="shared" si="29"/>
        <v>95</v>
      </c>
      <c r="I121" s="621">
        <f t="shared" si="29"/>
        <v>94</v>
      </c>
      <c r="J121" s="621">
        <f t="shared" si="29"/>
        <v>93</v>
      </c>
      <c r="K121" s="621">
        <f t="shared" si="29"/>
        <v>92</v>
      </c>
      <c r="L121" s="621">
        <f t="shared" si="29"/>
        <v>91</v>
      </c>
      <c r="M121" s="622">
        <f t="shared" si="29"/>
        <v>90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3419" t="s">
        <v>3576</v>
      </c>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30">C123-$K42</f>
        <v>99</v>
      </c>
      <c r="E123" s="621">
        <f t="shared" si="30"/>
        <v>98</v>
      </c>
      <c r="F123" s="621">
        <f t="shared" si="30"/>
        <v>97</v>
      </c>
      <c r="G123" s="621">
        <f t="shared" si="30"/>
        <v>96</v>
      </c>
      <c r="H123" s="621">
        <f t="shared" si="30"/>
        <v>95</v>
      </c>
      <c r="I123" s="621">
        <f t="shared" si="30"/>
        <v>94</v>
      </c>
      <c r="J123" s="621">
        <f t="shared" si="30"/>
        <v>93</v>
      </c>
      <c r="K123" s="621">
        <f t="shared" si="30"/>
        <v>92</v>
      </c>
      <c r="L123" s="621">
        <f t="shared" si="30"/>
        <v>91</v>
      </c>
      <c r="M123" s="622">
        <f t="shared" si="30"/>
        <v>90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t="s">
        <v>1501</v>
      </c>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31">C125-$K43</f>
        <v>99</v>
      </c>
      <c r="E125" s="621">
        <f t="shared" si="31"/>
        <v>98</v>
      </c>
      <c r="F125" s="621">
        <f t="shared" si="31"/>
        <v>97</v>
      </c>
      <c r="G125" s="621">
        <f t="shared" si="31"/>
        <v>96</v>
      </c>
      <c r="H125" s="621">
        <f t="shared" si="31"/>
        <v>95</v>
      </c>
      <c r="I125" s="621">
        <f t="shared" si="31"/>
        <v>94</v>
      </c>
      <c r="J125" s="621">
        <f t="shared" si="31"/>
        <v>93</v>
      </c>
      <c r="K125" s="621">
        <f t="shared" si="31"/>
        <v>92</v>
      </c>
      <c r="L125" s="621">
        <f t="shared" si="31"/>
        <v>91</v>
      </c>
      <c r="M125" s="622">
        <f t="shared" si="31"/>
        <v>90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3419" t="s">
        <v>3577</v>
      </c>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32">C127-$K44</f>
        <v>99</v>
      </c>
      <c r="E127" s="621">
        <f t="shared" si="32"/>
        <v>98</v>
      </c>
      <c r="F127" s="621">
        <f t="shared" si="32"/>
        <v>97</v>
      </c>
      <c r="G127" s="621">
        <f t="shared" si="32"/>
        <v>96</v>
      </c>
      <c r="H127" s="621">
        <f t="shared" si="32"/>
        <v>95</v>
      </c>
      <c r="I127" s="621">
        <f t="shared" si="32"/>
        <v>94</v>
      </c>
      <c r="J127" s="621">
        <f t="shared" si="32"/>
        <v>93</v>
      </c>
      <c r="K127" s="621">
        <f t="shared" si="32"/>
        <v>92</v>
      </c>
      <c r="L127" s="621">
        <f t="shared" si="32"/>
        <v>91</v>
      </c>
      <c r="M127" s="622">
        <f t="shared" si="32"/>
        <v>90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449" t="str">
        <f>项目基本情况!B1</f>
        <v>出让国有建设用地使用权抵押价格预评估</v>
      </c>
      <c r="C37" s="3449"/>
      <c r="D37" s="3449"/>
      <c r="E37" s="3449"/>
      <c r="F37" s="3449"/>
      <c r="G37" s="3449"/>
      <c r="H37" s="3449"/>
      <c r="I37" s="3449"/>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O22" sqref="O22"/>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8</v>
      </c>
      <c r="L1" s="237"/>
      <c r="M1" s="237"/>
      <c r="N1" s="237"/>
      <c r="O1" s="237"/>
      <c r="P1" s="237"/>
      <c r="Q1" s="237"/>
      <c r="R1" s="237"/>
      <c r="S1" s="237"/>
      <c r="T1" s="237"/>
      <c r="U1" s="237"/>
      <c r="V1" s="237"/>
      <c r="W1" s="237"/>
      <c r="X1" s="237"/>
      <c r="Y1" s="237"/>
      <c r="Z1" s="237"/>
    </row>
    <row r="2" spans="1:31" s="1655" customFormat="1" ht="18" customHeight="1">
      <c r="A2" s="1710" t="s">
        <v>427</v>
      </c>
      <c r="B2" s="1714">
        <f ca="1">C36</f>
        <v>24206</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2420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7260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484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 ca="1">SUM(C10:K10)</f>
        <v>77610</v>
      </c>
      <c r="D6" s="2136"/>
      <c r="E6" s="2136"/>
      <c r="F6" s="2136"/>
      <c r="G6" s="2136"/>
      <c r="H6" s="2136"/>
      <c r="I6" s="2136"/>
      <c r="J6" s="2136"/>
      <c r="K6" s="2138"/>
      <c r="L6" s="2706"/>
      <c r="M6" s="2706"/>
      <c r="N6" s="2706"/>
      <c r="O6" s="2706"/>
      <c r="P6" s="2706"/>
      <c r="Q6" s="2706"/>
      <c r="R6" s="2706"/>
      <c r="S6" s="2706"/>
      <c r="T6" s="2706"/>
      <c r="U6" s="2706"/>
      <c r="V6" s="2706"/>
      <c r="W6" s="2706"/>
      <c r="X6" s="2706"/>
      <c r="Y6" s="2706"/>
      <c r="Z6" s="2706"/>
    </row>
    <row r="7" spans="1:31" s="1722" customFormat="1" ht="15">
      <c r="A7" s="2139" t="s">
        <v>430</v>
      </c>
      <c r="B7" s="2140" t="s">
        <v>431</v>
      </c>
      <c r="C7" s="406" t="s">
        <v>851</v>
      </c>
      <c r="D7" s="406" t="s">
        <v>2726</v>
      </c>
      <c r="E7" s="406"/>
      <c r="F7" s="406"/>
      <c r="G7" s="406"/>
      <c r="H7" s="406"/>
      <c r="I7" s="406"/>
      <c r="J7" s="406"/>
      <c r="K7" s="407"/>
      <c r="AA7" s="1721"/>
      <c r="AB7" s="1721"/>
      <c r="AC7" s="1721"/>
      <c r="AD7" s="1721"/>
      <c r="AE7" s="1721"/>
    </row>
    <row r="8" spans="1:31" s="1724" customFormat="1" ht="13.5" customHeight="1">
      <c r="A8" s="738" t="s">
        <v>1374</v>
      </c>
      <c r="B8" s="241" t="s">
        <v>432</v>
      </c>
      <c r="C8" s="2141">
        <f>'不动产比较法-住宅'!C49</f>
        <v>8417</v>
      </c>
      <c r="D8" s="2141">
        <f ca="1">不动产收益法!B3</f>
        <v>5126</v>
      </c>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80022.38</v>
      </c>
      <c r="D9" s="411">
        <f>SUMIF('数据-汇总表'!$C19:$C33,'剩余法-待开发'!D7,'数据-汇总表'!$E19:$E33)</f>
        <v>20005.599999999999</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f>'不动产比较法-住宅'!B2</f>
        <v>67355</v>
      </c>
      <c r="D10" s="2316">
        <f ca="1">不动产收益法!B2</f>
        <v>10255</v>
      </c>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6"/>
      <c r="M11" s="2706"/>
      <c r="N11" s="2706"/>
      <c r="O11" s="2706"/>
      <c r="P11" s="2706"/>
      <c r="Q11" s="2706"/>
      <c r="R11" s="2706"/>
      <c r="S11" s="2706"/>
      <c r="T11" s="2706"/>
      <c r="U11" s="2706"/>
      <c r="V11" s="2706"/>
      <c r="W11" s="2706"/>
      <c r="X11" s="2706"/>
      <c r="Y11" s="2706"/>
      <c r="Z11" s="2706"/>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7"/>
      <c r="M12" s="2707"/>
      <c r="N12" s="2707"/>
      <c r="O12" s="2707"/>
      <c r="P12" s="2707"/>
      <c r="Q12" s="2707"/>
      <c r="R12" s="2707"/>
      <c r="S12" s="2707"/>
      <c r="T12" s="2707"/>
      <c r="U12" s="2707"/>
      <c r="V12" s="2707"/>
      <c r="W12" s="2707"/>
      <c r="X12" s="2707"/>
      <c r="Y12" s="2707"/>
      <c r="Z12" s="2707"/>
    </row>
    <row r="13" spans="1:31" s="1725" customFormat="1" ht="13.5" customHeight="1">
      <c r="A13" s="2149" t="s">
        <v>1377</v>
      </c>
      <c r="B13" s="2150" t="s">
        <v>439</v>
      </c>
      <c r="C13" s="419">
        <f ca="1">IF(B1="",'数据-取费表'!P16,INDIRECT("'数据-取费表'!p"&amp;$K$1)+INDIRECT("'数据-取费表'!t"&amp;$K$1))</f>
        <v>28808</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1440</v>
      </c>
      <c r="D14" s="2151"/>
      <c r="E14" s="339"/>
      <c r="F14" s="2155">
        <f>'数据-取费表'!B33</f>
        <v>0.05</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1152</v>
      </c>
      <c r="D15" s="2151"/>
      <c r="E15" s="339"/>
      <c r="F15" s="2155">
        <f>'数据-取费表'!B34</f>
        <v>0.05</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2001</v>
      </c>
      <c r="D16" s="2151">
        <f ca="1">IF(B1="",'数据-汇总表'!E3,INDIRECT("'数据-取费表'!K"&amp;$K$1)+INDIRECT("'数据-取费表'!S"&amp;$K$1))</f>
        <v>100027.98000000001</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576</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33977</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100027.98000000001</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1200</v>
      </c>
      <c r="D20" s="2160"/>
      <c r="E20" s="1632"/>
      <c r="F20" s="2161"/>
      <c r="G20" s="2345"/>
      <c r="H20" s="2121"/>
      <c r="I20" s="2122" t="s">
        <v>1932</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960</v>
      </c>
      <c r="D21" s="2151">
        <f ca="1">IF(B1="",'数据-汇总表'!E5,IF(INDIRECT("'数据-取费表'!c"&amp;$K$1)="住宅",INDIRECT("'数据-取费表'!k"&amp;$K$1),0))</f>
        <v>80022.38</v>
      </c>
      <c r="E21" s="49">
        <f>'数据-取费表'!B27</f>
        <v>120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240</v>
      </c>
      <c r="D22" s="2151">
        <f ca="1">IF(B1="",'数据-汇总表'!E6,IF(INDIRECT("'数据-取费表'!c"&amp;$K$1)="住宅",INDIRECT("'数据-取费表'!s"&amp;$K$1),INDIRECT("'数据-取费表'!k"&amp;$K$1)+INDIRECT("'数据-取费表'!s"&amp;$K$1)))</f>
        <v>20005.600000000006</v>
      </c>
      <c r="E22" s="49">
        <f>'数据-取费表'!B28</f>
        <v>120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2108</v>
      </c>
      <c r="C23" s="2158">
        <f ca="1">ROUND((C18+C19+C20)*F23,0)</f>
        <v>704</v>
      </c>
      <c r="D23" s="437"/>
      <c r="E23" s="437"/>
      <c r="F23" s="2162">
        <f>'数据-取费表'!B37</f>
        <v>0.02</v>
      </c>
      <c r="G23" s="2123" t="s">
        <v>1782</v>
      </c>
      <c r="H23" s="2124"/>
      <c r="I23" s="2124"/>
      <c r="J23" s="2124"/>
      <c r="K23" s="2125"/>
      <c r="L23" s="2708"/>
      <c r="M23" s="2708"/>
      <c r="N23" s="2708"/>
      <c r="O23" s="1726"/>
      <c r="P23" s="1726"/>
      <c r="Q23" s="1726"/>
      <c r="R23" s="1726"/>
      <c r="S23" s="1726"/>
      <c r="T23" s="1726"/>
      <c r="U23" s="1726"/>
      <c r="V23" s="1726"/>
      <c r="W23" s="1726"/>
      <c r="X23" s="1726"/>
      <c r="Y23" s="1726"/>
      <c r="Z23" s="1726"/>
    </row>
    <row r="24" spans="1:26" s="1725" customFormat="1" ht="13.5" customHeight="1">
      <c r="A24" s="2156" t="s">
        <v>1388</v>
      </c>
      <c r="B24" s="2320" t="s">
        <v>2111</v>
      </c>
      <c r="C24" s="2158">
        <f ca="1">ROUND(C6*F24,0)</f>
        <v>2328</v>
      </c>
      <c r="D24" s="444"/>
      <c r="E24" s="442"/>
      <c r="F24" s="2162">
        <f>'数据-取费表'!B38</f>
        <v>0.03</v>
      </c>
      <c r="G24" s="2128" t="s">
        <v>459</v>
      </c>
      <c r="H24" s="1061"/>
      <c r="I24" s="1061"/>
      <c r="J24" s="1061"/>
      <c r="K24" s="258"/>
      <c r="L24" s="2708"/>
      <c r="M24" s="2708"/>
      <c r="N24" s="2708"/>
      <c r="O24" s="1726"/>
      <c r="P24" s="1726"/>
      <c r="Q24" s="1726"/>
      <c r="R24" s="1726"/>
      <c r="S24" s="1726"/>
      <c r="T24" s="1726"/>
      <c r="U24" s="1726"/>
      <c r="V24" s="1726"/>
      <c r="W24" s="1726"/>
      <c r="X24" s="1726"/>
      <c r="Y24" s="1726"/>
      <c r="Z24" s="1726"/>
    </row>
    <row r="25" spans="1:26" s="1728" customFormat="1" ht="13.5" customHeight="1">
      <c r="A25" s="2156" t="s">
        <v>1389</v>
      </c>
      <c r="B25" s="2320" t="s">
        <v>2109</v>
      </c>
      <c r="C25" s="436">
        <f>ROUND(F25/(1+'数据-取费表'!C42),4)</f>
        <v>2.9000000000000001E-2</v>
      </c>
      <c r="D25" s="431" t="s">
        <v>2104</v>
      </c>
      <c r="E25" s="438"/>
      <c r="F25" s="2162">
        <f>IF(项目基本情况!B8="出让",0,'数据-取费表'!B48+'数据-取费表'!B49)</f>
        <v>3.0499999999999999E-2</v>
      </c>
      <c r="G25" s="2127" t="s">
        <v>1647</v>
      </c>
      <c r="H25" s="2124"/>
      <c r="I25" s="2124"/>
      <c r="J25" s="2124"/>
      <c r="K25" s="2125"/>
      <c r="L25" s="2709"/>
      <c r="M25" s="2709"/>
      <c r="N25" s="2709"/>
      <c r="O25" s="2709"/>
      <c r="P25" s="2709"/>
      <c r="Q25" s="2709"/>
      <c r="R25" s="2709"/>
      <c r="S25" s="2709"/>
      <c r="T25" s="2709"/>
      <c r="U25" s="2709"/>
      <c r="V25" s="2709"/>
      <c r="W25" s="2709"/>
      <c r="X25" s="2709"/>
      <c r="Y25" s="2709"/>
      <c r="Z25" s="2709"/>
    </row>
    <row r="26" spans="1:26" s="1727" customFormat="1" ht="13.5" customHeight="1">
      <c r="A26" s="2156" t="s">
        <v>1390</v>
      </c>
      <c r="B26" s="2321" t="s">
        <v>2110</v>
      </c>
      <c r="C26" s="2163">
        <f ca="1">C28</f>
        <v>1196</v>
      </c>
      <c r="D26" s="436">
        <f ca="1">C27</f>
        <v>6.54E-2</v>
      </c>
      <c r="E26" s="438" t="s">
        <v>455</v>
      </c>
      <c r="F26" s="440">
        <f ca="1">'数据-取费表'!B40</f>
        <v>3.1300000000000001E-2</v>
      </c>
      <c r="G26" s="2046" t="str">
        <f>IF('数据-取费表'!B22&lt;=1,"单利计息。","复利计息。")&amp;"后续开发成本、管理费用及销售费用产生的利息。"</f>
        <v>复利计息。后续开发成本、管理费用及销售费用产生的利息。</v>
      </c>
      <c r="H26" s="1043"/>
      <c r="I26" s="1043"/>
      <c r="J26" s="1043"/>
      <c r="K26" s="130"/>
      <c r="L26" s="2708"/>
      <c r="M26" s="2708"/>
      <c r="N26" s="2708"/>
      <c r="O26" s="2708"/>
      <c r="P26" s="2708"/>
      <c r="Q26" s="2708"/>
      <c r="R26" s="2708"/>
      <c r="S26" s="2708"/>
      <c r="T26" s="2708"/>
      <c r="U26" s="2708"/>
      <c r="V26" s="2708"/>
      <c r="W26" s="2708"/>
      <c r="X26" s="2708"/>
      <c r="Y26" s="2708"/>
      <c r="Z26" s="2708"/>
    </row>
    <row r="27" spans="1:26" s="1729" customFormat="1" ht="13.5" customHeight="1">
      <c r="A27" s="738" t="s">
        <v>1385</v>
      </c>
      <c r="B27" s="2164" t="s">
        <v>456</v>
      </c>
      <c r="C27" s="2165">
        <f ca="1">ROUND(IF('数据-取费表'!B22&lt;=1,(1+C25)*F26*'数据-取费表'!B24,(1+C25)*(POWER((1+F26),'数据-取费表'!B24)-1)),4)</f>
        <v>6.54E-2</v>
      </c>
      <c r="D27" s="441"/>
      <c r="E27" s="442"/>
      <c r="F27" s="443"/>
      <c r="G27" s="2046" t="str">
        <f>IF('数据-取费表'!B22&lt;=1,"（1+取得税费率/(1+5%)）×年利率×建设期","（1+取得税费率）/(1+5%)×((1+年利率)^建设期-1)")</f>
        <v>（1+取得税费率）/(1+5%)×((1+年利率)^建设期-1)</v>
      </c>
      <c r="H27" s="1061"/>
      <c r="I27" s="1061"/>
      <c r="J27" s="1061"/>
      <c r="K27" s="258"/>
      <c r="L27" s="2710"/>
      <c r="M27" s="2710"/>
      <c r="N27" s="2710"/>
      <c r="O27" s="2710"/>
      <c r="P27" s="2710"/>
      <c r="Q27" s="2710"/>
      <c r="R27" s="2710"/>
      <c r="S27" s="2710"/>
      <c r="T27" s="2710"/>
      <c r="U27" s="2710"/>
      <c r="V27" s="2710"/>
      <c r="W27" s="2710"/>
      <c r="X27" s="2710"/>
      <c r="Y27" s="2710"/>
      <c r="Z27" s="2710"/>
    </row>
    <row r="28" spans="1:26" s="1729" customFormat="1" ht="13.5" customHeight="1">
      <c r="A28" s="738" t="s">
        <v>1386</v>
      </c>
      <c r="B28" s="2164" t="s">
        <v>2112</v>
      </c>
      <c r="C28" s="2166">
        <f ca="1">ROUND(IF('数据-取费表'!B22&lt;=1,(C18+C19+C20+C23+C24)*F26*'数据-取费表'!B24/2,(C18+C19+C20+C23+C24)*(POWER((1+F26),'数据-取费表'!B24/2)-1)),0)</f>
        <v>1196</v>
      </c>
      <c r="D28" s="441"/>
      <c r="E28" s="442"/>
      <c r="F28" s="443"/>
      <c r="G28" s="2046" t="str">
        <f>IF('数据-取费表'!B22&lt;=1,"（1）-（4）项×年利率×建设期÷2","（1）-（4）项×((1+年利率)^(建设期÷2)-1)")</f>
        <v>（1）-（4）项×((1+年利率)^(建设期÷2)-1)</v>
      </c>
      <c r="H28" s="1061"/>
      <c r="I28" s="1061"/>
      <c r="J28" s="1061"/>
      <c r="K28" s="258"/>
      <c r="L28" s="2710"/>
      <c r="M28" s="2710"/>
      <c r="N28" s="2710"/>
      <c r="O28" s="2710"/>
      <c r="P28" s="2710"/>
      <c r="Q28" s="2710"/>
      <c r="R28" s="2710"/>
      <c r="S28" s="2710"/>
      <c r="T28" s="2710"/>
      <c r="U28" s="2710"/>
      <c r="V28" s="2710"/>
      <c r="W28" s="2710"/>
      <c r="X28" s="2710"/>
      <c r="Y28" s="2710"/>
      <c r="Z28" s="2710"/>
    </row>
    <row r="29" spans="1:26" s="1729" customFormat="1" ht="13.5" customHeight="1">
      <c r="A29" s="2167" t="s">
        <v>1391</v>
      </c>
      <c r="B29" s="2157" t="s">
        <v>457</v>
      </c>
      <c r="C29" s="2158">
        <f ca="1">ROUND(C6*F29/(1+'数据-取费表'!C42),0)</f>
        <v>4139</v>
      </c>
      <c r="D29" s="437"/>
      <c r="E29" s="437"/>
      <c r="F29" s="2322">
        <f>'数据-取费表'!B41</f>
        <v>5.6000000000000001E-2</v>
      </c>
      <c r="G29" s="2128" t="s">
        <v>458</v>
      </c>
      <c r="H29" s="2124"/>
      <c r="I29" s="2124"/>
      <c r="J29" s="2124"/>
      <c r="K29" s="2125"/>
      <c r="L29" s="2710"/>
      <c r="M29" s="2710"/>
      <c r="N29" s="2710"/>
      <c r="O29" s="2710"/>
      <c r="P29" s="2710"/>
      <c r="Q29" s="2710"/>
      <c r="R29" s="2710"/>
      <c r="S29" s="2710"/>
      <c r="T29" s="2710"/>
      <c r="U29" s="2710"/>
      <c r="V29" s="2710"/>
      <c r="W29" s="2710"/>
      <c r="X29" s="2710"/>
      <c r="Y29" s="2710"/>
      <c r="Z29" s="2710"/>
    </row>
    <row r="30" spans="1:26" s="1730" customFormat="1" ht="13.5" customHeight="1">
      <c r="A30" s="1358" t="s">
        <v>1392</v>
      </c>
      <c r="B30" s="2168" t="s">
        <v>460</v>
      </c>
      <c r="C30" s="2163">
        <f ca="1">C31</f>
        <v>43544</v>
      </c>
      <c r="D30" s="446">
        <f ca="1">C32</f>
        <v>9.4399999999999998E-2</v>
      </c>
      <c r="E30" s="438" t="s">
        <v>455</v>
      </c>
      <c r="F30" s="440"/>
      <c r="G30" s="2127" t="s">
        <v>2219</v>
      </c>
      <c r="H30" s="2124"/>
      <c r="I30" s="2124"/>
      <c r="J30" s="2124"/>
      <c r="K30" s="2125"/>
      <c r="L30" s="2711"/>
      <c r="M30" s="2711"/>
      <c r="N30" s="2711"/>
      <c r="O30" s="2711"/>
      <c r="P30" s="2711"/>
      <c r="Q30" s="2711"/>
      <c r="R30" s="2711"/>
      <c r="S30" s="2711"/>
      <c r="T30" s="2711"/>
      <c r="U30" s="2711"/>
      <c r="V30" s="2711"/>
      <c r="W30" s="2711"/>
      <c r="X30" s="2711"/>
      <c r="Y30" s="2711"/>
      <c r="Z30" s="2711"/>
    </row>
    <row r="31" spans="1:26" s="1729" customFormat="1" ht="13.5" customHeight="1">
      <c r="A31" s="738" t="s">
        <v>1385</v>
      </c>
      <c r="B31" s="2164"/>
      <c r="C31" s="419">
        <f ca="1">C18+C19+C20+C23+C24+C26+C29</f>
        <v>43544</v>
      </c>
      <c r="D31" s="441"/>
      <c r="E31" s="442"/>
      <c r="F31" s="443"/>
      <c r="G31" s="241"/>
      <c r="H31" s="1061"/>
      <c r="I31" s="1061"/>
      <c r="J31" s="1061"/>
      <c r="K31" s="258"/>
      <c r="L31" s="2710"/>
      <c r="M31" s="2710"/>
      <c r="N31" s="2710"/>
      <c r="O31" s="2710"/>
      <c r="P31" s="2710"/>
      <c r="Q31" s="2710"/>
      <c r="R31" s="2710"/>
      <c r="S31" s="2710"/>
      <c r="T31" s="2710"/>
      <c r="U31" s="2710"/>
      <c r="V31" s="2710"/>
      <c r="W31" s="2710"/>
      <c r="X31" s="2710"/>
      <c r="Y31" s="2710"/>
      <c r="Z31" s="2710"/>
    </row>
    <row r="32" spans="1:26" s="1729" customFormat="1" ht="13.5" customHeight="1">
      <c r="A32" s="738" t="s">
        <v>1386</v>
      </c>
      <c r="B32" s="2164"/>
      <c r="C32" s="49">
        <f ca="1">ROUND(C25+D26,4)</f>
        <v>9.4399999999999998E-2</v>
      </c>
      <c r="D32" s="441"/>
      <c r="E32" s="442"/>
      <c r="F32" s="443"/>
      <c r="G32" s="241"/>
      <c r="H32" s="1061"/>
      <c r="I32" s="1061"/>
      <c r="J32" s="1061"/>
      <c r="K32" s="258"/>
      <c r="L32" s="2710"/>
      <c r="M32" s="2710"/>
      <c r="N32" s="2710"/>
      <c r="O32" s="2710"/>
      <c r="P32" s="2710"/>
      <c r="Q32" s="2710"/>
      <c r="R32" s="2710"/>
      <c r="S32" s="2710"/>
      <c r="T32" s="2710"/>
      <c r="U32" s="2710"/>
      <c r="V32" s="2710"/>
      <c r="W32" s="2710"/>
      <c r="X32" s="2710"/>
      <c r="Y32" s="2710"/>
      <c r="Z32" s="2710"/>
    </row>
    <row r="33" spans="1:26" s="1731" customFormat="1" ht="13.5" customHeight="1">
      <c r="A33" s="2319" t="s">
        <v>2107</v>
      </c>
      <c r="B33" s="2317" t="s">
        <v>2105</v>
      </c>
      <c r="C33" s="447">
        <f ca="1">C35</f>
        <v>4585</v>
      </c>
      <c r="D33" s="436">
        <f ca="1">C34</f>
        <v>0.1235</v>
      </c>
      <c r="E33" s="438" t="s">
        <v>455</v>
      </c>
      <c r="F33" s="448">
        <f ca="1">IF(B1="",'数据-取费表'!Q16,INDIRECT("'数据-取费表'!q"&amp;$K$1))</f>
        <v>0.12</v>
      </c>
      <c r="G33" s="1042"/>
      <c r="H33" s="1043"/>
      <c r="I33" s="1043"/>
      <c r="J33" s="1043"/>
      <c r="K33" s="130"/>
      <c r="L33" s="2712"/>
      <c r="M33" s="2712"/>
      <c r="N33" s="2712"/>
      <c r="O33" s="2712"/>
      <c r="P33" s="2712"/>
      <c r="Q33" s="2712"/>
      <c r="R33" s="2712"/>
      <c r="S33" s="2712"/>
      <c r="T33" s="2712"/>
      <c r="U33" s="2712"/>
      <c r="V33" s="2712"/>
      <c r="W33" s="2712"/>
      <c r="X33" s="2712"/>
      <c r="Y33" s="2712"/>
      <c r="Z33" s="2712"/>
    </row>
    <row r="34" spans="1:26" s="1732" customFormat="1" ht="13.5" customHeight="1">
      <c r="A34" s="345" t="s">
        <v>1385</v>
      </c>
      <c r="B34" s="2169" t="s">
        <v>461</v>
      </c>
      <c r="C34" s="441">
        <f ca="1">ROUND((1+C25)*F33,4)</f>
        <v>0.1235</v>
      </c>
      <c r="D34" s="441"/>
      <c r="E34" s="442"/>
      <c r="F34" s="449"/>
      <c r="G34" s="241" t="s">
        <v>1648</v>
      </c>
      <c r="H34" s="1061"/>
      <c r="I34" s="1061"/>
      <c r="J34" s="1061"/>
      <c r="K34" s="258"/>
      <c r="L34" s="2713"/>
      <c r="M34" s="2713"/>
      <c r="N34" s="2713"/>
      <c r="O34" s="2713"/>
      <c r="P34" s="2713"/>
      <c r="Q34" s="2713"/>
      <c r="R34" s="2713"/>
      <c r="S34" s="2713"/>
      <c r="T34" s="2713"/>
      <c r="U34" s="2713"/>
      <c r="V34" s="2713"/>
      <c r="W34" s="2713"/>
      <c r="X34" s="2713"/>
      <c r="Y34" s="2713"/>
      <c r="Z34" s="2713"/>
    </row>
    <row r="35" spans="1:26" s="1732" customFormat="1" ht="13.5" customHeight="1" thickBot="1">
      <c r="A35" s="1359" t="s">
        <v>1386</v>
      </c>
      <c r="B35" s="2318" t="s">
        <v>2113</v>
      </c>
      <c r="C35" s="1351">
        <f ca="1">ROUND((C18+C19+C20+C23+C24)*F33,0)</f>
        <v>4585</v>
      </c>
      <c r="D35" s="1352"/>
      <c r="E35" s="2170"/>
      <c r="F35" s="1353"/>
      <c r="G35" s="2129"/>
      <c r="H35" s="2130"/>
      <c r="I35" s="2130"/>
      <c r="J35" s="2130"/>
      <c r="K35" s="2131"/>
      <c r="L35" s="2713"/>
      <c r="M35" s="2713"/>
      <c r="N35" s="2713"/>
      <c r="O35" s="2713"/>
      <c r="P35" s="2713"/>
      <c r="Q35" s="2713"/>
      <c r="R35" s="2713"/>
      <c r="S35" s="2713"/>
      <c r="T35" s="2713"/>
      <c r="U35" s="2713"/>
      <c r="V35" s="2713"/>
      <c r="W35" s="2713"/>
      <c r="X35" s="2713"/>
      <c r="Y35" s="2713"/>
      <c r="Z35" s="2713"/>
    </row>
    <row r="36" spans="1:26" s="1696" customFormat="1" ht="13.5" customHeight="1" thickBot="1">
      <c r="A36" s="262" t="s">
        <v>1373</v>
      </c>
      <c r="B36" s="2133"/>
      <c r="C36" s="2171">
        <f ca="1">ROUND((C6-C30-C33)/(1+D30+D33),0)</f>
        <v>24206</v>
      </c>
      <c r="D36" s="2133"/>
      <c r="E36" s="2133"/>
      <c r="F36" s="2133"/>
      <c r="G36" s="2132" t="s">
        <v>2114</v>
      </c>
      <c r="H36" s="2133"/>
      <c r="I36" s="2133"/>
      <c r="J36" s="2133"/>
      <c r="K36" s="2134"/>
      <c r="L36" s="2707"/>
      <c r="M36" s="2707"/>
      <c r="N36" s="2707"/>
      <c r="O36" s="2707"/>
      <c r="P36" s="2707"/>
      <c r="Q36" s="2707"/>
      <c r="R36" s="2707"/>
      <c r="S36" s="2707"/>
      <c r="T36" s="2707"/>
      <c r="U36" s="2707"/>
      <c r="V36" s="2707"/>
      <c r="W36" s="2707"/>
      <c r="X36" s="2707"/>
      <c r="Y36" s="2707"/>
      <c r="Z36" s="2707"/>
    </row>
    <row r="37" spans="1:26" s="1724" customFormat="1">
      <c r="A37" s="2714"/>
      <c r="C37" s="2715"/>
      <c r="E37" s="2714"/>
    </row>
    <row r="38" spans="1:26" s="1724" customFormat="1" ht="12.75" customHeight="1">
      <c r="A38" s="2714"/>
      <c r="C38" s="2715"/>
      <c r="E38" s="2714"/>
    </row>
    <row r="39" spans="1:26" s="1724" customFormat="1">
      <c r="A39" s="2714"/>
      <c r="C39" s="2715"/>
      <c r="E39" s="2714"/>
    </row>
    <row r="40" spans="1:26" s="1724" customFormat="1">
      <c r="A40" s="2714"/>
      <c r="C40" s="2715"/>
      <c r="E40" s="2714"/>
    </row>
    <row r="41" spans="1:26" s="1724" customFormat="1">
      <c r="A41" s="2714"/>
      <c r="C41" s="2715"/>
      <c r="E41" s="2714"/>
    </row>
    <row r="42" spans="1:26" s="1724" customFormat="1">
      <c r="A42" s="2714"/>
      <c r="C42" s="2715"/>
      <c r="E42" s="2714"/>
    </row>
    <row r="43" spans="1:26" s="1724" customFormat="1">
      <c r="A43" s="2714"/>
      <c r="C43" s="2715"/>
      <c r="E43" s="2714"/>
    </row>
    <row r="44" spans="1:26" s="1724" customFormat="1">
      <c r="A44" s="2714"/>
      <c r="C44" s="2715"/>
      <c r="E44" s="2714"/>
    </row>
    <row r="45" spans="1:26" s="1724" customFormat="1">
      <c r="A45" s="2714"/>
      <c r="C45" s="2715"/>
      <c r="E45" s="2714"/>
    </row>
    <row r="46" spans="1:26" s="1724" customFormat="1">
      <c r="A46" s="2714"/>
      <c r="C46" s="2715"/>
      <c r="E46" s="2714"/>
    </row>
    <row r="47" spans="1:26" s="1724" customFormat="1">
      <c r="A47" s="2714"/>
      <c r="C47" s="2715"/>
      <c r="E47" s="2714"/>
    </row>
    <row r="48" spans="1:26"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row r="212" spans="1:5" s="1724" customFormat="1">
      <c r="A212" s="2714"/>
      <c r="C212" s="2715"/>
      <c r="E212" s="2714"/>
    </row>
    <row r="213" spans="1:5" s="1724" customFormat="1">
      <c r="A213" s="2714"/>
      <c r="C213" s="2715"/>
      <c r="E213" s="2714"/>
    </row>
    <row r="214" spans="1:5" s="1724" customFormat="1">
      <c r="A214" s="2714"/>
      <c r="C214" s="2715"/>
      <c r="E214" s="2714"/>
    </row>
    <row r="215" spans="1:5" s="1724" customFormat="1">
      <c r="A215" s="2714"/>
      <c r="C215" s="2715"/>
      <c r="E215" s="2714"/>
    </row>
    <row r="216" spans="1:5" s="1724" customFormat="1">
      <c r="A216" s="2714"/>
      <c r="C216" s="2715"/>
      <c r="E216" s="2714"/>
    </row>
    <row r="217" spans="1:5" s="1724" customFormat="1">
      <c r="A217" s="2714"/>
      <c r="C217" s="2715"/>
      <c r="E217" s="2714"/>
    </row>
    <row r="218" spans="1:5" s="1724" customFormat="1">
      <c r="A218" s="2714"/>
      <c r="C218" s="2715"/>
      <c r="E218" s="2714"/>
    </row>
    <row r="219" spans="1:5" s="1724" customFormat="1">
      <c r="A219" s="2714"/>
      <c r="C219" s="2715"/>
      <c r="E219" s="2714"/>
    </row>
    <row r="220" spans="1:5" s="1724" customFormat="1">
      <c r="A220" s="2714"/>
      <c r="C220" s="2715"/>
      <c r="E220" s="2714"/>
    </row>
    <row r="221" spans="1:5" s="1724" customFormat="1">
      <c r="A221" s="2714"/>
      <c r="C221" s="2715"/>
      <c r="E221" s="2714"/>
    </row>
    <row r="222" spans="1:5" s="1724" customFormat="1">
      <c r="A222" s="2714"/>
      <c r="C222" s="2715"/>
      <c r="E222" s="2714"/>
    </row>
    <row r="223" spans="1:5" s="1724" customFormat="1">
      <c r="A223" s="2714"/>
      <c r="C223" s="2715"/>
      <c r="E223" s="2714"/>
    </row>
    <row r="224" spans="1:5" s="1724" customFormat="1">
      <c r="A224" s="2714"/>
      <c r="C224" s="2715"/>
      <c r="E224" s="2714"/>
    </row>
    <row r="225" spans="1:5" s="1724" customFormat="1">
      <c r="A225" s="2714"/>
      <c r="C225" s="2715"/>
      <c r="E225" s="2714"/>
    </row>
    <row r="226" spans="1:5" s="1724" customFormat="1">
      <c r="A226" s="2714"/>
      <c r="C226" s="2715"/>
      <c r="E226" s="2714"/>
    </row>
    <row r="227" spans="1:5" s="1724" customFormat="1">
      <c r="A227" s="2714"/>
      <c r="C227" s="2715"/>
      <c r="E227" s="2714"/>
    </row>
    <row r="228" spans="1:5" s="1724" customFormat="1">
      <c r="A228" s="2714"/>
      <c r="C228" s="2715"/>
      <c r="E228" s="2714"/>
    </row>
    <row r="229" spans="1:5" s="1724" customFormat="1">
      <c r="A229" s="2714"/>
      <c r="C229" s="2715"/>
      <c r="E229" s="2714"/>
    </row>
    <row r="230" spans="1:5" s="1724" customFormat="1">
      <c r="A230" s="2714"/>
      <c r="C230" s="2715"/>
      <c r="E230" s="2714"/>
    </row>
    <row r="231" spans="1:5" s="1724" customFormat="1">
      <c r="A231" s="2714"/>
      <c r="C231" s="2715"/>
      <c r="E231" s="2714"/>
    </row>
    <row r="232" spans="1:5" s="1724" customFormat="1">
      <c r="A232" s="2714"/>
      <c r="C232" s="2715"/>
      <c r="E232" s="2714"/>
    </row>
    <row r="233" spans="1:5" s="1724" customFormat="1">
      <c r="A233" s="2714"/>
      <c r="C233" s="2715"/>
      <c r="E233" s="2714"/>
    </row>
    <row r="234" spans="1:5" s="1724" customFormat="1">
      <c r="A234" s="2714"/>
      <c r="C234" s="2715"/>
      <c r="E234" s="2714"/>
    </row>
    <row r="235" spans="1:5" s="1724" customFormat="1">
      <c r="A235" s="2714"/>
      <c r="C235" s="2715"/>
      <c r="E235" s="2714"/>
    </row>
    <row r="236" spans="1:5" s="1724" customFormat="1">
      <c r="A236" s="2714"/>
      <c r="C236" s="2715"/>
      <c r="E236" s="2714"/>
    </row>
    <row r="237" spans="1:5" s="1724" customFormat="1">
      <c r="A237" s="2714"/>
      <c r="C237" s="2715"/>
      <c r="E237" s="2714"/>
    </row>
    <row r="238" spans="1:5" s="1724" customFormat="1">
      <c r="A238" s="2714"/>
      <c r="C238" s="2715"/>
      <c r="E238" s="2714"/>
    </row>
    <row r="239" spans="1:5" s="1724" customFormat="1">
      <c r="A239" s="2714"/>
      <c r="C239" s="2715"/>
      <c r="E239" s="2714"/>
    </row>
    <row r="240" spans="1:5" s="1724" customFormat="1">
      <c r="A240" s="2714"/>
      <c r="C240" s="2715"/>
      <c r="E240" s="2714"/>
    </row>
    <row r="241" spans="1:5" s="1724" customFormat="1">
      <c r="A241" s="2714"/>
      <c r="C241" s="2715"/>
      <c r="E241" s="2714"/>
    </row>
    <row r="242" spans="1:5" s="1724" customFormat="1">
      <c r="A242" s="2714"/>
      <c r="C242" s="2715"/>
      <c r="E242" s="2714"/>
    </row>
    <row r="243" spans="1:5" s="1724" customFormat="1">
      <c r="A243" s="2714"/>
      <c r="C243" s="2715"/>
      <c r="E243" s="2714"/>
    </row>
    <row r="244" spans="1:5" s="1724" customFormat="1">
      <c r="A244" s="2714"/>
      <c r="C244" s="2715"/>
      <c r="E244" s="2714"/>
    </row>
    <row r="245" spans="1:5" s="1724" customFormat="1">
      <c r="A245" s="2714"/>
      <c r="C245" s="2715"/>
      <c r="E245" s="2714"/>
    </row>
    <row r="246" spans="1:5" s="1724" customFormat="1">
      <c r="A246" s="2714"/>
      <c r="C246" s="2715"/>
      <c r="E246" s="2714"/>
    </row>
    <row r="247" spans="1:5" s="1724" customFormat="1">
      <c r="A247" s="2714"/>
      <c r="C247" s="2715"/>
      <c r="E247" s="2714"/>
    </row>
    <row r="248" spans="1:5" s="1724" customFormat="1">
      <c r="A248" s="2714"/>
      <c r="C248" s="2715"/>
      <c r="E248" s="2714"/>
    </row>
    <row r="249" spans="1:5" s="1724" customFormat="1">
      <c r="A249" s="2714"/>
      <c r="C249" s="2715"/>
      <c r="E249" s="2714"/>
    </row>
    <row r="250" spans="1:5" s="1724" customFormat="1">
      <c r="A250" s="2714"/>
      <c r="C250" s="2715"/>
      <c r="E250" s="2714"/>
    </row>
    <row r="251" spans="1:5" s="1724" customFormat="1">
      <c r="A251" s="2714"/>
      <c r="C251" s="2715"/>
      <c r="E251" s="2714"/>
    </row>
    <row r="252" spans="1:5" s="1724" customFormat="1">
      <c r="A252" s="2714"/>
      <c r="C252" s="2715"/>
      <c r="E252" s="2714"/>
    </row>
    <row r="253" spans="1:5" s="1724" customFormat="1">
      <c r="A253" s="2714"/>
      <c r="C253" s="2715"/>
      <c r="E253" s="2714"/>
    </row>
    <row r="254" spans="1:5" s="1724" customFormat="1">
      <c r="A254" s="2714"/>
      <c r="C254" s="2715"/>
      <c r="E254" s="2714"/>
    </row>
    <row r="255" spans="1:5" s="1724" customFormat="1">
      <c r="A255" s="2714"/>
      <c r="C255" s="2715"/>
      <c r="E255" s="2714"/>
    </row>
    <row r="256" spans="1:5" s="1724" customFormat="1">
      <c r="A256" s="2714"/>
      <c r="C256" s="2715"/>
      <c r="E256" s="2714"/>
    </row>
    <row r="257" spans="1:5" s="1724" customFormat="1">
      <c r="A257" s="2714"/>
      <c r="C257" s="2715"/>
      <c r="E257" s="2714"/>
    </row>
    <row r="258" spans="1:5" s="1724" customFormat="1">
      <c r="A258" s="2714"/>
      <c r="C258" s="2715"/>
      <c r="E258" s="2714"/>
    </row>
    <row r="259" spans="1:5" s="1724" customFormat="1">
      <c r="A259" s="2714"/>
      <c r="C259" s="2715"/>
      <c r="E259" s="2714"/>
    </row>
    <row r="260" spans="1:5" s="1724" customFormat="1">
      <c r="A260" s="2714"/>
      <c r="C260" s="2715"/>
      <c r="E260" s="2714"/>
    </row>
    <row r="261" spans="1:5" s="1724" customFormat="1">
      <c r="A261" s="2714"/>
      <c r="C261" s="2715"/>
      <c r="E261" s="2714"/>
    </row>
    <row r="262" spans="1:5" s="1724" customFormat="1">
      <c r="A262" s="2714"/>
      <c r="C262" s="2715"/>
      <c r="E262" s="2714"/>
    </row>
    <row r="263" spans="1:5" s="1724" customFormat="1">
      <c r="A263" s="2714"/>
      <c r="C263" s="2715"/>
      <c r="E263" s="2714"/>
    </row>
    <row r="264" spans="1:5" s="1724" customFormat="1">
      <c r="A264" s="2714"/>
      <c r="C264" s="2715"/>
      <c r="E264" s="2714"/>
    </row>
    <row r="265" spans="1:5" s="1724" customFormat="1">
      <c r="A265" s="2714"/>
      <c r="C265" s="2715"/>
      <c r="E265" s="2714"/>
    </row>
    <row r="266" spans="1:5" s="1724" customFormat="1">
      <c r="A266" s="2714"/>
      <c r="C266" s="2715"/>
      <c r="E266" s="2714"/>
    </row>
    <row r="267" spans="1:5" s="1724" customFormat="1">
      <c r="A267" s="2714"/>
      <c r="C267" s="2715"/>
      <c r="E267" s="2714"/>
    </row>
    <row r="268" spans="1:5" s="1724" customFormat="1">
      <c r="A268" s="2714"/>
      <c r="C268" s="2715"/>
      <c r="E268" s="2714"/>
    </row>
    <row r="269" spans="1:5" s="1724" customFormat="1">
      <c r="A269" s="2714"/>
      <c r="C269" s="2715"/>
      <c r="E269" s="2714"/>
    </row>
    <row r="270" spans="1:5" s="1724" customFormat="1">
      <c r="A270" s="2714"/>
      <c r="C270" s="2715"/>
      <c r="E270" s="2714"/>
    </row>
    <row r="271" spans="1:5" s="1724" customFormat="1">
      <c r="A271" s="2714"/>
      <c r="C271" s="2715"/>
      <c r="E271" s="2714"/>
    </row>
    <row r="272" spans="1:5" s="1724" customFormat="1">
      <c r="A272" s="2714"/>
      <c r="C272" s="2715"/>
      <c r="E272" s="2714"/>
    </row>
    <row r="273" spans="1:5" s="1724" customFormat="1">
      <c r="A273" s="2714"/>
      <c r="C273" s="2715"/>
      <c r="E273" s="2714"/>
    </row>
    <row r="274" spans="1:5" s="1724" customFormat="1">
      <c r="A274" s="2714"/>
      <c r="C274" s="2715"/>
      <c r="E274" s="2714"/>
    </row>
    <row r="275" spans="1:5" s="1724" customFormat="1">
      <c r="A275" s="2714"/>
      <c r="C275" s="2715"/>
      <c r="E275" s="2714"/>
    </row>
    <row r="276" spans="1:5" s="1724" customFormat="1">
      <c r="A276" s="2714"/>
      <c r="C276" s="2715"/>
      <c r="E276" s="2714"/>
    </row>
    <row r="277" spans="1:5" s="1724" customFormat="1">
      <c r="A277" s="2714"/>
      <c r="C277" s="2715"/>
      <c r="E277" s="2714"/>
    </row>
    <row r="278" spans="1:5" s="1724" customFormat="1">
      <c r="A278" s="2714"/>
      <c r="C278" s="2715"/>
      <c r="E278" s="2714"/>
    </row>
    <row r="279" spans="1:5" s="1724" customFormat="1">
      <c r="A279" s="2714"/>
      <c r="C279" s="2715"/>
      <c r="E279" s="2714"/>
    </row>
    <row r="280" spans="1:5" s="1724" customFormat="1">
      <c r="A280" s="2714"/>
      <c r="C280" s="2715"/>
      <c r="E280" s="2714"/>
    </row>
    <row r="281" spans="1:5" s="1724" customFormat="1">
      <c r="A281" s="2714"/>
      <c r="C281" s="2715"/>
      <c r="E281" s="2714"/>
    </row>
    <row r="282" spans="1:5" s="1724" customFormat="1">
      <c r="A282" s="2714"/>
      <c r="C282" s="2715"/>
      <c r="E282" s="2714"/>
    </row>
    <row r="283" spans="1:5" s="1724" customFormat="1">
      <c r="A283" s="2714"/>
      <c r="C283" s="2715"/>
      <c r="E283" s="2714"/>
    </row>
    <row r="284" spans="1:5" s="1724" customFormat="1">
      <c r="A284" s="2714"/>
      <c r="C284" s="2715"/>
      <c r="E284" s="2714"/>
    </row>
    <row r="285" spans="1:5" s="1724" customFormat="1">
      <c r="A285" s="2714"/>
      <c r="C285" s="2715"/>
      <c r="E285" s="2714"/>
    </row>
    <row r="286" spans="1:5" s="1724" customFormat="1">
      <c r="A286" s="2714"/>
      <c r="C286" s="2715"/>
      <c r="E286" s="2714"/>
    </row>
    <row r="287" spans="1:5" s="1724" customFormat="1">
      <c r="A287" s="2714"/>
      <c r="C287" s="2715"/>
      <c r="E287" s="2714"/>
    </row>
    <row r="288" spans="1:5" s="1724" customFormat="1">
      <c r="A288" s="2714"/>
      <c r="C288" s="2715"/>
      <c r="E288" s="2714"/>
    </row>
    <row r="289" spans="1:5" s="1724" customFormat="1">
      <c r="A289" s="2714"/>
      <c r="C289" s="2715"/>
      <c r="E289" s="2714"/>
    </row>
    <row r="290" spans="1:5" s="1724" customFormat="1">
      <c r="A290" s="2714"/>
      <c r="C290" s="2715"/>
      <c r="E290" s="2714"/>
    </row>
    <row r="291" spans="1:5" s="1724" customFormat="1">
      <c r="A291" s="2714"/>
      <c r="C291" s="2715"/>
      <c r="E291" s="2714"/>
    </row>
    <row r="292" spans="1:5" s="1724" customFormat="1">
      <c r="A292" s="2714"/>
      <c r="C292" s="2715"/>
      <c r="E292" s="2714"/>
    </row>
    <row r="293" spans="1:5" s="1724" customFormat="1">
      <c r="A293" s="2714"/>
      <c r="C293" s="2715"/>
      <c r="E293" s="2714"/>
    </row>
    <row r="294" spans="1:5" s="1724" customFormat="1">
      <c r="A294" s="2714"/>
      <c r="C294" s="2715"/>
      <c r="E294" s="2714"/>
    </row>
    <row r="295" spans="1:5" s="1724" customFormat="1">
      <c r="A295" s="2714"/>
      <c r="C295" s="2715"/>
      <c r="E295" s="2714"/>
    </row>
    <row r="296" spans="1:5" s="1724" customFormat="1">
      <c r="A296" s="2714"/>
      <c r="C296" s="2715"/>
      <c r="E296" s="2714"/>
    </row>
    <row r="297" spans="1:5" s="1724" customFormat="1">
      <c r="A297" s="2714"/>
      <c r="C297" s="2715"/>
      <c r="E297" s="2714"/>
    </row>
    <row r="298" spans="1:5" s="1724" customFormat="1">
      <c r="A298" s="2714"/>
      <c r="C298" s="2715"/>
      <c r="E298" s="2714"/>
    </row>
    <row r="299" spans="1:5" s="1724" customFormat="1">
      <c r="A299" s="2714"/>
      <c r="C299" s="2715"/>
      <c r="E299" s="2714"/>
    </row>
    <row r="300" spans="1:5" s="1724" customFormat="1">
      <c r="A300" s="2714"/>
      <c r="C300" s="2715"/>
      <c r="E300" s="2714"/>
    </row>
    <row r="301" spans="1:5" s="1724" customFormat="1">
      <c r="A301" s="2714"/>
      <c r="C301" s="2715"/>
      <c r="E301" s="2714"/>
    </row>
    <row r="302" spans="1:5" s="1724" customFormat="1">
      <c r="A302" s="2714"/>
      <c r="C302" s="2715"/>
      <c r="E302" s="2714"/>
    </row>
    <row r="303" spans="1:5" s="1724" customFormat="1">
      <c r="A303" s="2714"/>
      <c r="C303" s="2715"/>
      <c r="E303" s="2714"/>
    </row>
    <row r="304" spans="1:5" s="1724" customFormat="1">
      <c r="A304" s="2714"/>
      <c r="C304" s="2715"/>
      <c r="E304" s="2714"/>
    </row>
    <row r="305" spans="1:5" s="1724" customFormat="1">
      <c r="A305" s="2714"/>
      <c r="C305" s="2715"/>
      <c r="E305" s="2714"/>
    </row>
    <row r="306" spans="1:5" s="1724" customFormat="1">
      <c r="A306" s="2714"/>
      <c r="C306" s="2715"/>
      <c r="E306" s="2714"/>
    </row>
    <row r="307" spans="1:5" s="1724" customFormat="1">
      <c r="A307" s="2714"/>
      <c r="C307" s="2715"/>
      <c r="E307" s="2714"/>
    </row>
    <row r="308" spans="1:5" s="1724" customFormat="1">
      <c r="A308" s="2714"/>
      <c r="C308" s="2715"/>
      <c r="E308" s="2714"/>
    </row>
    <row r="309" spans="1:5" s="1724" customFormat="1">
      <c r="A309" s="2714"/>
      <c r="C309" s="2715"/>
      <c r="E309" s="2714"/>
    </row>
    <row r="310" spans="1:5" s="1724" customFormat="1">
      <c r="A310" s="2714"/>
      <c r="C310" s="2715"/>
      <c r="E310" s="2714"/>
    </row>
    <row r="311" spans="1:5" s="1724" customFormat="1">
      <c r="A311" s="2714"/>
      <c r="C311" s="2715"/>
      <c r="E311" s="2714"/>
    </row>
    <row r="312" spans="1:5" s="1724" customFormat="1">
      <c r="A312" s="2714"/>
      <c r="C312" s="2715"/>
      <c r="E312" s="2714"/>
    </row>
    <row r="313" spans="1:5" s="1724" customFormat="1">
      <c r="A313" s="2714"/>
      <c r="C313" s="2715"/>
      <c r="E313" s="2714"/>
    </row>
    <row r="314" spans="1:5" s="1724" customFormat="1">
      <c r="A314" s="2714"/>
      <c r="C314" s="2715"/>
      <c r="E314" s="2714"/>
    </row>
    <row r="315" spans="1:5" s="1724" customFormat="1">
      <c r="A315" s="2714"/>
      <c r="C315" s="2715"/>
      <c r="E315" s="2714"/>
    </row>
    <row r="316" spans="1:5" s="1724" customFormat="1">
      <c r="A316" s="2714"/>
      <c r="C316" s="2715"/>
      <c r="E316" s="2714"/>
    </row>
    <row r="317" spans="1:5" s="1724" customFormat="1">
      <c r="A317" s="2714"/>
      <c r="C317" s="2715"/>
      <c r="E317" s="2714"/>
    </row>
    <row r="318" spans="1:5" s="1724" customFormat="1">
      <c r="A318" s="2714"/>
      <c r="C318" s="2715"/>
      <c r="E318" s="2714"/>
    </row>
    <row r="319" spans="1:5" s="1724" customFormat="1">
      <c r="A319" s="2714"/>
      <c r="C319" s="2715"/>
      <c r="E319" s="2714"/>
    </row>
    <row r="320" spans="1:5" s="1724" customFormat="1">
      <c r="A320" s="2714"/>
      <c r="C320" s="2715"/>
      <c r="E320" s="2714"/>
    </row>
    <row r="321" spans="1:5" s="1724" customFormat="1">
      <c r="A321" s="2714"/>
      <c r="C321" s="2715"/>
      <c r="E321" s="2714"/>
    </row>
    <row r="322" spans="1:5" s="1724" customFormat="1">
      <c r="A322" s="2714"/>
      <c r="C322" s="2715"/>
      <c r="E322" s="2714"/>
    </row>
    <row r="323" spans="1:5" s="1724" customFormat="1">
      <c r="A323" s="2714"/>
      <c r="C323" s="2715"/>
      <c r="E323" s="2714"/>
    </row>
    <row r="324" spans="1:5" s="1724" customFormat="1">
      <c r="A324" s="2714"/>
      <c r="C324" s="2715"/>
      <c r="E324" s="2714"/>
    </row>
    <row r="325" spans="1:5" s="1724" customFormat="1">
      <c r="A325" s="2714"/>
      <c r="C325" s="2715"/>
      <c r="E325" s="2714"/>
    </row>
    <row r="326" spans="1:5" s="1724" customFormat="1">
      <c r="A326" s="2714"/>
      <c r="C326" s="2715"/>
      <c r="E326" s="2714"/>
    </row>
    <row r="327" spans="1:5" s="1724" customFormat="1">
      <c r="A327" s="2714"/>
      <c r="C327" s="2715"/>
      <c r="E327" s="2714"/>
    </row>
    <row r="328" spans="1:5" s="1724" customFormat="1">
      <c r="A328" s="2714"/>
      <c r="C328" s="2715"/>
      <c r="E328" s="2714"/>
    </row>
    <row r="329" spans="1:5" s="1724" customFormat="1">
      <c r="A329" s="2714"/>
      <c r="C329" s="2715"/>
      <c r="E329" s="2714"/>
    </row>
    <row r="330" spans="1:5" s="1724" customFormat="1">
      <c r="A330" s="2714"/>
      <c r="C330" s="2715"/>
      <c r="E330" s="2714"/>
    </row>
    <row r="331" spans="1:5" s="1724" customFormat="1">
      <c r="A331" s="2714"/>
      <c r="C331" s="2715"/>
      <c r="E331" s="2714"/>
    </row>
    <row r="332" spans="1:5" s="1724" customFormat="1">
      <c r="A332" s="2714"/>
      <c r="C332" s="2715"/>
      <c r="E332" s="2714"/>
    </row>
    <row r="333" spans="1:5" s="1724" customFormat="1">
      <c r="A333" s="2714"/>
      <c r="C333" s="2715"/>
      <c r="E333" s="2714"/>
    </row>
    <row r="334" spans="1:5" s="1724" customFormat="1">
      <c r="A334" s="2714"/>
      <c r="C334" s="2715"/>
      <c r="E334" s="2714"/>
    </row>
    <row r="335" spans="1:5" s="1724" customFormat="1">
      <c r="A335" s="2714"/>
      <c r="C335" s="2715"/>
      <c r="E335" s="2714"/>
    </row>
    <row r="336" spans="1:5" s="1724" customFormat="1">
      <c r="A336" s="2714"/>
      <c r="C336" s="2715"/>
      <c r="E336" s="2714"/>
    </row>
    <row r="337" spans="1:5" s="1724" customFormat="1">
      <c r="A337" s="2714"/>
      <c r="C337" s="2715"/>
      <c r="E337" s="2714"/>
    </row>
    <row r="338" spans="1:5" s="1724" customFormat="1">
      <c r="A338" s="2714"/>
      <c r="C338" s="2715"/>
      <c r="E338" s="2714"/>
    </row>
    <row r="339" spans="1:5" s="1724" customFormat="1">
      <c r="A339" s="2714"/>
      <c r="C339" s="2715"/>
      <c r="E339" s="2714"/>
    </row>
    <row r="340" spans="1:5" s="1724" customFormat="1">
      <c r="A340" s="2714"/>
      <c r="C340" s="2715"/>
      <c r="E340" s="2714"/>
    </row>
    <row r="341" spans="1:5" s="1724" customFormat="1">
      <c r="A341" s="2714"/>
      <c r="C341" s="2715"/>
      <c r="E341" s="2714"/>
    </row>
    <row r="342" spans="1:5" s="1724" customFormat="1">
      <c r="A342" s="2714"/>
      <c r="C342" s="2715"/>
      <c r="E342" s="2714"/>
    </row>
    <row r="343" spans="1:5" s="1724" customFormat="1">
      <c r="A343" s="2714"/>
      <c r="C343" s="2715"/>
      <c r="E343" s="2714"/>
    </row>
    <row r="344" spans="1:5" s="1724" customFormat="1">
      <c r="A344" s="2714"/>
      <c r="C344" s="2715"/>
      <c r="E344" s="2714"/>
    </row>
    <row r="345" spans="1:5" s="1724" customFormat="1">
      <c r="A345" s="2714"/>
      <c r="C345" s="2715"/>
      <c r="E345" s="2714"/>
    </row>
    <row r="346" spans="1:5" s="1724" customFormat="1">
      <c r="A346" s="2714"/>
      <c r="C346" s="2715"/>
      <c r="E346" s="2714"/>
    </row>
    <row r="347" spans="1:5" s="1724" customFormat="1">
      <c r="A347" s="2714"/>
      <c r="C347" s="2715"/>
      <c r="E347" s="2714"/>
    </row>
    <row r="348" spans="1:5" s="1724" customFormat="1">
      <c r="A348" s="2714"/>
      <c r="C348" s="2715"/>
      <c r="E348" s="2714"/>
    </row>
    <row r="349" spans="1:5" s="1724" customFormat="1">
      <c r="A349" s="2714"/>
      <c r="C349" s="2715"/>
      <c r="E349" s="2714"/>
    </row>
    <row r="350" spans="1:5" s="1724" customFormat="1">
      <c r="A350" s="2714"/>
      <c r="C350" s="2715"/>
      <c r="E350" s="2714"/>
    </row>
    <row r="351" spans="1:5" s="1724" customFormat="1">
      <c r="A351" s="2714"/>
      <c r="C351" s="2715"/>
      <c r="E351" s="2714"/>
    </row>
    <row r="352" spans="1:5" s="1724" customFormat="1">
      <c r="A352" s="2714"/>
      <c r="C352" s="2715"/>
      <c r="E352" s="2714"/>
    </row>
    <row r="353" spans="1:5" s="1724" customFormat="1">
      <c r="A353" s="2714"/>
      <c r="C353" s="2715"/>
      <c r="E353" s="2714"/>
    </row>
    <row r="354" spans="1:5" s="1724" customFormat="1">
      <c r="A354" s="2714"/>
      <c r="C354" s="2715"/>
      <c r="E354" s="2714"/>
    </row>
    <row r="355" spans="1:5" s="1724" customFormat="1">
      <c r="A355" s="2714"/>
      <c r="C355" s="2715"/>
      <c r="E355" s="2714"/>
    </row>
    <row r="356" spans="1:5" s="1724" customFormat="1">
      <c r="A356" s="2714"/>
      <c r="C356" s="2715"/>
      <c r="E356" s="2714"/>
    </row>
    <row r="357" spans="1:5" s="1724" customFormat="1">
      <c r="A357" s="2714"/>
      <c r="C357" s="2715"/>
      <c r="E357" s="2714"/>
    </row>
    <row r="358" spans="1:5" s="1724" customFormat="1">
      <c r="A358" s="2714"/>
      <c r="C358" s="2715"/>
      <c r="E358" s="2714"/>
    </row>
    <row r="359" spans="1:5" s="1724" customFormat="1">
      <c r="A359" s="2714"/>
      <c r="C359" s="2715"/>
      <c r="E359" s="2714"/>
    </row>
    <row r="360" spans="1:5" s="1724" customFormat="1">
      <c r="A360" s="2714"/>
      <c r="C360" s="2715"/>
      <c r="E360" s="2714"/>
    </row>
    <row r="361" spans="1:5" s="1724" customFormat="1">
      <c r="A361" s="2714"/>
      <c r="C361" s="2715"/>
      <c r="E361" s="2714"/>
    </row>
    <row r="362" spans="1:5" s="1724" customFormat="1">
      <c r="A362" s="2714"/>
      <c r="C362" s="2715"/>
      <c r="E362" s="2714"/>
    </row>
    <row r="363" spans="1:5" s="1724" customFormat="1">
      <c r="A363" s="2714"/>
      <c r="C363" s="2715"/>
      <c r="E363" s="2714"/>
    </row>
    <row r="364" spans="1:5" s="1724" customFormat="1">
      <c r="A364" s="2714"/>
      <c r="C364" s="2715"/>
      <c r="E364" s="2714"/>
    </row>
    <row r="365" spans="1:5" s="1724" customFormat="1">
      <c r="A365" s="2714"/>
      <c r="C365" s="2715"/>
      <c r="E365" s="2714"/>
    </row>
    <row r="366" spans="1:5" s="1724" customFormat="1">
      <c r="A366" s="2714"/>
      <c r="C366" s="2715"/>
      <c r="E366" s="2714"/>
    </row>
    <row r="367" spans="1:5" s="1724" customFormat="1">
      <c r="A367" s="2714"/>
      <c r="C367" s="2715"/>
      <c r="E367" s="2714"/>
    </row>
    <row r="368" spans="1:5" s="1724" customFormat="1">
      <c r="A368" s="2714"/>
      <c r="C368" s="2715"/>
      <c r="E368" s="2714"/>
    </row>
    <row r="369" spans="1:5" s="1724" customFormat="1">
      <c r="A369" s="2714"/>
      <c r="C369" s="2715"/>
      <c r="E369" s="2714"/>
    </row>
    <row r="370" spans="1:5" s="1724" customFormat="1">
      <c r="A370" s="2714"/>
      <c r="C370" s="2715"/>
      <c r="E370" s="2714"/>
    </row>
    <row r="371" spans="1:5" s="1724" customFormat="1">
      <c r="A371" s="2714"/>
      <c r="C371" s="2715"/>
      <c r="E371" s="2714"/>
    </row>
    <row r="372" spans="1:5" s="1724" customFormat="1">
      <c r="A372" s="2714"/>
      <c r="C372" s="2715"/>
      <c r="E372" s="2714"/>
    </row>
    <row r="373" spans="1:5" s="1724" customFormat="1">
      <c r="A373" s="2714"/>
      <c r="C373" s="2715"/>
      <c r="E373" s="2714"/>
    </row>
    <row r="374" spans="1:5" s="1724" customFormat="1">
      <c r="A374" s="2714"/>
      <c r="C374" s="2715"/>
      <c r="E374" s="2714"/>
    </row>
    <row r="375" spans="1:5" s="1724" customFormat="1">
      <c r="A375" s="2714"/>
      <c r="C375" s="2715"/>
      <c r="E375" s="2714"/>
    </row>
    <row r="376" spans="1:5" s="1724" customFormat="1">
      <c r="A376" s="2714"/>
      <c r="C376" s="2715"/>
      <c r="E376" s="2714"/>
    </row>
    <row r="377" spans="1:5" s="1724" customFormat="1">
      <c r="A377" s="2714"/>
      <c r="C377" s="2715"/>
      <c r="E377" s="2714"/>
    </row>
    <row r="378" spans="1:5" s="1724" customFormat="1">
      <c r="A378" s="2714"/>
      <c r="C378" s="2715"/>
      <c r="E378" s="2714"/>
    </row>
    <row r="379" spans="1:5" s="1724" customFormat="1">
      <c r="A379" s="2714"/>
      <c r="C379" s="2715"/>
      <c r="E379" s="2714"/>
    </row>
    <row r="380" spans="1:5" s="1724" customFormat="1">
      <c r="A380" s="2714"/>
      <c r="C380" s="2715"/>
      <c r="E380" s="2714"/>
    </row>
    <row r="381" spans="1:5" s="1724" customFormat="1">
      <c r="A381" s="2714"/>
      <c r="C381" s="2715"/>
      <c r="E381" s="2714"/>
    </row>
    <row r="382" spans="1:5" s="1724" customFormat="1">
      <c r="A382" s="2714"/>
      <c r="C382" s="2715"/>
      <c r="E382" s="2714"/>
    </row>
    <row r="383" spans="1:5" s="1724" customFormat="1">
      <c r="A383" s="2714"/>
      <c r="C383" s="2715"/>
      <c r="E383" s="2714"/>
    </row>
    <row r="384" spans="1:5" s="1724" customFormat="1">
      <c r="A384" s="2714"/>
      <c r="C384" s="2715"/>
      <c r="E384" s="2714"/>
    </row>
    <row r="385" spans="1:5" s="1724" customFormat="1">
      <c r="A385" s="2714"/>
      <c r="C385" s="2715"/>
      <c r="E385" s="2714"/>
    </row>
    <row r="386" spans="1:5" s="1724" customFormat="1">
      <c r="A386" s="2714"/>
      <c r="C386" s="2715"/>
      <c r="E386" s="2714"/>
    </row>
    <row r="387" spans="1:5" s="1724" customFormat="1">
      <c r="A387" s="2714"/>
      <c r="C387" s="2715"/>
      <c r="E387" s="2714"/>
    </row>
    <row r="388" spans="1:5" s="1724" customFormat="1">
      <c r="A388" s="2714"/>
      <c r="C388" s="2715"/>
      <c r="E388" s="2714"/>
    </row>
    <row r="389" spans="1:5" s="1724" customFormat="1">
      <c r="A389" s="2714"/>
      <c r="C389" s="2715"/>
      <c r="E389" s="2714"/>
    </row>
    <row r="390" spans="1:5" s="1724" customFormat="1">
      <c r="A390" s="2714"/>
      <c r="C390" s="2715"/>
      <c r="E390" s="2714"/>
    </row>
    <row r="391" spans="1:5" s="1724" customFormat="1">
      <c r="A391" s="2714"/>
      <c r="C391" s="2715"/>
      <c r="E391" s="2714"/>
    </row>
    <row r="392" spans="1:5" s="1724" customFormat="1">
      <c r="A392" s="2714"/>
      <c r="C392" s="2715"/>
      <c r="E392" s="2714"/>
    </row>
    <row r="393" spans="1:5" s="1724" customFormat="1">
      <c r="A393" s="2714"/>
      <c r="C393" s="2715"/>
      <c r="E393" s="2714"/>
    </row>
    <row r="394" spans="1:5" s="1724" customFormat="1">
      <c r="A394" s="2714"/>
      <c r="C394" s="2715"/>
      <c r="E394" s="2714"/>
    </row>
    <row r="395" spans="1:5" s="1724" customFormat="1">
      <c r="A395" s="2714"/>
      <c r="C395" s="2715"/>
      <c r="E395" s="2714"/>
    </row>
    <row r="396" spans="1:5" s="1724" customFormat="1">
      <c r="A396" s="2714"/>
      <c r="C396" s="2715"/>
      <c r="E396" s="2714"/>
    </row>
    <row r="397" spans="1:5" s="1724" customFormat="1">
      <c r="A397" s="2714"/>
      <c r="C397" s="2715"/>
      <c r="E397" s="2714"/>
    </row>
    <row r="398" spans="1:5" s="1724" customFormat="1">
      <c r="A398" s="2714"/>
      <c r="C398" s="2715"/>
      <c r="E398" s="2714"/>
    </row>
    <row r="399" spans="1:5" s="1724" customFormat="1">
      <c r="A399" s="2714"/>
      <c r="C399" s="2715"/>
      <c r="E399" s="2714"/>
    </row>
    <row r="400" spans="1:5" s="1724" customFormat="1">
      <c r="A400" s="2714"/>
      <c r="C400" s="2715"/>
      <c r="E400" s="2714"/>
    </row>
    <row r="401" spans="1:5" s="1724" customFormat="1">
      <c r="A401" s="2714"/>
      <c r="C401" s="2715"/>
      <c r="E401" s="2714"/>
    </row>
    <row r="402" spans="1:5" s="1724" customFormat="1">
      <c r="A402" s="2714"/>
      <c r="C402" s="2715"/>
      <c r="E402" s="2714"/>
    </row>
    <row r="403" spans="1:5" s="1724" customFormat="1">
      <c r="A403" s="2714"/>
      <c r="C403" s="2715"/>
      <c r="E403" s="2714"/>
    </row>
    <row r="404" spans="1:5" s="1724" customFormat="1">
      <c r="A404" s="2714"/>
      <c r="C404" s="2715"/>
      <c r="E404" s="2714"/>
    </row>
    <row r="405" spans="1:5" s="1724" customFormat="1">
      <c r="A405" s="2714"/>
      <c r="C405" s="2715"/>
      <c r="E405" s="2714"/>
    </row>
    <row r="406" spans="1:5" s="1724" customFormat="1">
      <c r="A406" s="2714"/>
      <c r="C406" s="2715"/>
      <c r="E406" s="2714"/>
    </row>
    <row r="407" spans="1:5" s="1724" customFormat="1">
      <c r="A407" s="2714"/>
      <c r="C407" s="2715"/>
      <c r="E407" s="2714"/>
    </row>
    <row r="408" spans="1:5" s="1724" customFormat="1">
      <c r="A408" s="2714"/>
      <c r="C408" s="2715"/>
      <c r="E408" s="2714"/>
    </row>
    <row r="409" spans="1:5" s="1724" customFormat="1">
      <c r="A409" s="2714"/>
      <c r="C409" s="2715"/>
      <c r="E409" s="2714"/>
    </row>
    <row r="410" spans="1:5" s="1724" customFormat="1">
      <c r="A410" s="2714"/>
      <c r="C410" s="2715"/>
      <c r="E410" s="2714"/>
    </row>
    <row r="411" spans="1:5" s="1724" customFormat="1">
      <c r="A411" s="2714"/>
      <c r="C411" s="2715"/>
      <c r="E411" s="2714"/>
    </row>
    <row r="412" spans="1:5" s="1724" customFormat="1">
      <c r="A412" s="2714"/>
      <c r="C412" s="2715"/>
      <c r="E412" s="2714"/>
    </row>
    <row r="413" spans="1:5" s="1724" customFormat="1">
      <c r="A413" s="2714"/>
      <c r="C413" s="2715"/>
      <c r="E413" s="2714"/>
    </row>
    <row r="414" spans="1:5" s="1724" customFormat="1">
      <c r="A414" s="2714"/>
      <c r="C414" s="2715"/>
      <c r="E414" s="2714"/>
    </row>
    <row r="415" spans="1:5" s="1724" customFormat="1">
      <c r="A415" s="2714"/>
      <c r="C415" s="2715"/>
      <c r="E415" s="2714"/>
    </row>
    <row r="416" spans="1:5" s="1724" customFormat="1">
      <c r="A416" s="2714"/>
      <c r="C416" s="2715"/>
      <c r="E416" s="2714"/>
    </row>
    <row r="417" spans="1:5" s="1724" customFormat="1">
      <c r="A417" s="2714"/>
      <c r="C417" s="2715"/>
      <c r="E417" s="2714"/>
    </row>
    <row r="418" spans="1:5" s="1724" customFormat="1">
      <c r="A418" s="2714"/>
      <c r="C418" s="2715"/>
      <c r="E418" s="2714"/>
    </row>
    <row r="419" spans="1:5" s="1724" customFormat="1">
      <c r="A419" s="2714"/>
      <c r="C419" s="2715"/>
      <c r="E419" s="2714"/>
    </row>
    <row r="420" spans="1:5" s="1724" customFormat="1">
      <c r="A420" s="2714"/>
      <c r="C420" s="2715"/>
      <c r="E420" s="2714"/>
    </row>
    <row r="421" spans="1:5" s="1724" customFormat="1">
      <c r="A421" s="2714"/>
      <c r="C421" s="2715"/>
      <c r="E421" s="2714"/>
    </row>
    <row r="422" spans="1:5" s="1724" customFormat="1">
      <c r="A422" s="2714"/>
      <c r="C422" s="2715"/>
      <c r="E422" s="2714"/>
    </row>
    <row r="423" spans="1:5" s="1724" customFormat="1">
      <c r="A423" s="2714"/>
      <c r="C423" s="2715"/>
      <c r="E423" s="2714"/>
    </row>
    <row r="424" spans="1:5" s="1724" customFormat="1">
      <c r="A424" s="2714"/>
      <c r="C424" s="2715"/>
      <c r="E424" s="2714"/>
    </row>
    <row r="425" spans="1:5" s="1724" customFormat="1">
      <c r="A425" s="2714"/>
      <c r="C425" s="2715"/>
      <c r="E425" s="2714"/>
    </row>
    <row r="426" spans="1:5" s="1724" customFormat="1">
      <c r="A426" s="2714"/>
      <c r="C426" s="2715"/>
      <c r="E426" s="2714"/>
    </row>
    <row r="427" spans="1:5" s="1724" customFormat="1">
      <c r="A427" s="2714"/>
      <c r="C427" s="2715"/>
      <c r="E427" s="2714"/>
    </row>
    <row r="428" spans="1:5" s="1724" customFormat="1">
      <c r="A428" s="2714"/>
      <c r="C428" s="2715"/>
      <c r="E428" s="2714"/>
    </row>
    <row r="429" spans="1:5" s="1724" customFormat="1">
      <c r="A429" s="2714"/>
      <c r="C429" s="2715"/>
      <c r="E429" s="2714"/>
    </row>
    <row r="430" spans="1:5" s="1724" customFormat="1">
      <c r="A430" s="2714"/>
      <c r="C430" s="2715"/>
      <c r="E430" s="2714"/>
    </row>
    <row r="431" spans="1:5" s="1724" customFormat="1">
      <c r="A431" s="2714"/>
      <c r="C431" s="2715"/>
      <c r="E431" s="2714"/>
    </row>
    <row r="432" spans="1:5" s="1724" customFormat="1">
      <c r="A432" s="2714"/>
      <c r="C432" s="2715"/>
      <c r="E432" s="2714"/>
    </row>
    <row r="433" spans="1:5" s="1724" customFormat="1">
      <c r="A433" s="2714"/>
      <c r="C433" s="2715"/>
      <c r="E433" s="2714"/>
    </row>
    <row r="434" spans="1:5" s="1724" customFormat="1">
      <c r="A434" s="2714"/>
      <c r="C434" s="2715"/>
      <c r="E434" s="2714"/>
    </row>
    <row r="435" spans="1:5" s="1724" customFormat="1">
      <c r="A435" s="2714"/>
      <c r="C435" s="2715"/>
      <c r="E435" s="2714"/>
    </row>
    <row r="436" spans="1:5" s="1724" customFormat="1">
      <c r="A436" s="2714"/>
      <c r="C436" s="2715"/>
      <c r="E436" s="2714"/>
    </row>
    <row r="437" spans="1:5" s="1724" customFormat="1">
      <c r="A437" s="2714"/>
      <c r="C437" s="2715"/>
      <c r="E437" s="2714"/>
    </row>
    <row r="438" spans="1:5" s="1724" customFormat="1">
      <c r="A438" s="2714"/>
      <c r="C438" s="2715"/>
      <c r="E438" s="2714"/>
    </row>
    <row r="439" spans="1:5" s="1724" customFormat="1">
      <c r="A439" s="2714"/>
      <c r="C439" s="2715"/>
      <c r="E439" s="2714"/>
    </row>
    <row r="440" spans="1:5" s="1724" customFormat="1">
      <c r="A440" s="2714"/>
      <c r="C440" s="2715"/>
      <c r="E440" s="2714"/>
    </row>
    <row r="441" spans="1:5" s="1724" customFormat="1">
      <c r="A441" s="2714"/>
      <c r="C441" s="2715"/>
      <c r="E441" s="2714"/>
    </row>
    <row r="442" spans="1:5" s="1724" customFormat="1">
      <c r="A442" s="2714"/>
      <c r="C442" s="2715"/>
      <c r="E442" s="2714"/>
    </row>
    <row r="443" spans="1:5" s="1724" customFormat="1">
      <c r="A443" s="2714"/>
      <c r="C443" s="2715"/>
      <c r="E443" s="2714"/>
    </row>
    <row r="444" spans="1:5" s="1724" customFormat="1">
      <c r="A444" s="2714"/>
      <c r="C444" s="2715"/>
      <c r="E444" s="2714"/>
    </row>
    <row r="445" spans="1:5" s="1724" customFormat="1">
      <c r="A445" s="2714"/>
      <c r="C445" s="2715"/>
      <c r="E445" s="2714"/>
    </row>
    <row r="446" spans="1:5" s="1724" customFormat="1">
      <c r="A446" s="2714"/>
      <c r="C446" s="2715"/>
      <c r="E446" s="2714"/>
    </row>
    <row r="447" spans="1:5" s="1724" customFormat="1">
      <c r="A447" s="2714"/>
      <c r="C447" s="2715"/>
      <c r="E447" s="2714"/>
    </row>
    <row r="448" spans="1:5" s="1724" customFormat="1">
      <c r="A448" s="2714"/>
      <c r="C448" s="2715"/>
      <c r="E448" s="2714"/>
    </row>
    <row r="449" spans="1:5" s="1724" customFormat="1">
      <c r="A449" s="2714"/>
      <c r="C449" s="2715"/>
      <c r="E449" s="2714"/>
    </row>
    <row r="450" spans="1:5" s="1724" customFormat="1">
      <c r="A450" s="2714"/>
      <c r="C450" s="2715"/>
      <c r="E450" s="2714"/>
    </row>
    <row r="451" spans="1:5" s="1724" customFormat="1">
      <c r="A451" s="2714"/>
      <c r="C451" s="2715"/>
      <c r="E451" s="2714"/>
    </row>
    <row r="452" spans="1:5" s="1724" customFormat="1">
      <c r="A452" s="2714"/>
      <c r="C452" s="2715"/>
      <c r="E452" s="2714"/>
    </row>
    <row r="453" spans="1:5" s="1724" customFormat="1">
      <c r="A453" s="2714"/>
      <c r="C453" s="2715"/>
      <c r="E453" s="2714"/>
    </row>
    <row r="454" spans="1:5" s="1724" customFormat="1">
      <c r="A454" s="2714"/>
      <c r="C454" s="2715"/>
      <c r="E454" s="2714"/>
    </row>
    <row r="455" spans="1:5" s="1724" customFormat="1">
      <c r="A455" s="2714"/>
      <c r="C455" s="2715"/>
      <c r="E455" s="2714"/>
    </row>
    <row r="456" spans="1:5" s="1724" customFormat="1">
      <c r="A456" s="2714"/>
      <c r="C456" s="2715"/>
      <c r="E456" s="2714"/>
    </row>
    <row r="457" spans="1:5" s="1724" customFormat="1">
      <c r="A457" s="2714"/>
      <c r="C457" s="2715"/>
      <c r="E457" s="2714"/>
    </row>
    <row r="458" spans="1:5" s="1724" customFormat="1">
      <c r="A458" s="2714"/>
      <c r="C458" s="2715"/>
      <c r="E458" s="2714"/>
    </row>
    <row r="459" spans="1:5" s="1724" customFormat="1">
      <c r="A459" s="2714"/>
      <c r="C459" s="2715"/>
      <c r="E459" s="2714"/>
    </row>
    <row r="460" spans="1:5" s="1724" customFormat="1">
      <c r="A460" s="2714"/>
      <c r="C460" s="2715"/>
      <c r="E460" s="2714"/>
    </row>
    <row r="461" spans="1:5" s="1724" customFormat="1">
      <c r="A461" s="2714"/>
      <c r="C461" s="2715"/>
      <c r="E461" s="2714"/>
    </row>
    <row r="462" spans="1:5" s="1724" customFormat="1">
      <c r="A462" s="2714"/>
      <c r="C462" s="2715"/>
      <c r="E462" s="2714"/>
    </row>
    <row r="463" spans="1:5" s="1724" customFormat="1">
      <c r="A463" s="2714"/>
      <c r="C463" s="2715"/>
      <c r="E463" s="2714"/>
    </row>
    <row r="464" spans="1:5" s="1724" customFormat="1">
      <c r="A464" s="2714"/>
      <c r="C464" s="2715"/>
      <c r="E464" s="2714"/>
    </row>
    <row r="465" spans="1:5" s="1724" customFormat="1">
      <c r="A465" s="2714"/>
      <c r="C465" s="2715"/>
      <c r="E465" s="2714"/>
    </row>
    <row r="466" spans="1:5" s="1724" customFormat="1">
      <c r="A466" s="2714"/>
      <c r="C466" s="2715"/>
      <c r="E466" s="2714"/>
    </row>
    <row r="467" spans="1:5" s="1724" customFormat="1">
      <c r="A467" s="2714"/>
      <c r="C467" s="2715"/>
      <c r="E467" s="2714"/>
    </row>
    <row r="468" spans="1:5" s="1724" customFormat="1">
      <c r="A468" s="2714"/>
      <c r="C468" s="2715"/>
      <c r="E468" s="2714"/>
    </row>
    <row r="469" spans="1:5" s="1724" customFormat="1">
      <c r="A469" s="2714"/>
      <c r="C469" s="2715"/>
      <c r="E469" s="2714"/>
    </row>
    <row r="470" spans="1:5" s="1724" customFormat="1">
      <c r="A470" s="2714"/>
      <c r="C470" s="2715"/>
      <c r="E470" s="2714"/>
    </row>
    <row r="471" spans="1:5" s="1724" customFormat="1">
      <c r="A471" s="2714"/>
      <c r="C471" s="2715"/>
      <c r="E471" s="2714"/>
    </row>
    <row r="472" spans="1:5" s="1724" customFormat="1">
      <c r="A472" s="2714"/>
      <c r="C472" s="2715"/>
      <c r="E472" s="2714"/>
    </row>
    <row r="473" spans="1:5" s="1724" customFormat="1">
      <c r="A473" s="2714"/>
      <c r="C473" s="2715"/>
      <c r="E473" s="2714"/>
    </row>
    <row r="474" spans="1:5" s="1724" customFormat="1">
      <c r="A474" s="2714"/>
      <c r="C474" s="2715"/>
      <c r="E474" s="2714"/>
    </row>
    <row r="475" spans="1:5" s="1724" customFormat="1">
      <c r="A475" s="2714"/>
      <c r="C475" s="2715"/>
      <c r="E475" s="2714"/>
    </row>
    <row r="476" spans="1:5" s="1724" customFormat="1">
      <c r="A476" s="2714"/>
      <c r="C476" s="2715"/>
      <c r="E476" s="2714"/>
    </row>
    <row r="477" spans="1:5" s="1724" customFormat="1">
      <c r="A477" s="2714"/>
      <c r="C477" s="2715"/>
      <c r="E477" s="2714"/>
    </row>
    <row r="478" spans="1:5" s="1724" customFormat="1">
      <c r="A478" s="2714"/>
      <c r="C478" s="2715"/>
      <c r="E478" s="2714"/>
    </row>
    <row r="479" spans="1:5" s="1724" customFormat="1">
      <c r="A479" s="2714"/>
      <c r="C479" s="2715"/>
      <c r="E479" s="2714"/>
    </row>
    <row r="480" spans="1:5" s="1724" customFormat="1">
      <c r="A480" s="2714"/>
      <c r="C480" s="2715"/>
      <c r="E480" s="2714"/>
    </row>
    <row r="481" spans="1:5" s="1724" customFormat="1">
      <c r="A481" s="2714"/>
      <c r="C481" s="2715"/>
      <c r="E481" s="2714"/>
    </row>
    <row r="482" spans="1:5" s="1724" customFormat="1">
      <c r="A482" s="2714"/>
      <c r="C482" s="2715"/>
      <c r="E482" s="2714"/>
    </row>
    <row r="483" spans="1:5" s="1724" customFormat="1">
      <c r="A483" s="2714"/>
      <c r="C483" s="2715"/>
      <c r="E483" s="2714"/>
    </row>
    <row r="484" spans="1:5" s="1724" customFormat="1">
      <c r="A484" s="2714"/>
      <c r="C484" s="2715"/>
      <c r="E484" s="2714"/>
    </row>
    <row r="485" spans="1:5" s="1724" customFormat="1">
      <c r="A485" s="2714"/>
      <c r="C485" s="2715"/>
      <c r="E485" s="2714"/>
    </row>
    <row r="486" spans="1:5" s="1724" customFormat="1">
      <c r="A486" s="2714"/>
      <c r="C486" s="2715"/>
      <c r="E486" s="2714"/>
    </row>
    <row r="487" spans="1:5" s="1724" customFormat="1">
      <c r="A487" s="2714"/>
      <c r="C487" s="2715"/>
      <c r="E487" s="2714"/>
    </row>
    <row r="488" spans="1:5" s="1724" customFormat="1">
      <c r="A488" s="2714"/>
      <c r="C488" s="2715"/>
      <c r="E488" s="2714"/>
    </row>
    <row r="489" spans="1:5" s="1724" customFormat="1">
      <c r="A489" s="2714"/>
      <c r="C489" s="2715"/>
      <c r="E489" s="2714"/>
    </row>
    <row r="490" spans="1:5" s="1724" customFormat="1">
      <c r="A490" s="2714"/>
      <c r="C490" s="2715"/>
      <c r="E490" s="2714"/>
    </row>
  </sheetData>
  <sheetProtection password="CEE9" sheet="1" objects="1" scenarios="1" formatCells="0" formatColumns="0" formatRows="0"/>
  <phoneticPr fontId="15" type="noConversion"/>
  <dataValidations disablePrompts="1"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c r="C1" s="1713"/>
      <c r="D1" s="1713"/>
      <c r="E1" s="1713"/>
      <c r="F1" s="1713"/>
      <c r="G1" s="1713"/>
      <c r="H1" s="1713"/>
      <c r="I1" s="1713"/>
      <c r="J1" s="1713"/>
      <c r="K1" s="392">
        <f>MATCH(B1,'数据-取费表'!A6:A16,0)+5</f>
        <v>8</v>
      </c>
      <c r="L1" s="237"/>
      <c r="M1" s="237"/>
      <c r="N1" s="237"/>
      <c r="O1" s="237"/>
      <c r="P1" s="237"/>
      <c r="Q1" s="237"/>
      <c r="R1" s="237"/>
      <c r="S1" s="237"/>
      <c r="T1" s="237"/>
      <c r="U1" s="237"/>
      <c r="V1" s="237"/>
      <c r="W1" s="237"/>
      <c r="X1" s="237"/>
      <c r="Y1" s="237"/>
      <c r="Z1" s="237"/>
    </row>
    <row r="2" spans="1:41" s="1655" customFormat="1" ht="18" customHeight="1">
      <c r="A2" s="393" t="s">
        <v>427</v>
      </c>
      <c r="B2" s="394">
        <f ca="1">C27</f>
        <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1933</v>
      </c>
      <c r="B6" s="403"/>
      <c r="C6" s="1346">
        <f>SUM(C10:K10)</f>
        <v>0</v>
      </c>
      <c r="D6" s="1718"/>
      <c r="E6" s="1718"/>
      <c r="F6" s="1718"/>
      <c r="G6" s="1718"/>
      <c r="H6" s="1718"/>
      <c r="I6" s="1718"/>
      <c r="J6" s="1718"/>
      <c r="K6" s="1719"/>
      <c r="L6" s="2706"/>
      <c r="M6" s="2706"/>
      <c r="N6" s="2706"/>
      <c r="O6" s="2706"/>
      <c r="P6" s="2706"/>
      <c r="Q6" s="2706"/>
      <c r="R6" s="2706"/>
      <c r="S6" s="2706"/>
      <c r="T6" s="2706"/>
      <c r="U6" s="2706"/>
      <c r="V6" s="2706"/>
      <c r="W6" s="2706"/>
      <c r="X6" s="2706"/>
      <c r="Y6" s="2706"/>
      <c r="Z6" s="2706"/>
    </row>
    <row r="7" spans="1:41" s="1722" customFormat="1" ht="15">
      <c r="A7" s="404" t="s">
        <v>430</v>
      </c>
      <c r="B7" s="405" t="s">
        <v>431</v>
      </c>
      <c r="C7" s="2816"/>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6"/>
      <c r="M11" s="2706"/>
      <c r="N11" s="2706"/>
      <c r="O11" s="2706"/>
      <c r="P11" s="2706"/>
      <c r="Q11" s="2706"/>
      <c r="R11" s="2706"/>
      <c r="S11" s="2706"/>
      <c r="T11" s="2706"/>
      <c r="U11" s="2706"/>
      <c r="V11" s="2706"/>
      <c r="W11" s="2706"/>
      <c r="X11" s="2706"/>
      <c r="Y11" s="2706"/>
      <c r="Z11" s="2706"/>
    </row>
    <row r="12" spans="1:41" s="1696" customFormat="1" ht="13.5" customHeight="1">
      <c r="A12" s="404" t="s">
        <v>430</v>
      </c>
      <c r="B12" s="413" t="s">
        <v>431</v>
      </c>
      <c r="C12" s="414" t="s">
        <v>435</v>
      </c>
      <c r="D12" s="415" t="s">
        <v>436</v>
      </c>
      <c r="E12" s="415" t="s">
        <v>437</v>
      </c>
      <c r="F12" s="415" t="s">
        <v>438</v>
      </c>
      <c r="G12" s="413"/>
      <c r="H12" s="416"/>
      <c r="I12" s="416"/>
      <c r="J12" s="416"/>
      <c r="K12" s="417"/>
      <c r="L12" s="2707"/>
      <c r="M12" s="2707"/>
      <c r="N12" s="2707"/>
      <c r="O12" s="2707"/>
      <c r="P12" s="2707"/>
      <c r="Q12" s="2707"/>
      <c r="R12" s="2707"/>
      <c r="S12" s="2707"/>
      <c r="T12" s="2707"/>
      <c r="U12" s="2707"/>
      <c r="V12" s="2707"/>
      <c r="W12" s="2707"/>
      <c r="X12" s="2707"/>
      <c r="Y12" s="2707"/>
      <c r="Z12" s="2707"/>
    </row>
    <row r="13" spans="1:41" s="1725" customFormat="1" ht="13.5" customHeight="1">
      <c r="A13" s="1356" t="s">
        <v>1377</v>
      </c>
      <c r="B13" s="418" t="s">
        <v>439</v>
      </c>
      <c r="C13" s="419">
        <f ca="1">IF(B1="",'数据-取费表'!M16,INDIRECT("'数据-取费表'!M"&amp;$K$1)+INDIRECT("'数据-取费表'!t"&amp;$K$1))</f>
        <v>28808</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1440</v>
      </c>
      <c r="D14" s="420"/>
      <c r="E14" s="339"/>
      <c r="F14" s="425">
        <f>'数据-取费表'!B33</f>
        <v>0.05</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1152</v>
      </c>
      <c r="D15" s="420"/>
      <c r="E15" s="339"/>
      <c r="F15" s="425">
        <f>'数据-取费表'!B34</f>
        <v>0.05</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2001</v>
      </c>
      <c r="D16" s="420">
        <f ca="1">IF(B1="",'数据-汇总表'!E3,INDIRECT("'数据-取费表'!K"&amp;$K$1)+INDIRECT("'数据-取费表'!S"&amp;$K$1))</f>
        <v>100027.98000000001</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576</v>
      </c>
      <c r="D17" s="424"/>
      <c r="E17" s="423"/>
      <c r="F17" s="425">
        <f>'数据-取费表'!B36</f>
        <v>0.02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33977</v>
      </c>
      <c r="D18" s="430"/>
      <c r="E18" s="431"/>
      <c r="F18" s="431"/>
      <c r="G18" s="1130" t="s">
        <v>1783</v>
      </c>
      <c r="H18" s="416"/>
      <c r="I18" s="416"/>
      <c r="J18" s="416"/>
      <c r="K18" s="417"/>
      <c r="L18" s="2709"/>
      <c r="M18" s="2709"/>
      <c r="N18" s="2709"/>
      <c r="O18" s="2709"/>
      <c r="P18" s="2709"/>
      <c r="Q18" s="2709"/>
      <c r="R18" s="2709"/>
      <c r="S18" s="2709"/>
      <c r="T18" s="2709"/>
      <c r="U18" s="2709"/>
      <c r="V18" s="2709"/>
      <c r="W18" s="2709"/>
      <c r="X18" s="2709"/>
      <c r="Y18" s="2709"/>
      <c r="Z18" s="2709"/>
    </row>
    <row r="19" spans="1:26" s="1728" customFormat="1" ht="13.5" customHeight="1">
      <c r="A19" s="1357" t="s">
        <v>1383</v>
      </c>
      <c r="B19" s="428" t="s">
        <v>453</v>
      </c>
      <c r="C19" s="429">
        <f ca="1">ROUND(C18*F19,0)</f>
        <v>680</v>
      </c>
      <c r="D19" s="430"/>
      <c r="E19" s="431"/>
      <c r="F19" s="435">
        <f>'数据-取费表'!B37</f>
        <v>0.02</v>
      </c>
      <c r="G19" s="413" t="s">
        <v>463</v>
      </c>
      <c r="H19" s="416"/>
      <c r="I19" s="416"/>
      <c r="J19" s="416"/>
      <c r="K19" s="417"/>
      <c r="L19" s="2711"/>
      <c r="M19" s="2711"/>
      <c r="N19" s="2711"/>
      <c r="O19" s="2709"/>
      <c r="P19" s="2709"/>
      <c r="Q19" s="2709"/>
      <c r="R19" s="2709"/>
      <c r="S19" s="2709"/>
      <c r="T19" s="2709"/>
      <c r="U19" s="2709"/>
      <c r="V19" s="2709"/>
      <c r="W19" s="2709"/>
      <c r="X19" s="2709"/>
      <c r="Y19" s="2709"/>
      <c r="Z19" s="2709"/>
    </row>
    <row r="20" spans="1:26" s="1730" customFormat="1" ht="13.5" customHeight="1">
      <c r="A20" s="1357" t="s">
        <v>1384</v>
      </c>
      <c r="B20" s="430" t="s">
        <v>454</v>
      </c>
      <c r="C20" s="439">
        <f ca="1">ROUND(IF('数据-取费表'!B22&lt;=1,(C18+C19)*F20*'数据-取费表'!B20/2,(C18+C19)*(POWER((1+F20),'数据-取费表'!B20/2)-1)),0)</f>
        <v>1085</v>
      </c>
      <c r="D20" s="431">
        <f ca="1">ROUND(((1+F20)^'数据-取费表'!B20)-1,4)</f>
        <v>6.3600000000000004E-2</v>
      </c>
      <c r="E20" s="431"/>
      <c r="F20" s="440">
        <f ca="1">'数据-取费表'!B40</f>
        <v>3.1300000000000001E-2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7" t="s">
        <v>1800</v>
      </c>
      <c r="M20" s="2718"/>
      <c r="N20" s="2718"/>
      <c r="O20" s="2718"/>
      <c r="P20" s="2718"/>
      <c r="Q20" s="2711"/>
      <c r="R20" s="2711"/>
      <c r="S20" s="2711"/>
      <c r="T20" s="2711"/>
      <c r="U20" s="2711"/>
      <c r="V20" s="2711"/>
      <c r="W20" s="2711"/>
      <c r="X20" s="2711"/>
      <c r="Y20" s="2711"/>
      <c r="Z20" s="2711"/>
    </row>
    <row r="21" spans="1:26" s="1729" customFormat="1" ht="13.5" customHeight="1">
      <c r="A21" s="1357" t="s">
        <v>2283</v>
      </c>
      <c r="B21" s="2317" t="s">
        <v>2106</v>
      </c>
      <c r="C21" s="447">
        <f ca="1">ROUND((C18+C19)*F21,0)</f>
        <v>4159</v>
      </c>
      <c r="D21" s="2788"/>
      <c r="E21" s="431"/>
      <c r="F21" s="448">
        <f ca="1">IF(B1="",'数据-取费表'!Q16,INDIRECT("'数据-取费表'!q"&amp;$K$1))</f>
        <v>0.12</v>
      </c>
      <c r="G21" s="413"/>
      <c r="H21" s="416"/>
      <c r="I21" s="416"/>
      <c r="J21" s="416"/>
      <c r="K21" s="417"/>
      <c r="L21" s="2710"/>
      <c r="M21" s="2710"/>
      <c r="N21" s="2710"/>
      <c r="O21" s="2710"/>
      <c r="P21" s="2710"/>
      <c r="Q21" s="2710"/>
      <c r="R21" s="2710"/>
      <c r="S21" s="2710"/>
      <c r="T21" s="2710"/>
      <c r="U21" s="2710"/>
      <c r="V21" s="2710"/>
      <c r="W21" s="2710"/>
      <c r="X21" s="2710"/>
      <c r="Y21" s="2710"/>
      <c r="Z21" s="2710"/>
    </row>
    <row r="22" spans="1:26" s="1730" customFormat="1" ht="13.5" customHeight="1">
      <c r="A22" s="1357" t="s">
        <v>1388</v>
      </c>
      <c r="B22" s="445" t="s">
        <v>464</v>
      </c>
      <c r="C22" s="450"/>
      <c r="D22" s="450"/>
      <c r="E22" s="451"/>
      <c r="F22" s="2790">
        <f ca="1">IF(B1="",'数据-取费表'!N16,INDIRECT("'数据-取费表'!N"&amp;$K$1))</f>
        <v>0</v>
      </c>
      <c r="G22" s="413"/>
      <c r="H22" s="416"/>
      <c r="I22" s="416"/>
      <c r="J22" s="416"/>
      <c r="K22" s="417"/>
      <c r="L22" s="2711"/>
      <c r="M22" s="2711"/>
      <c r="N22" s="2711"/>
      <c r="O22" s="2711"/>
      <c r="P22" s="2711"/>
      <c r="Q22" s="2711"/>
      <c r="R22" s="2711"/>
      <c r="S22" s="2711"/>
      <c r="T22" s="2711"/>
      <c r="U22" s="2711"/>
      <c r="V22" s="2711"/>
      <c r="W22" s="2711"/>
      <c r="X22" s="2711"/>
      <c r="Y22" s="2711"/>
      <c r="Z22" s="2711"/>
    </row>
    <row r="23" spans="1:26" s="1730" customFormat="1" ht="13.5" customHeight="1" thickBot="1">
      <c r="A23" s="2791" t="s">
        <v>1389</v>
      </c>
      <c r="B23" s="2792" t="s">
        <v>2284</v>
      </c>
      <c r="C23" s="2793">
        <f ca="1">ROUND((C18+C19+C20+C21)*F22,0)</f>
        <v>0</v>
      </c>
      <c r="D23" s="2794"/>
      <c r="E23" s="2795"/>
      <c r="F23" s="452"/>
      <c r="G23" s="405"/>
      <c r="H23" s="2796"/>
      <c r="I23" s="2796"/>
      <c r="J23" s="2796"/>
      <c r="K23" s="2797"/>
      <c r="L23" s="2711"/>
      <c r="M23" s="2711"/>
      <c r="N23" s="2711"/>
      <c r="O23" s="2711"/>
      <c r="P23" s="2711"/>
      <c r="Q23" s="2711"/>
      <c r="R23" s="2711"/>
      <c r="S23" s="2711"/>
      <c r="T23" s="2711"/>
      <c r="U23" s="2711"/>
      <c r="V23" s="2711"/>
      <c r="W23" s="2711"/>
      <c r="X23" s="2711"/>
      <c r="Y23" s="2711"/>
      <c r="Z23" s="2711"/>
    </row>
    <row r="24" spans="1:26" s="1730" customFormat="1" ht="13.5" customHeight="1" thickBot="1">
      <c r="A24" s="3673" t="s">
        <v>1394</v>
      </c>
      <c r="B24" s="3674"/>
      <c r="C24" s="2798">
        <f>ROUND(C6*F24/(1+'数据-取费表'!B42),0)</f>
        <v>0</v>
      </c>
      <c r="D24" s="2799"/>
      <c r="E24" s="2800"/>
      <c r="F24" s="2801">
        <f>'数据-取费表'!B41</f>
        <v>5.6000000000000001E-2</v>
      </c>
      <c r="G24" s="2802"/>
      <c r="H24" s="2802"/>
      <c r="I24" s="2802"/>
      <c r="J24" s="2802"/>
      <c r="K24" s="2803"/>
      <c r="L24" s="2711"/>
      <c r="M24" s="2711"/>
      <c r="N24" s="2711"/>
      <c r="O24" s="2711"/>
      <c r="P24" s="2711"/>
      <c r="Q24" s="2711"/>
      <c r="R24" s="2711"/>
      <c r="S24" s="2711"/>
      <c r="T24" s="2711"/>
      <c r="U24" s="2711"/>
      <c r="V24" s="2711"/>
      <c r="W24" s="2711"/>
      <c r="X24" s="2711"/>
      <c r="Y24" s="2711"/>
      <c r="Z24" s="2711"/>
    </row>
    <row r="25" spans="1:26" s="1730" customFormat="1" ht="13.5" customHeight="1" thickBot="1">
      <c r="A25" s="3673" t="s">
        <v>2281</v>
      </c>
      <c r="B25" s="3674"/>
      <c r="C25" s="2798">
        <f>ROUND(C6*F25,0)</f>
        <v>0</v>
      </c>
      <c r="D25" s="2799"/>
      <c r="E25" s="2800"/>
      <c r="F25" s="2804">
        <f>'数据-取费表'!B38</f>
        <v>0.03</v>
      </c>
      <c r="G25" s="2805"/>
      <c r="H25" s="2802"/>
      <c r="I25" s="2802"/>
      <c r="J25" s="2802"/>
      <c r="K25" s="2803"/>
      <c r="L25" s="2711"/>
      <c r="M25" s="2711"/>
      <c r="N25" s="2711"/>
      <c r="O25" s="2711"/>
      <c r="P25" s="2711"/>
      <c r="Q25" s="2711"/>
      <c r="R25" s="2711"/>
      <c r="S25" s="2711"/>
      <c r="T25" s="2711"/>
      <c r="U25" s="2711"/>
      <c r="V25" s="2711"/>
      <c r="W25" s="2711"/>
      <c r="X25" s="2711"/>
      <c r="Y25" s="2711"/>
      <c r="Z25" s="2711"/>
    </row>
    <row r="26" spans="1:26" s="1735" customFormat="1" ht="13.5" customHeight="1" thickBot="1">
      <c r="A26" s="3673" t="s">
        <v>2282</v>
      </c>
      <c r="B26" s="3674"/>
      <c r="C26" s="2810"/>
      <c r="D26" s="2811"/>
      <c r="E26" s="2811"/>
      <c r="F26" s="2812">
        <f>'数据-取费表'!B48+'数据-取费表'!B49</f>
        <v>3.0499999999999999E-2</v>
      </c>
      <c r="G26" s="2813"/>
      <c r="H26" s="2813"/>
      <c r="I26" s="2813"/>
      <c r="J26" s="2814"/>
      <c r="K26" s="2815"/>
      <c r="L26" s="2716"/>
      <c r="M26" s="2716"/>
      <c r="N26" s="2716"/>
      <c r="O26" s="2716"/>
      <c r="P26" s="2716"/>
      <c r="Q26" s="2716"/>
      <c r="R26" s="2716"/>
      <c r="S26" s="2716"/>
      <c r="T26" s="2716"/>
      <c r="U26" s="2716"/>
      <c r="V26" s="2716"/>
      <c r="W26" s="2716"/>
      <c r="X26" s="2716"/>
      <c r="Y26" s="2716"/>
      <c r="Z26" s="2716"/>
    </row>
    <row r="27" spans="1:26" s="2789" customFormat="1" ht="13.5" customHeight="1" thickBot="1">
      <c r="A27" s="3675" t="s">
        <v>2280</v>
      </c>
      <c r="B27" s="3676"/>
      <c r="C27" s="2806">
        <f ca="1">(C6-C23-C24-C25)/((1+F26)*(1+D20+F21))</f>
        <v>0</v>
      </c>
      <c r="D27" s="2807"/>
      <c r="E27" s="2807"/>
      <c r="F27" s="2807"/>
      <c r="G27" s="2808" t="s">
        <v>2220</v>
      </c>
      <c r="H27" s="2807"/>
      <c r="I27" s="2807"/>
      <c r="J27" s="2807"/>
      <c r="K27" s="2809"/>
    </row>
    <row r="28" spans="1:26" s="1724" customFormat="1">
      <c r="A28" s="2714"/>
      <c r="C28" s="2715"/>
      <c r="E28" s="2714"/>
    </row>
    <row r="29" spans="1:26" s="1724" customFormat="1" ht="12.75" customHeight="1">
      <c r="A29" s="2714"/>
      <c r="C29" s="2715"/>
      <c r="E29" s="2714"/>
    </row>
    <row r="30" spans="1:26" s="1724" customFormat="1">
      <c r="A30" s="2714"/>
      <c r="C30" s="2715"/>
      <c r="E30" s="2714"/>
    </row>
    <row r="31" spans="1:26" s="1724" customFormat="1">
      <c r="A31" s="2714"/>
      <c r="C31" s="2715"/>
      <c r="E31" s="2714"/>
    </row>
    <row r="32" spans="1:26" s="1724" customFormat="1">
      <c r="A32" s="2714"/>
      <c r="C32" s="2715"/>
      <c r="E32" s="2714"/>
    </row>
    <row r="33" spans="1:5" s="1724" customFormat="1">
      <c r="A33" s="2714"/>
      <c r="C33" s="2715"/>
      <c r="E33" s="2714"/>
    </row>
    <row r="34" spans="1:5" s="1724" customFormat="1">
      <c r="A34" s="2714"/>
      <c r="C34" s="2715"/>
      <c r="E34" s="2714"/>
    </row>
    <row r="35" spans="1:5" s="1724" customFormat="1">
      <c r="A35" s="2714"/>
      <c r="C35" s="2715"/>
      <c r="E35" s="2714"/>
    </row>
    <row r="36" spans="1:5" s="1724" customFormat="1">
      <c r="A36" s="2714"/>
      <c r="C36" s="2715"/>
      <c r="E36" s="2714"/>
    </row>
    <row r="37" spans="1:5" s="1724" customFormat="1">
      <c r="A37" s="2714"/>
      <c r="C37" s="2715"/>
      <c r="E37" s="2714"/>
    </row>
    <row r="38" spans="1:5" s="1724" customFormat="1">
      <c r="A38" s="2714"/>
      <c r="C38" s="2715"/>
      <c r="E38" s="2714"/>
    </row>
    <row r="39" spans="1:5" s="1724" customFormat="1">
      <c r="A39" s="2714"/>
      <c r="C39" s="2715"/>
      <c r="E39" s="2714"/>
    </row>
    <row r="40" spans="1:5" s="1724" customFormat="1">
      <c r="A40" s="2714"/>
      <c r="C40" s="2715"/>
      <c r="E40" s="2714"/>
    </row>
    <row r="41" spans="1:5" s="1724" customFormat="1">
      <c r="A41" s="2714"/>
      <c r="C41" s="2715"/>
      <c r="E41" s="2714"/>
    </row>
    <row r="42" spans="1:5" s="1724" customFormat="1">
      <c r="A42" s="2714"/>
      <c r="C42" s="2715"/>
      <c r="E42" s="2714"/>
    </row>
    <row r="43" spans="1:5" s="1724" customFormat="1">
      <c r="A43" s="2714"/>
      <c r="C43" s="2715"/>
      <c r="E43" s="2714"/>
    </row>
    <row r="44" spans="1:5" s="1724" customFormat="1">
      <c r="A44" s="2714"/>
      <c r="C44" s="2715"/>
      <c r="E44" s="2714"/>
    </row>
    <row r="45" spans="1:5" s="1724" customFormat="1">
      <c r="A45" s="2714"/>
      <c r="C45" s="2715"/>
      <c r="E45" s="2714"/>
    </row>
    <row r="46" spans="1:5" s="1724" customFormat="1">
      <c r="A46" s="2714"/>
      <c r="C46" s="2715"/>
      <c r="E46" s="2714"/>
    </row>
    <row r="47" spans="1:5" s="1724" customFormat="1">
      <c r="A47" s="2714"/>
      <c r="C47" s="2715"/>
      <c r="E47" s="2714"/>
    </row>
    <row r="48" spans="1:5"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30"/>
      <c r="D2" s="2730"/>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9"/>
      <c r="D3" s="2729"/>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9"/>
      <c r="D4" s="2729"/>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2721"/>
      <c r="AC5" s="1675"/>
    </row>
    <row r="6" spans="1:29" ht="15">
      <c r="A6" s="463" t="s">
        <v>470</v>
      </c>
      <c r="B6" s="464"/>
      <c r="C6" s="3644" t="s">
        <v>471</v>
      </c>
      <c r="D6" s="3645"/>
      <c r="E6" s="3682" t="s">
        <v>472</v>
      </c>
      <c r="F6" s="3683"/>
      <c r="G6" s="3644" t="s">
        <v>473</v>
      </c>
      <c r="H6" s="3645"/>
      <c r="I6" s="3644" t="s">
        <v>474</v>
      </c>
      <c r="J6" s="3645"/>
      <c r="K6" s="465" t="s">
        <v>475</v>
      </c>
      <c r="L6" s="1742"/>
      <c r="M6" s="1743"/>
      <c r="N6" s="1743"/>
      <c r="O6" s="1743"/>
      <c r="P6" s="3646" t="s">
        <v>476</v>
      </c>
      <c r="Q6" s="3647"/>
      <c r="R6" s="3630" t="s">
        <v>472</v>
      </c>
      <c r="S6" s="3631"/>
      <c r="T6" s="3630" t="s">
        <v>473</v>
      </c>
      <c r="U6" s="3631"/>
      <c r="V6" s="3652" t="s">
        <v>474</v>
      </c>
      <c r="W6" s="3652"/>
      <c r="X6" s="1303"/>
      <c r="Y6" s="3630" t="s">
        <v>476</v>
      </c>
      <c r="Z6" s="3631"/>
      <c r="AA6" s="3625" t="s">
        <v>472</v>
      </c>
      <c r="AB6" s="3626" t="s">
        <v>473</v>
      </c>
      <c r="AC6" s="3625" t="s">
        <v>474</v>
      </c>
    </row>
    <row r="7" spans="1:29" ht="15">
      <c r="A7" s="466"/>
      <c r="B7" s="467"/>
      <c r="C7" s="3655" t="s">
        <v>2181</v>
      </c>
      <c r="D7" s="3656"/>
      <c r="E7" s="3684" t="s">
        <v>2182</v>
      </c>
      <c r="F7" s="3685"/>
      <c r="G7" s="3655" t="s">
        <v>2183</v>
      </c>
      <c r="H7" s="3656"/>
      <c r="I7" s="3655" t="s">
        <v>2184</v>
      </c>
      <c r="J7" s="3656"/>
      <c r="K7" s="465"/>
      <c r="L7" s="1742"/>
      <c r="M7" s="1743"/>
      <c r="N7" s="1743"/>
      <c r="O7" s="1743"/>
      <c r="P7" s="3648"/>
      <c r="Q7" s="3649"/>
      <c r="R7" s="3632"/>
      <c r="S7" s="3633"/>
      <c r="T7" s="3632"/>
      <c r="U7" s="3633"/>
      <c r="V7" s="3652"/>
      <c r="W7" s="3652"/>
      <c r="X7" s="1303"/>
      <c r="Y7" s="3632"/>
      <c r="Z7" s="3633"/>
      <c r="AA7" s="3626"/>
      <c r="AB7" s="3626"/>
      <c r="AC7" s="3626"/>
    </row>
    <row r="8" spans="1:29" ht="15.75" thickBot="1">
      <c r="A8" s="468"/>
      <c r="B8" s="469"/>
      <c r="C8" s="3653" t="s">
        <v>2185</v>
      </c>
      <c r="D8" s="3654"/>
      <c r="E8" s="3686" t="s">
        <v>2185</v>
      </c>
      <c r="F8" s="3687"/>
      <c r="G8" s="3653" t="s">
        <v>2185</v>
      </c>
      <c r="H8" s="3654"/>
      <c r="I8" s="3653" t="s">
        <v>2185</v>
      </c>
      <c r="J8" s="3654"/>
      <c r="K8" s="465" t="s">
        <v>477</v>
      </c>
      <c r="L8" s="1742"/>
      <c r="M8" s="1743"/>
      <c r="N8" s="1743"/>
      <c r="O8" s="1743"/>
      <c r="P8" s="3650"/>
      <c r="Q8" s="3651"/>
      <c r="R8" s="3632"/>
      <c r="S8" s="3633"/>
      <c r="T8" s="3634"/>
      <c r="U8" s="3635"/>
      <c r="V8" s="3652"/>
      <c r="W8" s="3652"/>
      <c r="X8" s="1303"/>
      <c r="Y8" s="3634"/>
      <c r="Z8" s="3635"/>
      <c r="AA8" s="3627"/>
      <c r="AB8" s="3627"/>
      <c r="AC8" s="3627"/>
    </row>
    <row r="9" spans="1:29" s="1060" customFormat="1" ht="15.75" thickBot="1">
      <c r="A9" s="2210"/>
      <c r="B9" s="2217" t="s">
        <v>478</v>
      </c>
      <c r="C9" s="470">
        <f>'数据-取费表'!B2</f>
        <v>46000</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28" t="s">
        <v>479</v>
      </c>
      <c r="Q9" s="3637"/>
      <c r="R9" s="1304" t="s">
        <v>5</v>
      </c>
      <c r="S9" s="1305">
        <f t="shared" ref="S9:S17" si="0">F9</f>
        <v>0</v>
      </c>
      <c r="T9" s="1304" t="s">
        <v>5</v>
      </c>
      <c r="U9" s="1305">
        <f t="shared" ref="U9:U17" si="1">H9</f>
        <v>0</v>
      </c>
      <c r="V9" s="1304" t="s">
        <v>5</v>
      </c>
      <c r="W9" s="1305">
        <f t="shared" ref="W9:W17" si="2">J9</f>
        <v>0</v>
      </c>
      <c r="X9" s="1306"/>
      <c r="Y9" s="3628" t="s">
        <v>479</v>
      </c>
      <c r="Z9" s="3629"/>
      <c r="AA9" s="997" t="e">
        <f>D9/F9</f>
        <v>#DIV/0!</v>
      </c>
      <c r="AB9" s="997" t="e">
        <f>D9/H9</f>
        <v>#DIV/0!</v>
      </c>
      <c r="AC9" s="997" t="e">
        <f>D9/J9</f>
        <v>#DIV/0!</v>
      </c>
    </row>
    <row r="10" spans="1:29" s="1060" customFormat="1" ht="15.7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28" t="s">
        <v>482</v>
      </c>
      <c r="Q10" s="3629"/>
      <c r="R10" s="1304" t="s">
        <v>5</v>
      </c>
      <c r="S10" s="1305">
        <f t="shared" si="0"/>
        <v>0</v>
      </c>
      <c r="T10" s="1304" t="s">
        <v>5</v>
      </c>
      <c r="U10" s="1305">
        <f t="shared" si="1"/>
        <v>0</v>
      </c>
      <c r="V10" s="1304" t="s">
        <v>5</v>
      </c>
      <c r="W10" s="1305">
        <f t="shared" si="2"/>
        <v>0</v>
      </c>
      <c r="X10" s="1306"/>
      <c r="Y10" s="3628" t="s">
        <v>482</v>
      </c>
      <c r="Z10" s="3629"/>
      <c r="AA10" s="997" t="e">
        <f t="shared" ref="AA10:AA42" si="3">D10/F10</f>
        <v>#DIV/0!</v>
      </c>
      <c r="AB10" s="997" t="e">
        <f t="shared" ref="AB10:AB42" si="4">D10/H10</f>
        <v>#DIV/0!</v>
      </c>
      <c r="AC10" s="997" t="e">
        <f t="shared" ref="AC10:AC42" si="5">D10/J10</f>
        <v>#DIV/0!</v>
      </c>
    </row>
    <row r="11" spans="1:29" s="1060" customFormat="1" ht="15">
      <c r="A11" s="2212"/>
      <c r="B11" s="2219" t="s">
        <v>2037</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636" t="s">
        <v>484</v>
      </c>
      <c r="Q11" s="818" t="str">
        <f t="shared" ref="Q11:Q17" si="6">B11</f>
        <v>用途</v>
      </c>
      <c r="R11" s="1304" t="s">
        <v>5</v>
      </c>
      <c r="S11" s="1305">
        <f t="shared" si="0"/>
        <v>100</v>
      </c>
      <c r="T11" s="1304" t="s">
        <v>5</v>
      </c>
      <c r="U11" s="1305">
        <f t="shared" si="1"/>
        <v>100</v>
      </c>
      <c r="V11" s="1304" t="s">
        <v>5</v>
      </c>
      <c r="W11" s="1305">
        <f t="shared" si="2"/>
        <v>100</v>
      </c>
      <c r="X11" s="1306"/>
      <c r="Y11" s="3587" t="s">
        <v>485</v>
      </c>
      <c r="Z11" s="997" t="str">
        <f t="shared" ref="Z11:Z17" si="7">Q11</f>
        <v>用途</v>
      </c>
      <c r="AA11" s="997">
        <f t="shared" si="3"/>
        <v>1</v>
      </c>
      <c r="AB11" s="997">
        <f t="shared" si="4"/>
        <v>1</v>
      </c>
      <c r="AC11" s="997">
        <f t="shared" si="5"/>
        <v>1</v>
      </c>
    </row>
    <row r="12" spans="1:29" s="1133" customFormat="1" ht="27">
      <c r="A12" s="2213"/>
      <c r="B12" s="2218" t="s">
        <v>2038</v>
      </c>
      <c r="C12" s="478"/>
      <c r="D12" s="235">
        <v>100</v>
      </c>
      <c r="E12" s="478"/>
      <c r="F12" s="235">
        <f>ROUND(100/'数据-取费表'!G16,0)</f>
        <v>107</v>
      </c>
      <c r="G12" s="478"/>
      <c r="H12" s="235">
        <f>ROUND(100/'数据-取费表'!G16,0)</f>
        <v>107</v>
      </c>
      <c r="I12" s="478"/>
      <c r="J12" s="235">
        <f>ROUND(100/'数据-取费表'!G16,0)</f>
        <v>107</v>
      </c>
      <c r="K12" s="481"/>
      <c r="L12" s="1746"/>
      <c r="M12" s="1779"/>
      <c r="N12" s="1779"/>
      <c r="O12" s="1747"/>
      <c r="P12" s="3636"/>
      <c r="Q12" s="818" t="str">
        <f t="shared" si="6"/>
        <v>土地使用年限（年）</v>
      </c>
      <c r="R12" s="1304" t="s">
        <v>5</v>
      </c>
      <c r="S12" s="1305">
        <f t="shared" si="0"/>
        <v>107</v>
      </c>
      <c r="T12" s="1304" t="s">
        <v>5</v>
      </c>
      <c r="U12" s="1305">
        <f t="shared" si="1"/>
        <v>107</v>
      </c>
      <c r="V12" s="1304" t="s">
        <v>5</v>
      </c>
      <c r="W12" s="1305">
        <f t="shared" si="2"/>
        <v>107</v>
      </c>
      <c r="X12" s="1306"/>
      <c r="Y12" s="3587"/>
      <c r="Z12" s="997" t="str">
        <f t="shared" si="7"/>
        <v>土地使用年限（年）</v>
      </c>
      <c r="AA12" s="997">
        <f t="shared" si="3"/>
        <v>0.93457943925233644</v>
      </c>
      <c r="AB12" s="997">
        <f t="shared" si="4"/>
        <v>0.93457943925233644</v>
      </c>
      <c r="AC12" s="997">
        <f t="shared" si="5"/>
        <v>0.93457943925233644</v>
      </c>
    </row>
    <row r="13" spans="1:29" ht="15">
      <c r="A13" s="2214"/>
      <c r="B13" s="2218" t="s">
        <v>2039</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636"/>
      <c r="Q13" s="818" t="str">
        <f t="shared" si="6"/>
        <v>容积率</v>
      </c>
      <c r="R13" s="1304" t="s">
        <v>5</v>
      </c>
      <c r="S13" s="1305" t="e">
        <f t="shared" si="0"/>
        <v>#N/A</v>
      </c>
      <c r="T13" s="1304" t="s">
        <v>5</v>
      </c>
      <c r="U13" s="1305" t="e">
        <f t="shared" si="1"/>
        <v>#N/A</v>
      </c>
      <c r="V13" s="1304" t="s">
        <v>5</v>
      </c>
      <c r="W13" s="1305" t="e">
        <f t="shared" si="2"/>
        <v>#N/A</v>
      </c>
      <c r="X13" s="1306"/>
      <c r="Y13" s="3587"/>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636"/>
      <c r="Q14" s="818">
        <f t="shared" si="6"/>
        <v>111</v>
      </c>
      <c r="R14" s="1304" t="s">
        <v>5</v>
      </c>
      <c r="S14" s="1305">
        <f t="shared" si="0"/>
        <v>100</v>
      </c>
      <c r="T14" s="1304" t="s">
        <v>5</v>
      </c>
      <c r="U14" s="1305">
        <f t="shared" si="1"/>
        <v>100</v>
      </c>
      <c r="V14" s="1304" t="s">
        <v>5</v>
      </c>
      <c r="W14" s="1305">
        <f t="shared" si="2"/>
        <v>100</v>
      </c>
      <c r="X14" s="1306"/>
      <c r="Y14" s="3587"/>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636"/>
      <c r="Q15" s="818">
        <f t="shared" si="6"/>
        <v>111</v>
      </c>
      <c r="R15" s="1304" t="s">
        <v>5</v>
      </c>
      <c r="S15" s="1305">
        <f t="shared" si="0"/>
        <v>100</v>
      </c>
      <c r="T15" s="1304" t="s">
        <v>5</v>
      </c>
      <c r="U15" s="1305">
        <f t="shared" si="1"/>
        <v>100</v>
      </c>
      <c r="V15" s="1304" t="s">
        <v>5</v>
      </c>
      <c r="W15" s="1305">
        <f t="shared" si="2"/>
        <v>100</v>
      </c>
      <c r="X15" s="1306"/>
      <c r="Y15" s="3587"/>
      <c r="Z15" s="997">
        <f t="shared" si="7"/>
        <v>111</v>
      </c>
      <c r="AA15" s="997">
        <f t="shared" si="3"/>
        <v>1</v>
      </c>
      <c r="AB15" s="997">
        <f t="shared" si="4"/>
        <v>1</v>
      </c>
      <c r="AC15" s="997">
        <f t="shared" si="5"/>
        <v>1</v>
      </c>
    </row>
    <row r="16" spans="1:29" ht="15.75"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636"/>
      <c r="Q16" s="818">
        <f t="shared" si="6"/>
        <v>111</v>
      </c>
      <c r="R16" s="1304" t="s">
        <v>5</v>
      </c>
      <c r="S16" s="1305">
        <f t="shared" si="0"/>
        <v>100</v>
      </c>
      <c r="T16" s="1304" t="s">
        <v>5</v>
      </c>
      <c r="U16" s="1305">
        <f t="shared" si="1"/>
        <v>100</v>
      </c>
      <c r="V16" s="1304" t="s">
        <v>5</v>
      </c>
      <c r="W16" s="1305">
        <f t="shared" si="2"/>
        <v>100</v>
      </c>
      <c r="X16" s="1306"/>
      <c r="Y16" s="3587"/>
      <c r="Z16" s="997">
        <f t="shared" si="7"/>
        <v>111</v>
      </c>
      <c r="AA16" s="997">
        <f t="shared" si="3"/>
        <v>1</v>
      </c>
      <c r="AB16" s="997">
        <f t="shared" si="4"/>
        <v>1</v>
      </c>
      <c r="AC16" s="997">
        <f t="shared" si="5"/>
        <v>1</v>
      </c>
    </row>
    <row r="17" spans="1:29" ht="15">
      <c r="A17" s="2208" t="s">
        <v>2035</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38" t="s">
        <v>489</v>
      </c>
      <c r="Q17" s="1307" t="str">
        <f t="shared" si="6"/>
        <v>产业集聚程度</v>
      </c>
      <c r="R17" s="1308" t="s">
        <v>5</v>
      </c>
      <c r="S17" s="1309">
        <f t="shared" si="0"/>
        <v>100</v>
      </c>
      <c r="T17" s="1308" t="s">
        <v>5</v>
      </c>
      <c r="U17" s="1309">
        <f t="shared" si="1"/>
        <v>100</v>
      </c>
      <c r="V17" s="1308" t="s">
        <v>5</v>
      </c>
      <c r="W17" s="1309">
        <f t="shared" si="2"/>
        <v>100</v>
      </c>
      <c r="X17" s="1303"/>
      <c r="Y17" s="3638"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39"/>
      <c r="Q18" s="1307"/>
      <c r="R18" s="1308"/>
      <c r="S18" s="1309"/>
      <c r="T18" s="1308"/>
      <c r="U18" s="1309"/>
      <c r="V18" s="1308"/>
      <c r="W18" s="1309"/>
      <c r="X18" s="1303"/>
      <c r="Y18" s="3639"/>
      <c r="Z18" s="1310"/>
      <c r="AA18" s="1310">
        <v>1</v>
      </c>
      <c r="AB18" s="1310">
        <v>1</v>
      </c>
      <c r="AC18" s="1310">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39"/>
      <c r="Q19" s="1307" t="str">
        <f>B19</f>
        <v>交通便捷度</v>
      </c>
      <c r="R19" s="1308" t="s">
        <v>5</v>
      </c>
      <c r="S19" s="1309">
        <f>F19</f>
        <v>100</v>
      </c>
      <c r="T19" s="1308" t="s">
        <v>5</v>
      </c>
      <c r="U19" s="1309">
        <f>H19</f>
        <v>100</v>
      </c>
      <c r="V19" s="1308" t="s">
        <v>5</v>
      </c>
      <c r="W19" s="1309">
        <f>J19</f>
        <v>100</v>
      </c>
      <c r="X19" s="1303"/>
      <c r="Y19" s="3639"/>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39"/>
      <c r="Q20" s="1307"/>
      <c r="R20" s="1308"/>
      <c r="S20" s="1309"/>
      <c r="T20" s="1308"/>
      <c r="U20" s="1309"/>
      <c r="V20" s="1308"/>
      <c r="W20" s="1309"/>
      <c r="X20" s="1303"/>
      <c r="Y20" s="3639"/>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39"/>
      <c r="Q21" s="1307" t="str">
        <f t="shared" ref="Q21:Q35" si="8">B21</f>
        <v>区域土地利用方向</v>
      </c>
      <c r="R21" s="1308" t="s">
        <v>5</v>
      </c>
      <c r="S21" s="1309">
        <f>F21</f>
        <v>100</v>
      </c>
      <c r="T21" s="1308" t="s">
        <v>5</v>
      </c>
      <c r="U21" s="1309">
        <f>H21</f>
        <v>100</v>
      </c>
      <c r="V21" s="1308" t="s">
        <v>5</v>
      </c>
      <c r="W21" s="1309">
        <f>J21</f>
        <v>100</v>
      </c>
      <c r="X21" s="1303"/>
      <c r="Y21" s="3639"/>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39"/>
      <c r="Q22" s="1307"/>
      <c r="R22" s="1308"/>
      <c r="S22" s="1309"/>
      <c r="T22" s="1308"/>
      <c r="U22" s="1309"/>
      <c r="V22" s="1308"/>
      <c r="W22" s="1309"/>
      <c r="X22" s="1303"/>
      <c r="Y22" s="3639"/>
      <c r="Z22" s="1310"/>
      <c r="AA22" s="1310"/>
      <c r="AB22" s="1310"/>
      <c r="AC22" s="1310"/>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39"/>
      <c r="Q23" s="1307" t="str">
        <f t="shared" si="8"/>
        <v>环境状况</v>
      </c>
      <c r="R23" s="1308" t="s">
        <v>5</v>
      </c>
      <c r="S23" s="1309">
        <f>F23</f>
        <v>100</v>
      </c>
      <c r="T23" s="1308" t="s">
        <v>5</v>
      </c>
      <c r="U23" s="1309">
        <f>H23</f>
        <v>100</v>
      </c>
      <c r="V23" s="1308" t="s">
        <v>5</v>
      </c>
      <c r="W23" s="1309">
        <f>J23</f>
        <v>100</v>
      </c>
      <c r="X23" s="1303"/>
      <c r="Y23" s="3639"/>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39"/>
      <c r="Q24" s="1307"/>
      <c r="R24" s="1308"/>
      <c r="S24" s="1309"/>
      <c r="T24" s="1308"/>
      <c r="U24" s="1309"/>
      <c r="V24" s="1308"/>
      <c r="W24" s="1309"/>
      <c r="X24" s="1303"/>
      <c r="Y24" s="3639"/>
      <c r="Z24" s="1310"/>
      <c r="AA24" s="1310">
        <v>1</v>
      </c>
      <c r="AB24" s="1310">
        <v>1</v>
      </c>
      <c r="AC24" s="1310">
        <v>1</v>
      </c>
    </row>
    <row r="25" spans="1:29" s="1060" customFormat="1" ht="15">
      <c r="A25" s="527"/>
      <c r="B25" s="2053"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39"/>
      <c r="Q25" s="818" t="str">
        <f t="shared" si="8"/>
        <v>公共配套设施</v>
      </c>
      <c r="R25" s="1304" t="s">
        <v>5</v>
      </c>
      <c r="S25" s="1305">
        <f>F25</f>
        <v>100</v>
      </c>
      <c r="T25" s="1304" t="s">
        <v>5</v>
      </c>
      <c r="U25" s="1305">
        <f>H25</f>
        <v>100</v>
      </c>
      <c r="V25" s="1304" t="s">
        <v>5</v>
      </c>
      <c r="W25" s="1305">
        <f>J25</f>
        <v>100</v>
      </c>
      <c r="X25" s="1306"/>
      <c r="Y25" s="3639"/>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39"/>
      <c r="Q26" s="818"/>
      <c r="R26" s="1304"/>
      <c r="S26" s="1305"/>
      <c r="T26" s="1304"/>
      <c r="U26" s="1305"/>
      <c r="V26" s="1304"/>
      <c r="W26" s="1305"/>
      <c r="X26" s="1306"/>
      <c r="Y26" s="3639"/>
      <c r="Z26" s="997"/>
      <c r="AA26" s="997">
        <v>1</v>
      </c>
      <c r="AB26" s="997">
        <v>1</v>
      </c>
      <c r="AC26" s="997">
        <v>1</v>
      </c>
    </row>
    <row r="27" spans="1:29" s="1060" customFormat="1" ht="15">
      <c r="A27" s="527"/>
      <c r="B27" s="2053"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39"/>
      <c r="Q27" s="818" t="str">
        <f>B27</f>
        <v>基础设施水平</v>
      </c>
      <c r="R27" s="1304" t="s">
        <v>5</v>
      </c>
      <c r="S27" s="1305">
        <f>F27</f>
        <v>100</v>
      </c>
      <c r="T27" s="1304" t="s">
        <v>5</v>
      </c>
      <c r="U27" s="1305">
        <f>H27</f>
        <v>100</v>
      </c>
      <c r="V27" s="1304" t="s">
        <v>5</v>
      </c>
      <c r="W27" s="1305">
        <f>J27</f>
        <v>100</v>
      </c>
      <c r="X27" s="1306"/>
      <c r="Y27" s="3639"/>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39"/>
      <c r="Q28" s="818"/>
      <c r="R28" s="1304"/>
      <c r="S28" s="1305"/>
      <c r="T28" s="1304"/>
      <c r="U28" s="1305"/>
      <c r="V28" s="1304"/>
      <c r="W28" s="1305"/>
      <c r="X28" s="1306"/>
      <c r="Y28" s="3639"/>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39"/>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39"/>
      <c r="Z29" s="1310" t="str">
        <f t="shared" ref="Z29:Z42" si="12">Q29</f>
        <v>临街状况</v>
      </c>
      <c r="AA29" s="1310">
        <f t="shared" si="3"/>
        <v>1</v>
      </c>
      <c r="AB29" s="1310">
        <f t="shared" si="4"/>
        <v>1</v>
      </c>
      <c r="AC29" s="1310">
        <f t="shared" si="5"/>
        <v>1</v>
      </c>
    </row>
    <row r="30" spans="1:29" ht="27">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39"/>
      <c r="Q30" s="1307" t="str">
        <f t="shared" si="8"/>
        <v>毗邻道路的类型与等级</v>
      </c>
      <c r="R30" s="1308" t="s">
        <v>5</v>
      </c>
      <c r="S30" s="1309">
        <f t="shared" si="9"/>
        <v>100</v>
      </c>
      <c r="T30" s="1308" t="s">
        <v>5</v>
      </c>
      <c r="U30" s="1309">
        <f t="shared" si="10"/>
        <v>100</v>
      </c>
      <c r="V30" s="1308" t="s">
        <v>5</v>
      </c>
      <c r="W30" s="1309">
        <f t="shared" si="11"/>
        <v>100</v>
      </c>
      <c r="X30" s="1303"/>
      <c r="Y30" s="3639"/>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39"/>
      <c r="Q31" s="1307"/>
      <c r="R31" s="1308"/>
      <c r="S31" s="1309"/>
      <c r="T31" s="1308"/>
      <c r="U31" s="1309"/>
      <c r="V31" s="1308"/>
      <c r="W31" s="1309"/>
      <c r="X31" s="1303"/>
      <c r="Y31" s="3639"/>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39"/>
      <c r="Q32" s="1307" t="str">
        <f t="shared" si="8"/>
        <v>土地级别</v>
      </c>
      <c r="R32" s="1308" t="s">
        <v>5</v>
      </c>
      <c r="S32" s="1309">
        <f t="shared" si="9"/>
        <v>100</v>
      </c>
      <c r="T32" s="1308" t="s">
        <v>5</v>
      </c>
      <c r="U32" s="1309">
        <f t="shared" si="10"/>
        <v>100</v>
      </c>
      <c r="V32" s="1308" t="s">
        <v>5</v>
      </c>
      <c r="W32" s="1309">
        <f t="shared" si="11"/>
        <v>100</v>
      </c>
      <c r="X32" s="1303"/>
      <c r="Y32" s="3639"/>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39"/>
      <c r="Q33" s="1307">
        <f t="shared" si="8"/>
        <v>111</v>
      </c>
      <c r="R33" s="1308" t="s">
        <v>5</v>
      </c>
      <c r="S33" s="1309">
        <f t="shared" si="9"/>
        <v>100</v>
      </c>
      <c r="T33" s="1308" t="s">
        <v>5</v>
      </c>
      <c r="U33" s="1309">
        <f t="shared" si="10"/>
        <v>100</v>
      </c>
      <c r="V33" s="1308" t="s">
        <v>5</v>
      </c>
      <c r="W33" s="1309">
        <f t="shared" si="11"/>
        <v>100</v>
      </c>
      <c r="X33" s="1303"/>
      <c r="Y33" s="3639"/>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40" t="s">
        <v>499</v>
      </c>
      <c r="Q34" s="1307">
        <f t="shared" si="8"/>
        <v>111</v>
      </c>
      <c r="R34" s="1308" t="s">
        <v>5</v>
      </c>
      <c r="S34" s="1309">
        <f t="shared" si="9"/>
        <v>100</v>
      </c>
      <c r="T34" s="1308" t="s">
        <v>5</v>
      </c>
      <c r="U34" s="1309">
        <f t="shared" si="10"/>
        <v>100</v>
      </c>
      <c r="V34" s="1308" t="s">
        <v>5</v>
      </c>
      <c r="W34" s="1309">
        <f t="shared" si="11"/>
        <v>100</v>
      </c>
      <c r="X34" s="1303"/>
      <c r="Y34" s="3641" t="s">
        <v>499</v>
      </c>
      <c r="Z34" s="1310">
        <f t="shared" si="12"/>
        <v>111</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41"/>
      <c r="Q35" s="1307">
        <f t="shared" si="8"/>
        <v>111</v>
      </c>
      <c r="R35" s="1311" t="s">
        <v>5</v>
      </c>
      <c r="S35" s="1312">
        <f t="shared" si="9"/>
        <v>100</v>
      </c>
      <c r="T35" s="1311" t="s">
        <v>5</v>
      </c>
      <c r="U35" s="1312">
        <f t="shared" si="10"/>
        <v>100</v>
      </c>
      <c r="V35" s="1311" t="s">
        <v>5</v>
      </c>
      <c r="W35" s="1312">
        <f t="shared" si="11"/>
        <v>100</v>
      </c>
      <c r="X35" s="1313"/>
      <c r="Y35" s="3641"/>
      <c r="Z35" s="1314">
        <f t="shared" si="12"/>
        <v>111</v>
      </c>
      <c r="AA35" s="1310">
        <f t="shared" si="3"/>
        <v>1</v>
      </c>
      <c r="AB35" s="1310">
        <f t="shared" si="4"/>
        <v>1</v>
      </c>
      <c r="AC35" s="1310">
        <f t="shared" si="5"/>
        <v>1</v>
      </c>
    </row>
    <row r="36" spans="1:29" ht="15">
      <c r="A36" s="2205" t="s">
        <v>2036</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41"/>
      <c r="Q36" s="1307" t="str">
        <f>B36</f>
        <v>宗地面积</v>
      </c>
      <c r="R36" s="1308" t="s">
        <v>5</v>
      </c>
      <c r="S36" s="1309" t="e">
        <f t="shared" si="9"/>
        <v>#N/A</v>
      </c>
      <c r="T36" s="1308" t="s">
        <v>5</v>
      </c>
      <c r="U36" s="1309" t="e">
        <f t="shared" si="10"/>
        <v>#N/A</v>
      </c>
      <c r="V36" s="1308" t="s">
        <v>5</v>
      </c>
      <c r="W36" s="1309" t="e">
        <f t="shared" si="11"/>
        <v>#N/A</v>
      </c>
      <c r="X36" s="1303"/>
      <c r="Y36" s="3641"/>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41"/>
      <c r="Q37" s="1307" t="str">
        <f t="shared" ref="Q37:Q42" si="13">B37</f>
        <v>宗地形状</v>
      </c>
      <c r="R37" s="1308" t="s">
        <v>5</v>
      </c>
      <c r="S37" s="1309">
        <f t="shared" si="9"/>
        <v>100</v>
      </c>
      <c r="T37" s="1308" t="s">
        <v>5</v>
      </c>
      <c r="U37" s="1309">
        <f t="shared" si="10"/>
        <v>100</v>
      </c>
      <c r="V37" s="1308" t="s">
        <v>5</v>
      </c>
      <c r="W37" s="1309">
        <f t="shared" si="11"/>
        <v>100</v>
      </c>
      <c r="X37" s="1303"/>
      <c r="Y37" s="3641"/>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41"/>
      <c r="Q38" s="1307" t="str">
        <f t="shared" si="13"/>
        <v>宗地开发程度</v>
      </c>
      <c r="R38" s="1304" t="s">
        <v>5</v>
      </c>
      <c r="S38" s="1305">
        <f t="shared" si="9"/>
        <v>100</v>
      </c>
      <c r="T38" s="1304" t="s">
        <v>5</v>
      </c>
      <c r="U38" s="1305">
        <f t="shared" si="10"/>
        <v>100</v>
      </c>
      <c r="V38" s="1304" t="s">
        <v>5</v>
      </c>
      <c r="W38" s="1305">
        <f t="shared" si="11"/>
        <v>100</v>
      </c>
      <c r="X38" s="1306"/>
      <c r="Y38" s="3641"/>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41" t="s">
        <v>549</v>
      </c>
      <c r="Q39" s="1307" t="str">
        <f t="shared" si="13"/>
        <v>工程地质条件</v>
      </c>
      <c r="R39" s="1308" t="s">
        <v>5</v>
      </c>
      <c r="S39" s="1309">
        <f t="shared" si="9"/>
        <v>100</v>
      </c>
      <c r="T39" s="1308" t="s">
        <v>5</v>
      </c>
      <c r="U39" s="1309">
        <f t="shared" si="10"/>
        <v>100</v>
      </c>
      <c r="V39" s="1308" t="s">
        <v>5</v>
      </c>
      <c r="W39" s="1309">
        <f t="shared" si="11"/>
        <v>100</v>
      </c>
      <c r="X39" s="1303"/>
      <c r="Y39" s="3641"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41"/>
      <c r="Q40" s="1307">
        <f t="shared" si="13"/>
        <v>111</v>
      </c>
      <c r="R40" s="1308" t="s">
        <v>5</v>
      </c>
      <c r="S40" s="1309">
        <f t="shared" si="9"/>
        <v>100</v>
      </c>
      <c r="T40" s="1308" t="s">
        <v>5</v>
      </c>
      <c r="U40" s="1309">
        <f t="shared" si="10"/>
        <v>100</v>
      </c>
      <c r="V40" s="1308" t="s">
        <v>5</v>
      </c>
      <c r="W40" s="1309">
        <f t="shared" si="11"/>
        <v>100</v>
      </c>
      <c r="X40" s="1303"/>
      <c r="Y40" s="3641"/>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41"/>
      <c r="Q41" s="1307">
        <f t="shared" si="13"/>
        <v>111</v>
      </c>
      <c r="R41" s="1308" t="s">
        <v>5</v>
      </c>
      <c r="S41" s="1309">
        <f t="shared" si="9"/>
        <v>100</v>
      </c>
      <c r="T41" s="1308" t="s">
        <v>5</v>
      </c>
      <c r="U41" s="1309">
        <f t="shared" si="10"/>
        <v>100</v>
      </c>
      <c r="V41" s="1308" t="s">
        <v>5</v>
      </c>
      <c r="W41" s="1309">
        <f t="shared" si="11"/>
        <v>100</v>
      </c>
      <c r="X41" s="1303"/>
      <c r="Y41" s="3641"/>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41"/>
      <c r="Q42" s="1307">
        <f t="shared" si="13"/>
        <v>111</v>
      </c>
      <c r="R42" s="1311" t="s">
        <v>5</v>
      </c>
      <c r="S42" s="1312">
        <f t="shared" si="9"/>
        <v>100</v>
      </c>
      <c r="T42" s="1311" t="s">
        <v>5</v>
      </c>
      <c r="U42" s="1312">
        <f t="shared" si="10"/>
        <v>100</v>
      </c>
      <c r="V42" s="1311" t="s">
        <v>5</v>
      </c>
      <c r="W42" s="1312">
        <f t="shared" si="11"/>
        <v>100</v>
      </c>
      <c r="X42" s="1313"/>
      <c r="Y42" s="3641"/>
      <c r="Z42" s="1314">
        <f t="shared" si="12"/>
        <v>111</v>
      </c>
      <c r="AA42" s="1310">
        <f t="shared" si="3"/>
        <v>1</v>
      </c>
      <c r="AB42" s="1310">
        <f t="shared" si="4"/>
        <v>1</v>
      </c>
      <c r="AC42" s="1310">
        <f t="shared" si="5"/>
        <v>1</v>
      </c>
    </row>
    <row r="43" spans="1:29" ht="15">
      <c r="A43" s="556" t="s">
        <v>505</v>
      </c>
      <c r="B43" s="557" t="s">
        <v>2186</v>
      </c>
      <c r="C43" s="558" t="s">
        <v>0</v>
      </c>
      <c r="D43" s="559"/>
      <c r="E43" s="560"/>
      <c r="F43" s="561"/>
      <c r="G43" s="562"/>
      <c r="H43" s="563"/>
      <c r="I43" s="560"/>
      <c r="J43" s="563"/>
      <c r="K43" s="1135"/>
      <c r="L43" s="1752"/>
      <c r="M43" s="1743"/>
      <c r="N43" s="1743"/>
      <c r="O43" s="1743"/>
      <c r="P43" s="3636" t="str">
        <f>A43</f>
        <v>成交单价</v>
      </c>
      <c r="Q43" s="3636"/>
      <c r="R43" s="3652">
        <f>E43</f>
        <v>0</v>
      </c>
      <c r="S43" s="3652"/>
      <c r="T43" s="3652">
        <f>G43</f>
        <v>0</v>
      </c>
      <c r="U43" s="3652"/>
      <c r="V43" s="3652">
        <f>I43</f>
        <v>0</v>
      </c>
      <c r="W43" s="3652"/>
      <c r="X43" s="799"/>
      <c r="Y43" s="1315"/>
      <c r="Z43" s="799"/>
      <c r="AA43" s="799"/>
      <c r="AB43" s="799"/>
      <c r="AC43" s="799"/>
    </row>
    <row r="44" spans="1:29" ht="15.75" thickBot="1">
      <c r="A44" s="564" t="s">
        <v>1974</v>
      </c>
      <c r="B44" s="565"/>
      <c r="C44" s="566" t="e">
        <f>R45</f>
        <v>#DIV/0!</v>
      </c>
      <c r="D44" s="2551" t="s">
        <v>2250</v>
      </c>
      <c r="E44" s="566" t="e">
        <f>R44</f>
        <v>#DIV/0!</v>
      </c>
      <c r="F44" s="2552"/>
      <c r="G44" s="567" t="e">
        <f>T44</f>
        <v>#DIV/0!</v>
      </c>
      <c r="H44" s="2552"/>
      <c r="I44" s="566" t="e">
        <f>V44</f>
        <v>#DIV/0!</v>
      </c>
      <c r="J44" s="2552"/>
      <c r="K44" s="2553">
        <f>F44+H44+J44</f>
        <v>0</v>
      </c>
      <c r="L44" s="1752"/>
      <c r="M44" s="1743"/>
      <c r="N44" s="1743"/>
      <c r="O44" s="1743"/>
      <c r="P44" s="3636" t="str">
        <f>A44</f>
        <v>比较价格（元/平方米）</v>
      </c>
      <c r="Q44" s="3636"/>
      <c r="R44" s="3660" t="e">
        <f>ROUND(PRODUCT(R43,AA9:AA42),0)</f>
        <v>#DIV/0!</v>
      </c>
      <c r="S44" s="3660"/>
      <c r="T44" s="3660" t="e">
        <f>ROUND(PRODUCT(T43,AB9:AB42),0)</f>
        <v>#DIV/0!</v>
      </c>
      <c r="U44" s="3660"/>
      <c r="V44" s="3660" t="e">
        <f>ROUND(PRODUCT(V43,AC9:AC42),0)</f>
        <v>#DIV/0!</v>
      </c>
      <c r="W44" s="3660"/>
      <c r="X44" s="799"/>
      <c r="Y44" s="799"/>
      <c r="Z44" s="799"/>
      <c r="AA44" s="799"/>
      <c r="AB44" s="799"/>
      <c r="AC44" s="799"/>
    </row>
    <row r="45" spans="1:29" ht="15.75" thickBot="1">
      <c r="A45" s="568" t="s">
        <v>2187</v>
      </c>
      <c r="B45" s="569"/>
      <c r="C45" s="570" t="e">
        <f>R45</f>
        <v>#DIV/0!</v>
      </c>
      <c r="D45" s="570"/>
      <c r="E45" s="570"/>
      <c r="F45" s="570"/>
      <c r="G45" s="570"/>
      <c r="H45" s="570"/>
      <c r="I45" s="570"/>
      <c r="J45" s="570"/>
      <c r="K45" s="1136"/>
      <c r="L45" s="1752"/>
      <c r="M45" s="1743"/>
      <c r="N45" s="1743"/>
      <c r="O45" s="1743"/>
      <c r="P45" s="3642" t="str">
        <f>A45</f>
        <v>估价对象XX用房的比较价格（楼面单价，元/平方米）</v>
      </c>
      <c r="Q45" s="3643"/>
      <c r="R45" s="3681" t="e">
        <f>ROUND(IF(D44="简单平均",AVERAGE(R44:W44),R44*F44+T44*H44+V44*J44),0)</f>
        <v>#DIV/0!</v>
      </c>
      <c r="S45" s="3681"/>
      <c r="T45" s="3681"/>
      <c r="U45" s="3681"/>
      <c r="V45" s="3681"/>
      <c r="W45" s="3681"/>
      <c r="X45" s="799"/>
      <c r="Y45" s="799"/>
      <c r="Z45" s="799"/>
      <c r="AA45" s="799"/>
      <c r="AB45" s="799"/>
      <c r="AC45" s="799"/>
    </row>
    <row r="46" spans="1:29">
      <c r="A46" s="2722"/>
      <c r="B46" s="2722"/>
      <c r="C46" s="2722"/>
      <c r="D46" s="2722"/>
      <c r="E46" s="2722"/>
      <c r="F46" s="2722"/>
      <c r="G46" s="2724"/>
      <c r="H46" s="2722"/>
      <c r="I46" s="2722"/>
      <c r="J46" s="2722"/>
      <c r="K46" s="2725"/>
      <c r="L46" s="1756"/>
      <c r="M46" s="1743"/>
      <c r="N46" s="1743"/>
      <c r="O46" s="1743"/>
      <c r="P46" s="1743"/>
      <c r="Q46" s="1743"/>
      <c r="R46" s="1743"/>
      <c r="S46" s="1743"/>
      <c r="T46" s="1743"/>
      <c r="U46" s="1743"/>
      <c r="V46" s="1743"/>
      <c r="W46" s="1743"/>
      <c r="X46" s="1743"/>
      <c r="Y46" s="1743"/>
      <c r="Z46" s="1743"/>
      <c r="AA46" s="1743"/>
      <c r="AB46" s="1743"/>
      <c r="AC46" s="1743"/>
    </row>
    <row r="47" spans="1:29">
      <c r="A47" s="2722"/>
      <c r="B47" s="2722"/>
      <c r="C47" s="2722"/>
      <c r="D47" s="2722"/>
      <c r="E47" s="2722"/>
      <c r="F47" s="2722"/>
      <c r="G47" s="2722"/>
      <c r="H47" s="2722"/>
      <c r="I47" s="2722"/>
      <c r="J47" s="2722"/>
      <c r="K47" s="2725"/>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2"/>
      <c r="B48" s="2722"/>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5"/>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2"/>
      <c r="B49" s="2722"/>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5"/>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3"/>
      <c r="B50" s="2723"/>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6"/>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3"/>
      <c r="B51" s="2734"/>
      <c r="C51" s="1757"/>
      <c r="D51" s="1753"/>
      <c r="E51" s="1753"/>
      <c r="F51" s="1753"/>
      <c r="G51" s="1753"/>
      <c r="H51" s="1753"/>
      <c r="I51" s="1753"/>
      <c r="J51" s="1753"/>
      <c r="K51" s="2726"/>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77" t="s">
        <v>1642</v>
      </c>
      <c r="H52" s="3678"/>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100027.98000000001</v>
      </c>
      <c r="F53" s="1610" t="e">
        <f t="shared" ref="F53:F61" si="14">ROUND(B53*E53/10000,0)</f>
        <v>#DIV/0!</v>
      </c>
      <c r="G53" s="3679"/>
      <c r="H53" s="3680"/>
      <c r="I53" s="1613">
        <v>1</v>
      </c>
      <c r="J53" s="1299">
        <v>1</v>
      </c>
      <c r="K53" s="2727"/>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v>
      </c>
      <c r="D54" s="1824">
        <v>0.25</v>
      </c>
      <c r="E54" s="586"/>
      <c r="F54" s="1610" t="e">
        <f t="shared" si="14"/>
        <v>#DIV/0!</v>
      </c>
      <c r="G54" s="3030" t="s">
        <v>1643</v>
      </c>
      <c r="H54" s="1614">
        <f>项目基本情况!B43</f>
        <v>0</v>
      </c>
      <c r="I54" s="1613">
        <f>SUMIF(修正!$A$59:$A$70,H54,修正!B59:B70)</f>
        <v>0</v>
      </c>
      <c r="J54" s="1300"/>
      <c r="K54" s="2727"/>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v>
      </c>
      <c r="D55" s="1824">
        <v>0.25</v>
      </c>
      <c r="E55" s="586"/>
      <c r="F55" s="1610" t="e">
        <f t="shared" si="14"/>
        <v>#DIV/0!</v>
      </c>
      <c r="G55" s="3031"/>
      <c r="H55" s="1615">
        <f>项目基本情况!B43</f>
        <v>0</v>
      </c>
      <c r="I55" s="1613">
        <f>SUMIF(修正!$A$59:$A$70,H55,修正!C59:C70)</f>
        <v>0</v>
      </c>
      <c r="J55" s="1300"/>
      <c r="K55" s="2727"/>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v>
      </c>
      <c r="D56" s="1824">
        <v>0.25</v>
      </c>
      <c r="E56" s="586"/>
      <c r="F56" s="1610" t="e">
        <f t="shared" si="14"/>
        <v>#DIV/0!</v>
      </c>
      <c r="G56" s="3031"/>
      <c r="H56" s="1615">
        <f>项目基本情况!B43</f>
        <v>0</v>
      </c>
      <c r="I56" s="1613">
        <f>SUMIF(修正!$A$59:$A$70,H56,修正!D59:D70)</f>
        <v>0</v>
      </c>
      <c r="J56" s="1300"/>
      <c r="K56" s="2727"/>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SUMIF(修正!$A$59:$A$70,H57,修正!E59:E70)</f>
        <v>0</v>
      </c>
      <c r="J57" s="1300"/>
      <c r="K57" s="2727"/>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v>
      </c>
      <c r="D58" s="1824">
        <v>0.25</v>
      </c>
      <c r="E58" s="588">
        <f>'数据-汇总表'!E12</f>
        <v>0</v>
      </c>
      <c r="F58" s="1610" t="e">
        <f t="shared" si="14"/>
        <v>#DIV/0!</v>
      </c>
      <c r="G58" s="1606" t="s">
        <v>1212</v>
      </c>
      <c r="H58" s="1614">
        <f>IF(G58="商业",项目基本情况!B43,IF(G58="办公",项目基本情况!C43,IF(G58="住宅",项目基本情况!D43,项目基本情况!E43)))</f>
        <v>0</v>
      </c>
      <c r="I58" s="1613">
        <f>SUMIF(修正!$A$59:$A$70,H58,修正!F59:F70)</f>
        <v>0</v>
      </c>
      <c r="J58" s="1300"/>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v>
      </c>
      <c r="D59" s="1824">
        <v>0.25</v>
      </c>
      <c r="E59" s="588">
        <f>'数据-汇总表'!E13</f>
        <v>0</v>
      </c>
      <c r="F59" s="1610" t="e">
        <f t="shared" si="14"/>
        <v>#DIV/0!</v>
      </c>
      <c r="G59" s="1606" t="s">
        <v>851</v>
      </c>
      <c r="H59" s="1614">
        <f>IF(G59="商业",项目基本情况!B43,IF(G59="办公",项目基本情况!C43,IF(G59="住宅",项目基本情况!D43,项目基本情况!E43)))</f>
        <v>0</v>
      </c>
      <c r="I59" s="1613">
        <f>SUMIF(修正!$A$59:$A$70,H59,修正!G59:G70)</f>
        <v>0</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v>
      </c>
      <c r="D60" s="1824">
        <v>0.25</v>
      </c>
      <c r="E60" s="588">
        <f>'数据-汇总表'!E14</f>
        <v>0</v>
      </c>
      <c r="F60" s="1610" t="e">
        <f t="shared" si="14"/>
        <v>#DIV/0!</v>
      </c>
      <c r="G60" s="1616" t="s">
        <v>1643</v>
      </c>
      <c r="H60" s="1615">
        <f>项目基本情况!B43</f>
        <v>0</v>
      </c>
      <c r="I60" s="1613">
        <f>SUMIF(修正!$A$59:$A$70,H60,修正!G59:G70)</f>
        <v>0</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SUMIF(修正!$A$59:$A$70,H61,修正!G59:G70)</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f>IF(B43="楼面地价",SUM(E53:E61),'数据-汇总表'!D3)</f>
        <v>33342.660000000003</v>
      </c>
      <c r="F62" s="591" t="e">
        <f>IF(B43="楼面地价",SUM(F53:F61),ROUND(C45*E62/10000,0))</f>
        <v>#DIV/0!</v>
      </c>
      <c r="G62" s="1762"/>
      <c r="H62" s="1762"/>
      <c r="I62" s="1762"/>
      <c r="J62" s="1762"/>
      <c r="K62" s="2735"/>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2025-12-1</v>
      </c>
      <c r="D64" s="2112">
        <f>EDATE(C64,-3)</f>
        <v>45901</v>
      </c>
      <c r="E64" s="2112">
        <f t="shared" ref="E64:N64" si="17">EDATE(D64,-3)</f>
        <v>45809</v>
      </c>
      <c r="F64" s="2112">
        <f t="shared" si="17"/>
        <v>45717</v>
      </c>
      <c r="G64" s="2112">
        <f t="shared" si="17"/>
        <v>45627</v>
      </c>
      <c r="H64" s="2112">
        <f t="shared" si="17"/>
        <v>45536</v>
      </c>
      <c r="I64" s="2112">
        <f t="shared" si="17"/>
        <v>45444</v>
      </c>
      <c r="J64" s="2112">
        <f t="shared" si="17"/>
        <v>45352</v>
      </c>
      <c r="K64" s="2112">
        <f t="shared" si="17"/>
        <v>45261</v>
      </c>
      <c r="L64" s="2112">
        <f t="shared" si="17"/>
        <v>45170</v>
      </c>
      <c r="M64" s="2112">
        <f t="shared" si="17"/>
        <v>45078</v>
      </c>
      <c r="N64" s="2112">
        <f t="shared" si="17"/>
        <v>44986</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2025-4</v>
      </c>
      <c r="D66" s="155" t="str">
        <f t="shared" ref="D66:N66" si="18">YEAR(D64)&amp;"-"&amp;ROUNDUP(MONTH(D64)/3,0)</f>
        <v>2025-3</v>
      </c>
      <c r="E66" s="155" t="str">
        <f t="shared" si="18"/>
        <v>2025-2</v>
      </c>
      <c r="F66" s="155" t="str">
        <f t="shared" si="18"/>
        <v>2025-1</v>
      </c>
      <c r="G66" s="155" t="str">
        <f t="shared" si="18"/>
        <v>2024-4</v>
      </c>
      <c r="H66" s="155" t="str">
        <f t="shared" si="18"/>
        <v>2024-3</v>
      </c>
      <c r="I66" s="155" t="str">
        <f t="shared" si="18"/>
        <v>2024-2</v>
      </c>
      <c r="J66" s="155" t="str">
        <f t="shared" si="18"/>
        <v>2024-1</v>
      </c>
      <c r="K66" s="155" t="str">
        <f t="shared" si="18"/>
        <v>2023-4</v>
      </c>
      <c r="L66" s="155" t="str">
        <f t="shared" si="18"/>
        <v>2023-3</v>
      </c>
      <c r="M66" s="155" t="str">
        <f t="shared" si="18"/>
        <v>2023-2</v>
      </c>
      <c r="N66" s="155" t="str">
        <f t="shared" si="18"/>
        <v>2023-1</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1930</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6"/>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6"/>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7"/>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8"/>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7"/>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8"/>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8"/>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7"/>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8"/>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9"/>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8"/>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9"/>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9"/>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9"/>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9"/>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7"/>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8"/>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7"/>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8"/>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6"/>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8"/>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6"/>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8"/>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9"/>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9"/>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9"/>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9"/>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7"/>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8"/>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7"/>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8"/>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7"/>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8"/>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7"/>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8"/>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7"/>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8"/>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9"/>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8"/>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7"/>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7"/>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8"/>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7"/>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8"/>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9"/>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9"/>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7"/>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8"/>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7"/>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8"/>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7"/>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8"/>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9"/>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9"/>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55" zoomScale="90" zoomScaleNormal="60" zoomScaleSheetLayoutView="90" workbookViewId="0">
      <selection activeCell="B73" sqref="B73"/>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2042</v>
      </c>
      <c r="S1" s="2233" t="s">
        <v>2043</v>
      </c>
      <c r="T1" s="2233" t="s">
        <v>2060</v>
      </c>
      <c r="U1" s="2233" t="s">
        <v>2061</v>
      </c>
      <c r="V1" s="2233" t="s">
        <v>2062</v>
      </c>
      <c r="W1" s="1790"/>
      <c r="X1" s="1790"/>
      <c r="Y1" s="1790"/>
      <c r="Z1" s="1790"/>
      <c r="AA1" s="1790"/>
      <c r="AB1" s="1790"/>
      <c r="AC1" s="1791"/>
    </row>
    <row r="2" spans="1:39" ht="15.75">
      <c r="A2" s="1191" t="s">
        <v>848</v>
      </c>
      <c r="B2" s="941" t="e">
        <f>C30</f>
        <v>#DIV/0!</v>
      </c>
      <c r="C2" s="1192" t="s">
        <v>849</v>
      </c>
      <c r="D2" s="1193" t="s">
        <v>850</v>
      </c>
      <c r="E2" s="1194"/>
      <c r="F2" s="1193" t="s">
        <v>852</v>
      </c>
      <c r="G2" s="1373">
        <f>IF(E2="商业",项目基本情况!B43,IF(E2="办公",项目基本情况!C43,IF(E2="住宅",项目基本情况!D43,IF(E2="工业",项目基本情况!E43,项目基本情况!F43))))</f>
        <v>0</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0</v>
      </c>
      <c r="T2" s="2234" t="e">
        <f>ROUND($C$5*$C$22*$C$23*$C$24*S2*$C$28,0)</f>
        <v>#DIV/0!</v>
      </c>
      <c r="U2" s="2224"/>
      <c r="V2" s="2234" t="e">
        <f>ROUND(T2*U2/10000,0)</f>
        <v>#DIV/0!</v>
      </c>
      <c r="W2" s="1790"/>
      <c r="X2" s="1790"/>
      <c r="Y2" s="1790"/>
      <c r="Z2" s="1790"/>
      <c r="AA2" s="1790"/>
      <c r="AB2" s="1790"/>
      <c r="AC2" s="1791"/>
    </row>
    <row r="3" spans="1:39" ht="15.75">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0</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0</v>
      </c>
      <c r="T4" s="2234" t="e">
        <f t="shared" si="0"/>
        <v>#DIV/0!</v>
      </c>
      <c r="U4" s="2224"/>
      <c r="V4" s="2234" t="e">
        <f t="shared" si="1"/>
        <v>#DIV/0!</v>
      </c>
      <c r="W4" s="1790"/>
      <c r="X4" s="1790"/>
      <c r="Y4" s="1790"/>
      <c r="Z4" s="1790"/>
      <c r="AA4" s="1790"/>
      <c r="AB4" s="1790"/>
      <c r="AC4" s="1791"/>
    </row>
    <row r="5" spans="1:39" s="1204" customFormat="1" ht="15.75" thickBot="1">
      <c r="A5" s="1360" t="s">
        <v>1352</v>
      </c>
      <c r="B5" s="1198" t="s">
        <v>859</v>
      </c>
      <c r="C5" s="944" t="e">
        <f>ROUND(IF(E2="商业",C6*C7*C17+C20,(IF(E2="住宅",C6*C13*C17+C20,IF(E2="办公",C6*C12*C17+C20,C6+C20)))),0)</f>
        <v>#DIV/0!</v>
      </c>
      <c r="D5" s="2359" t="e">
        <f>ROUND(C6*C17+C20,0)</f>
        <v>#DIV/0!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1" t="s">
        <v>1395</v>
      </c>
      <c r="B6" s="1205" t="s">
        <v>859</v>
      </c>
      <c r="C6" s="3252">
        <f>SUMIF(L1:L12,G2,M1:M12)</f>
        <v>0</v>
      </c>
      <c r="D6" s="3253" t="s">
        <v>1228</v>
      </c>
      <c r="E6" s="1205"/>
      <c r="F6" s="1205"/>
      <c r="G6" s="3254"/>
      <c r="H6" s="3254"/>
      <c r="I6" s="3254"/>
      <c r="J6" s="3255"/>
      <c r="K6" s="1790"/>
      <c r="L6" s="1545" t="s">
        <v>1602</v>
      </c>
      <c r="M6" s="1546">
        <f>SUMPRODUCT((区片价!B127:B189=I2)*(区片价!C3:G3=E2)*(区片价!C127:G189))</f>
        <v>0</v>
      </c>
      <c r="N6" s="1547">
        <f>SUMPRODUCT((因素修正幅度!B127:B189=I2)*(因素修正幅度!C3:G3=E2)*(因素修正幅度!C127:G189))</f>
        <v>0</v>
      </c>
      <c r="O6" s="1790"/>
      <c r="P6" s="2744"/>
      <c r="Q6" s="1790"/>
      <c r="R6" s="2234">
        <v>5</v>
      </c>
      <c r="S6" s="2234">
        <f>ROUND(SUMPRODUCT((B107:B111=R6)*(C106:N106=G2)*(C107:N111)),4)</f>
        <v>0</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6" t="s">
        <v>3179</v>
      </c>
      <c r="B7" s="1206" t="s">
        <v>860</v>
      </c>
      <c r="C7" s="3257" t="e">
        <f>IF(C8="不临65条商业街",1,ROUND(1+(1.6*E8+1.2*E9+0.8*E10+0.4*E11)*C9,4))</f>
        <v>#DIV/0!</v>
      </c>
      <c r="D7" s="3258" t="s">
        <v>861</v>
      </c>
      <c r="E7" s="3259"/>
      <c r="F7" s="3260"/>
      <c r="G7" s="3260"/>
      <c r="H7" s="3260"/>
      <c r="I7" s="3260"/>
      <c r="J7" s="3261"/>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c r="T7" s="2234" t="e">
        <f t="shared" si="0"/>
        <v>#DIV/0!</v>
      </c>
      <c r="U7" s="2224"/>
      <c r="V7" s="2234" t="e">
        <f t="shared" si="1"/>
        <v>#DIV/0!</v>
      </c>
      <c r="W7" s="2232" t="s">
        <v>2045</v>
      </c>
      <c r="X7" s="2225">
        <f>G2</f>
        <v>0</v>
      </c>
      <c r="Y7" s="2225" t="s">
        <v>2046</v>
      </c>
      <c r="Z7" s="2226">
        <f>G3</f>
        <v>0</v>
      </c>
      <c r="AA7" s="1793"/>
      <c r="AB7" s="1793"/>
      <c r="AC7" s="1794"/>
      <c r="AD7" s="2227"/>
      <c r="AE7" s="2227"/>
      <c r="AF7" s="2227"/>
      <c r="AG7" s="2227"/>
      <c r="AH7" s="2227"/>
      <c r="AI7" s="2227"/>
      <c r="AJ7" s="2228"/>
    </row>
    <row r="8" spans="1:39" ht="15">
      <c r="A8" s="3262"/>
      <c r="B8" s="1193" t="s">
        <v>862</v>
      </c>
      <c r="C8" s="3263"/>
      <c r="D8" s="3264" t="s">
        <v>863</v>
      </c>
      <c r="E8" s="3265" t="e">
        <f>ROUND(C11/E7,4)</f>
        <v>#DIV/0!</v>
      </c>
      <c r="F8" s="3266" t="s">
        <v>864</v>
      </c>
      <c r="G8" s="3267"/>
      <c r="H8" s="3267"/>
      <c r="I8" s="3267"/>
      <c r="J8" s="3268"/>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96" t="s">
        <v>2059</v>
      </c>
      <c r="X8" s="3697"/>
      <c r="Y8" s="1539" t="s">
        <v>2047</v>
      </c>
      <c r="Z8" s="1539" t="s">
        <v>2048</v>
      </c>
      <c r="AA8" s="1539" t="s">
        <v>2049</v>
      </c>
      <c r="AB8" s="1539" t="s">
        <v>2050</v>
      </c>
      <c r="AC8" s="1539" t="s">
        <v>2051</v>
      </c>
      <c r="AD8" s="1539" t="s">
        <v>2052</v>
      </c>
      <c r="AE8" s="1539" t="s">
        <v>2053</v>
      </c>
      <c r="AF8" s="1539" t="s">
        <v>2054</v>
      </c>
      <c r="AG8" s="1539" t="s">
        <v>2055</v>
      </c>
      <c r="AH8" s="1539" t="s">
        <v>2056</v>
      </c>
      <c r="AI8" s="1539" t="s">
        <v>2057</v>
      </c>
      <c r="AJ8" s="1539" t="s">
        <v>2058</v>
      </c>
    </row>
    <row r="9" spans="1:39" ht="15">
      <c r="A9" s="3262"/>
      <c r="B9" s="1193" t="s">
        <v>865</v>
      </c>
      <c r="C9" s="3269">
        <f>SUMIF(修正!C73:C141,C8,修正!E73:E141)</f>
        <v>0</v>
      </c>
      <c r="D9" s="3270" t="s">
        <v>866</v>
      </c>
      <c r="E9" s="3270" t="e">
        <f>ROUND(C11/E7,4)</f>
        <v>#DIV/0!</v>
      </c>
      <c r="F9" s="3266" t="s">
        <v>867</v>
      </c>
      <c r="G9" s="3267"/>
      <c r="H9" s="3267"/>
      <c r="I9" s="3267"/>
      <c r="J9" s="3268"/>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95"/>
      <c r="X9" s="2229" t="s">
        <v>3202</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2"/>
      <c r="B10" s="1193" t="s">
        <v>868</v>
      </c>
      <c r="C10" s="3270">
        <f>SUMIF(修正!C73:C141,C8,修正!F73:F141)</f>
        <v>0</v>
      </c>
      <c r="D10" s="3270" t="s">
        <v>869</v>
      </c>
      <c r="E10" s="3270" t="e">
        <f>ROUND(C11/E7,4)</f>
        <v>#DIV/0!</v>
      </c>
      <c r="F10" s="3266" t="s">
        <v>870</v>
      </c>
      <c r="G10" s="3267"/>
      <c r="H10" s="3267"/>
      <c r="I10" s="3267"/>
      <c r="J10" s="3268"/>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95"/>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2"/>
      <c r="B11" s="1210" t="s">
        <v>871</v>
      </c>
      <c r="C11" s="3271">
        <f>C10/4</f>
        <v>0</v>
      </c>
      <c r="D11" s="3271" t="s">
        <v>872</v>
      </c>
      <c r="E11" s="3271" t="e">
        <f>ROUND(C11/E7,4)</f>
        <v>#DIV/0!</v>
      </c>
      <c r="F11" s="3272" t="s">
        <v>873</v>
      </c>
      <c r="G11" s="3273"/>
      <c r="H11" s="3273"/>
      <c r="I11" s="3273"/>
      <c r="J11" s="3274"/>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6" t="s">
        <v>3180</v>
      </c>
      <c r="B12" s="3238" t="s">
        <v>3181</v>
      </c>
      <c r="C12" s="3244">
        <v>1.02</v>
      </c>
      <c r="D12" s="3239" t="s">
        <v>3182</v>
      </c>
      <c r="E12" s="3240" t="s">
        <v>3183</v>
      </c>
      <c r="F12" s="3241"/>
      <c r="G12" s="3242"/>
      <c r="H12" s="3242"/>
      <c r="I12" s="3242"/>
      <c r="J12" s="3243"/>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6" t="s">
        <v>3184</v>
      </c>
      <c r="B13" s="1211" t="s">
        <v>874</v>
      </c>
      <c r="C13" s="3257">
        <f>ROUND(C16*D16*E16*F16*G16*H16*I16*J16,4)</f>
        <v>0</v>
      </c>
      <c r="D13" s="3275" t="s">
        <v>3185</v>
      </c>
      <c r="E13" s="3276"/>
      <c r="F13" s="3276"/>
      <c r="G13" s="3276"/>
      <c r="H13" s="3276"/>
      <c r="I13" s="3276"/>
      <c r="J13" s="3277"/>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8"/>
      <c r="B14" s="1215" t="s">
        <v>1229</v>
      </c>
      <c r="C14" s="3194" t="s">
        <v>1230</v>
      </c>
      <c r="D14" s="1217" t="s">
        <v>1231</v>
      </c>
      <c r="E14" s="750" t="s">
        <v>3186</v>
      </c>
      <c r="F14" s="3279" t="s">
        <v>1178</v>
      </c>
      <c r="G14" s="3279" t="s">
        <v>1178</v>
      </c>
      <c r="H14" s="3280" t="s">
        <v>1178</v>
      </c>
      <c r="I14" s="3280" t="s">
        <v>1178</v>
      </c>
      <c r="J14" s="3280" t="s">
        <v>1178</v>
      </c>
      <c r="K14" s="2742"/>
      <c r="L14" s="2742"/>
      <c r="M14" s="2742"/>
      <c r="N14" s="2742"/>
      <c r="O14" s="2742"/>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8"/>
      <c r="B15" s="1217"/>
      <c r="C15" s="3281"/>
      <c r="D15" s="3282"/>
      <c r="E15" s="3283"/>
      <c r="F15" s="3283"/>
      <c r="G15" s="1038" t="s">
        <v>3187</v>
      </c>
      <c r="H15" s="3247"/>
      <c r="I15" s="3248"/>
      <c r="J15" s="3249"/>
      <c r="K15" s="3250"/>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8"/>
      <c r="B16" s="2407" t="s">
        <v>1232</v>
      </c>
      <c r="C16" s="3245"/>
      <c r="D16" s="3245"/>
      <c r="E16" s="3245"/>
      <c r="F16" s="3245"/>
      <c r="G16" s="3245">
        <v>1</v>
      </c>
      <c r="H16" s="3245">
        <v>1</v>
      </c>
      <c r="I16" s="3245">
        <v>1</v>
      </c>
      <c r="J16" s="3246">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5" t="s">
        <v>3188</v>
      </c>
      <c r="B17" s="3286" t="s">
        <v>3189</v>
      </c>
      <c r="C17" s="3294">
        <f>ROUND(IF(OR(E2="工业",E2="公共服务"),1,IF(AND(E18=0,E19=0),1,IF(AND(E18=J24,E19=G19),0.8,IF(E19=0,1+E17*(-0.2),1+E17*G17*(-0.2))))),4)</f>
        <v>1</v>
      </c>
      <c r="D17" s="3287" t="s">
        <v>3190</v>
      </c>
      <c r="E17" s="3294" t="e">
        <f>ROUND(G18/I18,2)</f>
        <v>#DIV/0!</v>
      </c>
      <c r="F17" s="3287" t="s">
        <v>3193</v>
      </c>
      <c r="G17" s="3294" t="e">
        <f>ROUND(E19/G19,2)</f>
        <v>#DIV/0!</v>
      </c>
      <c r="H17" s="3294"/>
      <c r="I17" s="3294"/>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8"/>
      <c r="B18" s="3158"/>
      <c r="C18" s="3292"/>
      <c r="D18" s="3288" t="s">
        <v>3191</v>
      </c>
      <c r="E18" s="3293"/>
      <c r="F18" s="3290" t="s">
        <v>3194</v>
      </c>
      <c r="G18" s="3292">
        <f>ROUND(1-(1/(POWER(1+G24,E18))),4)</f>
        <v>0</v>
      </c>
      <c r="H18" s="3290" t="s">
        <v>3196</v>
      </c>
      <c r="I18" s="3292">
        <f>ROUND(1-(1/(POWER(1+G24,J24))),4)</f>
        <v>0</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4"/>
      <c r="B19" s="3161"/>
      <c r="C19" s="3289"/>
      <c r="D19" s="3289" t="s">
        <v>3192</v>
      </c>
      <c r="E19" s="3295"/>
      <c r="F19" s="3291" t="s">
        <v>3195</v>
      </c>
      <c r="G19" s="3295"/>
      <c r="H19" s="3289"/>
      <c r="I19" s="3289"/>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89" t="s">
        <v>1370</v>
      </c>
      <c r="B20" s="1206" t="s">
        <v>875</v>
      </c>
      <c r="C20" s="948" t="e">
        <f>ROUND(IF(F21="与级别开发程度一致",0,(G21-E21)/C21),0)</f>
        <v>#DIV/0!</v>
      </c>
      <c r="D20" s="3701" t="s">
        <v>879</v>
      </c>
      <c r="E20" s="3702"/>
      <c r="F20" s="3701" t="s">
        <v>876</v>
      </c>
      <c r="G20" s="3702"/>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690"/>
      <c r="B21" s="2413" t="s">
        <v>878</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0</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8" t="s">
        <v>880</v>
      </c>
      <c r="C22" s="2409">
        <f>SUMIF(修正!C20:C53,E3,修正!E20:E53)</f>
        <v>0</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4" t="s">
        <v>882</v>
      </c>
      <c r="E23" s="950">
        <v>44197</v>
      </c>
      <c r="F23" s="1224" t="s">
        <v>883</v>
      </c>
      <c r="G23" s="951">
        <f>'数据-取费表'!B2</f>
        <v>46000</v>
      </c>
      <c r="H23" s="1225" t="s">
        <v>2236</v>
      </c>
      <c r="I23" s="2102" t="str">
        <f>IF(H23="季度增幅（自定义）",SUMIF(N25:N28,E2,O25:O28),"")</f>
        <v/>
      </c>
      <c r="J23" s="3296" t="s">
        <v>3246</v>
      </c>
      <c r="K23" s="2741"/>
      <c r="L23" s="2324" t="s">
        <v>2115</v>
      </c>
      <c r="M23" s="2325">
        <f>ROUND(SUMIF(地价!B2:F2,E2,地价!B41:F41),0)</f>
        <v>0</v>
      </c>
      <c r="N23" s="2104" t="s">
        <v>1211</v>
      </c>
      <c r="O23" s="2103">
        <f>ROUNDDOWN(DATEDIF(E23,G23,"M")/3,0)</f>
        <v>19</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1365</v>
      </c>
      <c r="B24" s="2097" t="s">
        <v>896</v>
      </c>
      <c r="C24" s="2098" t="e">
        <f>ROUND(POWER(1+G24,J24-I24)*(POWER(1+G24,I24)-1)/(POWER(1+G24,J24)-1),4)</f>
        <v>#DIV/0!</v>
      </c>
      <c r="D24" s="2099" t="s">
        <v>897</v>
      </c>
      <c r="E24" s="2351">
        <f>存贷款利率!E28/100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6" t="s">
        <v>2116</v>
      </c>
      <c r="M24" s="2400">
        <f>ROUND(SUMPRODUCT((地价!A4:A41=YEAR(G23)&amp;"-"&amp;ROUNDUP(MONTH(G23)/3,0))*(地价!B2:F2=E2)*(地价!B4:F41)),0)</f>
        <v>0</v>
      </c>
      <c r="N24" s="2107" t="s">
        <v>1927</v>
      </c>
      <c r="O24" s="2105" t="s">
        <v>1926</v>
      </c>
      <c r="P24" s="2106" t="s">
        <v>1931</v>
      </c>
      <c r="Q24" s="2223"/>
      <c r="R24" s="1796"/>
      <c r="S24" s="1796"/>
      <c r="T24" s="1796"/>
      <c r="U24" s="1796"/>
      <c r="V24" s="1796"/>
      <c r="W24" s="1796"/>
      <c r="X24" s="1796"/>
      <c r="Y24" s="1222"/>
      <c r="Z24" s="1222"/>
      <c r="AA24" s="1222"/>
      <c r="AB24" s="1222"/>
      <c r="AC24" s="1222"/>
      <c r="AD24" s="1222"/>
    </row>
    <row r="25" spans="1:40" ht="14.25">
      <c r="A25" s="1363" t="s">
        <v>1366</v>
      </c>
      <c r="B25" s="1230" t="s">
        <v>2263</v>
      </c>
      <c r="C25" s="1004">
        <f>IF(B25="容积率修正",IF(G3&lt;10,D26,J26),C27)</f>
        <v>0</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7" t="s">
        <v>3197</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3198</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0</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1929</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3224</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t="e">
        <f>ROUND(C5*C22*C23*C24*C25*C28,0)</f>
        <v>#DIV/0!</v>
      </c>
      <c r="D33" s="1253"/>
      <c r="E33" s="1539" t="e">
        <f>ROUND(C33*D33/10000,0)</f>
        <v>#DIV/0!</v>
      </c>
      <c r="F33" s="3298" t="s">
        <v>3199</v>
      </c>
      <c r="G33" s="1254"/>
      <c r="H33" s="1254"/>
      <c r="I33" s="1254"/>
      <c r="J33" s="1255"/>
      <c r="K33" s="2745"/>
      <c r="L33" s="3366" t="s">
        <v>3225</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#DIV/0!</v>
      </c>
      <c r="F34" s="3299" t="s">
        <v>3200</v>
      </c>
      <c r="G34" s="1259"/>
      <c r="H34" s="1259"/>
      <c r="I34" s="1259"/>
      <c r="J34" s="1260"/>
      <c r="K34" s="1790"/>
      <c r="L34" s="3366" t="s">
        <v>3226</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8" t="s">
        <v>3227</v>
      </c>
      <c r="L36" s="3370">
        <f ca="1">'数据-取费表'!B40</f>
        <v>3.1300000000000001E-2</v>
      </c>
      <c r="M36" s="3371">
        <f ca="1">ROUND($L$36*(1+M31),3)</f>
        <v>3.9E-2</v>
      </c>
      <c r="N36" s="3371">
        <f ca="1">ROUND($L$36*(1+N31),3)</f>
        <v>3.7999999999999999E-2</v>
      </c>
      <c r="O36" s="3371">
        <f ca="1">ROUND($L$36*(1+O31),3)</f>
        <v>3.5999999999999997E-2</v>
      </c>
      <c r="P36" s="3371">
        <f ca="1">ROUND($L$36*(1+P31),3)</f>
        <v>3.4000000000000002E-2</v>
      </c>
      <c r="Q36" s="3371">
        <f ca="1">ROUND($L$36*(1+Q31),3)</f>
        <v>3.5999999999999997E-2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93"/>
      <c r="B37" s="1271" t="s">
        <v>923</v>
      </c>
      <c r="C37" s="955" t="e">
        <f>ROUND(D5*C22*C23*C24*C28*F37,0)</f>
        <v>#DIV/0!</v>
      </c>
      <c r="D37" s="1283"/>
      <c r="E37" s="946" t="e">
        <f>ROUND(C37*D37/10000,0)</f>
        <v>#DIV/0!</v>
      </c>
      <c r="F37" s="946">
        <f>SUMIF(修正!A59:A70,G2,修正!B59:B70)</f>
        <v>0</v>
      </c>
      <c r="G37" s="946" t="e">
        <f>ROUND(IF(E2="工业",C37*$M$42,C37*$M$41),0)</f>
        <v>#DIV/0!</v>
      </c>
      <c r="H37" s="946">
        <f>D37</f>
        <v>0</v>
      </c>
      <c r="I37" s="946" t="e">
        <f>ROUND(G37*H37/10000,0)</f>
        <v>#DIV/0!</v>
      </c>
      <c r="J37" s="3693"/>
      <c r="K37" s="3369" t="s">
        <v>3228</v>
      </c>
      <c r="L37" s="3370">
        <f ca="1">L36+K38</f>
        <v>3.6299999999999999E-2</v>
      </c>
      <c r="M37" s="3371">
        <f ca="1">ROUND($L$37*(1+M31),3)</f>
        <v>4.4999999999999998E-2</v>
      </c>
      <c r="N37" s="3371">
        <f t="shared" ref="N37:Q37" ca="1" si="3">ROUND($L$37*(1+N31),3)</f>
        <v>4.3999999999999997E-2</v>
      </c>
      <c r="O37" s="3371">
        <f t="shared" ca="1" si="3"/>
        <v>4.2000000000000003E-2</v>
      </c>
      <c r="P37" s="3371">
        <f t="shared" ca="1" si="3"/>
        <v>0.04</v>
      </c>
      <c r="Q37" s="3371">
        <f t="shared" ca="1" si="3"/>
        <v>4.2000000000000003E-2</v>
      </c>
      <c r="R37" s="1791"/>
      <c r="S37" s="1791"/>
      <c r="T37" s="1791"/>
      <c r="U37" s="1791"/>
      <c r="V37" s="1791"/>
      <c r="W37" s="1790"/>
      <c r="X37" s="1790"/>
      <c r="Y37" s="1790"/>
      <c r="Z37" s="1790"/>
      <c r="AA37" s="1790"/>
      <c r="AB37" s="1790"/>
      <c r="AC37" s="1791"/>
    </row>
    <row r="38" spans="1:44" ht="12.75">
      <c r="A38" s="3694"/>
      <c r="B38" s="1216" t="s">
        <v>924</v>
      </c>
      <c r="C38" s="955" t="e">
        <f>ROUND(D5*C22*C23*C24*C28*F38,0)</f>
        <v>#DIV/0!</v>
      </c>
      <c r="D38" s="1283"/>
      <c r="E38" s="946" t="e">
        <f t="shared" ref="E38:E42" si="4">ROUND(C38*D38/10000,0)</f>
        <v>#DIV/0!</v>
      </c>
      <c r="F38" s="946">
        <f>SUMIF(修正!A59:A70,G2,修正!C59:C70)</f>
        <v>0</v>
      </c>
      <c r="G38" s="946" t="e">
        <f>ROUND(IF(E2="工业",C38*$M$42,C38*$M$41),0)</f>
        <v>#DIV/0!</v>
      </c>
      <c r="H38" s="946">
        <f t="shared" ref="H38:H42" si="5">D38</f>
        <v>0</v>
      </c>
      <c r="I38" s="946" t="e">
        <f t="shared" ref="I38:I42" si="6">ROUND(G38*H38/10000,0)</f>
        <v>#DIV/0!</v>
      </c>
      <c r="J38" s="3694"/>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5" thickBot="1">
      <c r="A39" s="3694"/>
      <c r="B39" s="3300" t="s">
        <v>3201</v>
      </c>
      <c r="C39" s="955" t="e">
        <f>ROUND(D5*C22*C23*C24*C28*F39,0)</f>
        <v>#DIV/0!</v>
      </c>
      <c r="D39" s="1283"/>
      <c r="E39" s="946" t="e">
        <f t="shared" si="4"/>
        <v>#DIV/0!</v>
      </c>
      <c r="F39" s="946">
        <f>SUMIF(修正!A59:A70,G2,修正!D59:D70)</f>
        <v>0</v>
      </c>
      <c r="G39" s="946" t="e">
        <f>ROUND(IF(E2="工业",C39*$M$42,C39*$M$41),0)</f>
        <v>#DIV/0!</v>
      </c>
      <c r="H39" s="946">
        <f t="shared" si="5"/>
        <v>0</v>
      </c>
      <c r="I39" s="946" t="e">
        <f t="shared" si="6"/>
        <v>#DIV/0!</v>
      </c>
      <c r="J39" s="3694"/>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t="e">
        <f>ROUND(D5*C22*C23*C24*C28*F40,0)</f>
        <v>#DIV/0!</v>
      </c>
      <c r="D40" s="1283"/>
      <c r="E40" s="946" t="e">
        <f t="shared" si="4"/>
        <v>#DIV/0!</v>
      </c>
      <c r="F40" s="955">
        <f>SUMIF(修正!A59:A70,G2,修正!E59:E70)</f>
        <v>0</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t="e">
        <f>ROUND(D5*C22*C23*C44*C28*F41,0)</f>
        <v>#DIV/0!</v>
      </c>
      <c r="D41" s="1283"/>
      <c r="E41" s="946" t="e">
        <f t="shared" si="4"/>
        <v>#DIV/0!</v>
      </c>
      <c r="F41" s="955">
        <f>SUMIF(修正!A59:A70,G2,修正!F59:F70)</f>
        <v>0</v>
      </c>
      <c r="G41" s="946" t="e">
        <f>ROUND(IF(E2="工业",C41*$M$42,C41*$M$41),0)</f>
        <v>#DIV/0!</v>
      </c>
      <c r="H41" s="946">
        <f t="shared" si="5"/>
        <v>0</v>
      </c>
      <c r="I41" s="946" t="e">
        <f t="shared" si="6"/>
        <v>#DIV/0!</v>
      </c>
      <c r="J41" s="1272"/>
      <c r="K41" s="1790"/>
      <c r="L41" s="3372" t="s">
        <v>3229</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t="e">
        <f>ROUND(D5*C22*C23*C44*C28*F42,0)</f>
        <v>#DIV/0!</v>
      </c>
      <c r="D42" s="1284"/>
      <c r="E42" s="947" t="e">
        <f t="shared" si="4"/>
        <v>#DIV/0!</v>
      </c>
      <c r="F42" s="957">
        <f>SUMIF(修正!A59:A70,G2,修正!G59:G70)</f>
        <v>0</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2232</v>
      </c>
      <c r="C44" s="773" t="e">
        <f>ROUND(POWER(1+E44,H44-G44)*(POWER(1+E44,G44)-1)/(POWER(1+E44,H44)-1),4)</f>
        <v>#DIV/0!</v>
      </c>
      <c r="D44" s="348" t="s">
        <v>2230</v>
      </c>
      <c r="E44" s="2396">
        <f>G24</f>
        <v>0</v>
      </c>
      <c r="F44" s="348" t="s">
        <v>2231</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928</v>
      </c>
      <c r="B47" s="3310"/>
      <c r="C47" s="3311"/>
      <c r="D47" s="3312"/>
      <c r="E47" s="3312"/>
      <c r="F47" s="3312"/>
      <c r="G47" s="3168"/>
      <c r="H47" s="3312"/>
      <c r="I47" s="3168"/>
      <c r="J47" s="3168"/>
      <c r="K47" s="3168"/>
      <c r="L47" s="3168"/>
      <c r="M47" s="3168"/>
      <c r="O47" s="1799"/>
      <c r="P47" s="1799"/>
      <c r="Q47" s="1799"/>
      <c r="R47" s="1799"/>
      <c r="S47" s="1799"/>
      <c r="T47" s="1799"/>
      <c r="U47" s="1799"/>
      <c r="V47" s="1799"/>
      <c r="W47" s="1799"/>
      <c r="X47" s="1799"/>
      <c r="Y47" s="1799"/>
      <c r="Z47" s="1799"/>
      <c r="AA47" s="1799"/>
      <c r="AB47" s="1799"/>
      <c r="AC47" s="1799"/>
      <c r="AD47" s="1799"/>
    </row>
    <row r="48" spans="1:44" s="3313" customFormat="1" ht="15">
      <c r="A48" s="3314" t="s">
        <v>929</v>
      </c>
      <c r="B48" s="3376">
        <f>1+E50</f>
        <v>1</v>
      </c>
      <c r="C48" s="3315"/>
      <c r="D48" s="3316"/>
      <c r="E48" s="3317"/>
      <c r="F48" s="3309"/>
      <c r="G48" s="3312"/>
      <c r="H48" s="3312"/>
      <c r="I48" s="3168"/>
      <c r="J48" s="3168"/>
      <c r="K48" s="3168"/>
      <c r="L48" s="3168"/>
      <c r="M48" s="3168"/>
      <c r="O48" s="1799"/>
      <c r="P48" s="1799"/>
      <c r="Q48" s="1799"/>
      <c r="R48" s="1799"/>
      <c r="S48" s="1799"/>
      <c r="T48" s="1799"/>
      <c r="U48" s="1799"/>
      <c r="V48" s="1799"/>
      <c r="W48" s="1799"/>
      <c r="X48" s="1799"/>
      <c r="Y48" s="1799"/>
      <c r="Z48" s="1799"/>
      <c r="AA48" s="1799"/>
      <c r="AB48" s="1799"/>
      <c r="AC48" s="1799"/>
      <c r="AD48" s="1799"/>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9"/>
      <c r="Q49" s="1799"/>
      <c r="R49" s="1799"/>
      <c r="S49" s="1799"/>
      <c r="T49" s="1799"/>
      <c r="U49" s="1799"/>
      <c r="V49" s="1799"/>
      <c r="W49" s="1799"/>
      <c r="X49" s="1799"/>
      <c r="Y49" s="1799"/>
      <c r="Z49" s="1799"/>
      <c r="AA49" s="1799"/>
      <c r="AB49" s="1799"/>
      <c r="AC49" s="1799"/>
      <c r="AD49" s="1799"/>
    </row>
    <row r="50" spans="1:30" s="3313" customFormat="1" ht="24">
      <c r="A50" s="3318" t="s">
        <v>942</v>
      </c>
      <c r="B50" s="3325">
        <f>估价对象房地状况!C16</f>
        <v>0</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9"/>
      <c r="Q50" s="1799"/>
      <c r="R50" s="1799"/>
      <c r="S50" s="1799"/>
      <c r="T50" s="1799"/>
      <c r="U50" s="1799"/>
      <c r="V50" s="1799"/>
      <c r="W50" s="1799"/>
      <c r="X50" s="1799"/>
      <c r="Y50" s="1799"/>
      <c r="Z50" s="1799"/>
      <c r="AA50" s="1799"/>
      <c r="AB50" s="1799"/>
      <c r="AC50" s="1799"/>
      <c r="AD50" s="1799"/>
    </row>
    <row r="51" spans="1:30" s="3313" customFormat="1" ht="14.25">
      <c r="A51" s="3318" t="s">
        <v>943</v>
      </c>
      <c r="B51" s="3319">
        <f>估价对象房地状况!C18</f>
        <v>0</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9"/>
      <c r="Q51" s="1799"/>
      <c r="R51" s="1799"/>
      <c r="S51" s="1799"/>
      <c r="T51" s="1799"/>
      <c r="U51" s="1799"/>
      <c r="V51" s="1799"/>
      <c r="W51" s="1799"/>
      <c r="X51" s="1799"/>
      <c r="Y51" s="1799"/>
      <c r="Z51" s="1799"/>
      <c r="AA51" s="1799"/>
      <c r="AB51" s="1799"/>
      <c r="AC51" s="1799"/>
      <c r="AD51" s="1799"/>
    </row>
    <row r="52" spans="1:30" s="3313" customFormat="1" ht="36">
      <c r="A52" s="3301" t="s">
        <v>3203</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9"/>
      <c r="Q52" s="1799"/>
      <c r="R52" s="1799"/>
      <c r="S52" s="1799"/>
      <c r="T52" s="1799"/>
      <c r="U52" s="1799"/>
      <c r="V52" s="1799"/>
      <c r="W52" s="1799"/>
      <c r="X52" s="1799"/>
      <c r="Y52" s="1799"/>
      <c r="Z52" s="1799"/>
      <c r="AA52" s="1799"/>
      <c r="AB52" s="1799"/>
      <c r="AC52" s="1799"/>
      <c r="AD52" s="1799"/>
    </row>
    <row r="53" spans="1:30" s="3313" customFormat="1" ht="36">
      <c r="A53" s="3318" t="s">
        <v>945</v>
      </c>
      <c r="B53" s="3334" t="s">
        <v>2189</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9"/>
      <c r="Q53" s="1799"/>
      <c r="R53" s="1799"/>
      <c r="S53" s="1799"/>
      <c r="T53" s="1799"/>
      <c r="U53" s="1799"/>
      <c r="V53" s="1799"/>
      <c r="W53" s="1799"/>
      <c r="X53" s="1799"/>
      <c r="Y53" s="1799"/>
      <c r="Z53" s="1799"/>
      <c r="AA53" s="1799"/>
      <c r="AB53" s="1799"/>
      <c r="AC53" s="1799"/>
      <c r="AD53" s="1799"/>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9"/>
      <c r="Q54" s="1799"/>
      <c r="R54" s="1799"/>
      <c r="S54" s="1799"/>
      <c r="T54" s="1799"/>
      <c r="U54" s="1799"/>
      <c r="V54" s="1799"/>
      <c r="W54" s="1799"/>
      <c r="X54" s="1799"/>
      <c r="Y54" s="1799"/>
      <c r="Z54" s="1799"/>
      <c r="AA54" s="1799"/>
      <c r="AB54" s="1799"/>
      <c r="AC54" s="1799"/>
      <c r="AD54" s="1799"/>
    </row>
    <row r="55" spans="1:30" s="3313" customFormat="1" ht="24">
      <c r="A55" s="3318" t="s">
        <v>947</v>
      </c>
      <c r="B55" s="3335" t="s">
        <v>2188</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9"/>
      <c r="Q55" s="1799"/>
      <c r="R55" s="1799"/>
      <c r="S55" s="1799"/>
      <c r="T55" s="1799"/>
      <c r="U55" s="1799"/>
      <c r="V55" s="1799"/>
      <c r="W55" s="1799"/>
      <c r="X55" s="1799"/>
      <c r="Y55" s="1799"/>
      <c r="Z55" s="1799"/>
      <c r="AA55" s="1799"/>
      <c r="AB55" s="1799"/>
      <c r="AC55" s="1799"/>
      <c r="AD55" s="1799"/>
    </row>
    <row r="56" spans="1:30" s="3313" customFormat="1" ht="24">
      <c r="A56" s="3336" t="s">
        <v>948</v>
      </c>
      <c r="B56" s="3337">
        <f>估价对象房地状况!C21</f>
        <v>0</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9"/>
      <c r="Q56" s="1799"/>
      <c r="R56" s="1799"/>
      <c r="S56" s="1799"/>
      <c r="T56" s="1799"/>
      <c r="U56" s="1799"/>
      <c r="V56" s="1799"/>
      <c r="W56" s="1799"/>
      <c r="X56" s="1799"/>
      <c r="Y56" s="1799"/>
      <c r="Z56" s="1799"/>
      <c r="AA56" s="1799"/>
      <c r="AB56" s="1799"/>
      <c r="AC56" s="1799"/>
      <c r="AD56" s="1799"/>
    </row>
    <row r="57" spans="1:30" s="3313" customFormat="1" ht="24">
      <c r="A57" s="3336" t="s">
        <v>949</v>
      </c>
      <c r="B57" s="3319">
        <f>估价对象房地状况!C22</f>
        <v>0</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9"/>
      <c r="Q57" s="1799"/>
      <c r="R57" s="1799"/>
      <c r="S57" s="1799"/>
      <c r="T57" s="1799"/>
      <c r="U57" s="1799"/>
      <c r="V57" s="1799"/>
      <c r="W57" s="1799"/>
      <c r="X57" s="1799"/>
      <c r="Y57" s="1799"/>
      <c r="Z57" s="1799"/>
      <c r="AA57" s="1799"/>
      <c r="AB57" s="1799"/>
      <c r="AC57" s="1799"/>
      <c r="AD57" s="1799"/>
    </row>
    <row r="58" spans="1:30" s="3313" customFormat="1" ht="24.75" thickBot="1">
      <c r="A58" s="3338" t="s">
        <v>950</v>
      </c>
      <c r="B58" s="3339">
        <f>估价对象房地状况!C20</f>
        <v>0</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9"/>
      <c r="Q58" s="1799"/>
      <c r="R58" s="1799"/>
      <c r="S58" s="1799"/>
      <c r="T58" s="1799"/>
      <c r="U58" s="1799"/>
      <c r="V58" s="1799"/>
      <c r="W58" s="1799"/>
      <c r="X58" s="1799"/>
      <c r="Y58" s="1799"/>
      <c r="Z58" s="1799"/>
      <c r="AA58" s="1799"/>
      <c r="AB58" s="1799"/>
      <c r="AC58" s="1799"/>
      <c r="AD58" s="1799"/>
    </row>
    <row r="59" spans="1:30" s="3313" customFormat="1" ht="15">
      <c r="A59" s="3314" t="s">
        <v>951</v>
      </c>
      <c r="B59" s="3376">
        <f>1+E61</f>
        <v>1</v>
      </c>
      <c r="C59" s="3341"/>
      <c r="D59" s="3316"/>
      <c r="E59" s="3317"/>
      <c r="F59" s="3309"/>
      <c r="G59" s="3312"/>
      <c r="H59" s="3312"/>
      <c r="I59" s="3312"/>
      <c r="J59" s="3168"/>
      <c r="K59" s="3168"/>
      <c r="L59" s="3168"/>
      <c r="M59" s="3168"/>
      <c r="N59" s="3168"/>
      <c r="P59" s="1799"/>
      <c r="Q59" s="1799"/>
      <c r="R59" s="1799"/>
      <c r="S59" s="1799"/>
      <c r="T59" s="1799"/>
      <c r="U59" s="1799"/>
      <c r="V59" s="1799"/>
      <c r="W59" s="1799"/>
      <c r="X59" s="1799"/>
      <c r="Y59" s="1799"/>
      <c r="Z59" s="1799"/>
      <c r="AA59" s="1799"/>
      <c r="AB59" s="1799"/>
      <c r="AC59" s="1799"/>
      <c r="AD59" s="1799"/>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9"/>
      <c r="Q60" s="1799"/>
      <c r="R60" s="1799"/>
      <c r="S60" s="1799"/>
      <c r="T60" s="1799"/>
      <c r="U60" s="1799"/>
      <c r="V60" s="1799"/>
      <c r="W60" s="1799"/>
      <c r="X60" s="1799"/>
      <c r="Y60" s="1799"/>
      <c r="Z60" s="1799"/>
      <c r="AA60" s="1799"/>
      <c r="AB60" s="1799"/>
      <c r="AC60" s="1799"/>
      <c r="AD60" s="1799"/>
    </row>
    <row r="61" spans="1:30" s="3313" customFormat="1" ht="24">
      <c r="A61" s="3318" t="s">
        <v>952</v>
      </c>
      <c r="B61" s="3325">
        <f>估价对象房地状况!C17</f>
        <v>0</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14.25">
      <c r="A62" s="3318" t="s">
        <v>943</v>
      </c>
      <c r="B62" s="3319">
        <f>估价对象房地状况!C18</f>
        <v>0</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36">
      <c r="A63" s="3301" t="s">
        <v>3203</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945</v>
      </c>
      <c r="B64" s="3334" t="s">
        <v>2190</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24">
      <c r="A66" s="3318" t="s">
        <v>947</v>
      </c>
      <c r="B66" s="3335" t="s">
        <v>2188</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948</v>
      </c>
      <c r="B67" s="3337">
        <f>估价对象房地状况!C21</f>
        <v>0</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949</v>
      </c>
      <c r="B68" s="3337">
        <f>估价对象房地状况!C22</f>
        <v>0</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24.75" thickBot="1">
      <c r="A69" s="3338" t="s">
        <v>950</v>
      </c>
      <c r="B69" s="3342">
        <f>估价对象房地状况!C20</f>
        <v>0</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5">
      <c r="A70" s="3314" t="s">
        <v>953</v>
      </c>
      <c r="B70" s="3376">
        <f>1+E72</f>
        <v>1</v>
      </c>
      <c r="C70" s="3341"/>
      <c r="D70" s="3316"/>
      <c r="E70" s="3317"/>
      <c r="F70" s="3309"/>
      <c r="G70" s="3312"/>
      <c r="H70" s="3312"/>
      <c r="I70" s="3312"/>
      <c r="J70" s="3168"/>
      <c r="K70" s="3168"/>
      <c r="L70" s="3168"/>
      <c r="M70" s="3168"/>
      <c r="N70" s="3168"/>
      <c r="P70" s="1799"/>
      <c r="Q70" s="1799"/>
      <c r="R70" s="1799"/>
      <c r="S70" s="1799"/>
      <c r="T70" s="1799"/>
      <c r="U70" s="1799"/>
      <c r="V70" s="1799"/>
      <c r="W70" s="1799"/>
      <c r="X70" s="1799"/>
      <c r="Y70" s="1799"/>
      <c r="Z70" s="1799"/>
      <c r="AA70" s="1799"/>
      <c r="AB70" s="1799"/>
      <c r="AC70" s="1799"/>
      <c r="AD70" s="1799"/>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9"/>
      <c r="Q71" s="1799"/>
      <c r="R71" s="1799"/>
      <c r="S71" s="1799"/>
      <c r="T71" s="1799"/>
      <c r="U71" s="1799"/>
      <c r="V71" s="1799"/>
      <c r="W71" s="1799"/>
      <c r="X71" s="1799"/>
      <c r="Y71" s="1799"/>
      <c r="Z71" s="1799"/>
      <c r="AA71" s="1799"/>
      <c r="AB71" s="1799"/>
      <c r="AC71" s="1799"/>
      <c r="AD71" s="1799"/>
    </row>
    <row r="72" spans="1:36" s="3313" customFormat="1" ht="24">
      <c r="A72" s="3318" t="s">
        <v>954</v>
      </c>
      <c r="B72" s="3319">
        <f>估价对象房地状况!C15</f>
        <v>0</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14.25">
      <c r="A73" s="3318" t="s">
        <v>955</v>
      </c>
      <c r="B73" s="3319">
        <f>估价对象房地状况!C18</f>
        <v>0</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36">
      <c r="A74" s="3301" t="s">
        <v>3203</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948</v>
      </c>
      <c r="B76" s="3337">
        <f>估价对象房地状况!C21</f>
        <v>0</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949</v>
      </c>
      <c r="B77" s="3337">
        <f>估价对象房地状况!C22</f>
        <v>0</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24">
      <c r="A78" s="3318" t="s">
        <v>947</v>
      </c>
      <c r="B78" s="3335" t="s">
        <v>2188</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24">
      <c r="A79" s="3318" t="s">
        <v>950</v>
      </c>
      <c r="B79" s="3325">
        <f>估价对象房地状况!C20</f>
        <v>0</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5" customFormat="1" ht="24">
      <c r="A83" s="3318" t="s">
        <v>959</v>
      </c>
      <c r="B83" s="3319">
        <f>估价对象房地状况!G15</f>
        <v>0</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14.25">
      <c r="A84" s="3318" t="s">
        <v>955</v>
      </c>
      <c r="B84" s="3319">
        <f>估价对象房地状况!G16</f>
        <v>0</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948</v>
      </c>
      <c r="B87" s="3337">
        <f>估价对象房地状况!G19</f>
        <v>0</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949</v>
      </c>
      <c r="B88" s="3337">
        <f>估价对象房地状况!G20</f>
        <v>0</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947</v>
      </c>
      <c r="B89" s="3335" t="s">
        <v>2188</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15" thickBot="1">
      <c r="A90" s="3338" t="s">
        <v>960</v>
      </c>
      <c r="B90" s="3348">
        <f>估价对象房地状况!G18</f>
        <v>0</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3212</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3213</v>
      </c>
      <c r="B92" s="3303"/>
      <c r="C92" s="3303" t="s">
        <v>3218</v>
      </c>
      <c r="D92" s="3303" t="s">
        <v>3205</v>
      </c>
      <c r="E92" s="346" t="s">
        <v>3206</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5" customFormat="1" ht="24">
      <c r="A93" s="3357" t="s">
        <v>3214</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14.25">
      <c r="A94" s="3303" t="s">
        <v>3215</v>
      </c>
      <c r="B94" s="3319">
        <f>估价对象房地状况!G16</f>
        <v>0</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3203</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3207</v>
      </c>
      <c r="B96" s="3307" t="s">
        <v>3208</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3209</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3216</v>
      </c>
      <c r="B98" s="3334" t="s">
        <v>2188</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3217</v>
      </c>
      <c r="B99" s="3319">
        <f>估价对象房地状况!C21</f>
        <v>0</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3210</v>
      </c>
      <c r="B100" s="3319">
        <f>估价对象房地状况!C22</f>
        <v>0</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3211</v>
      </c>
      <c r="B101" s="3325">
        <f>估价对象房地状况!C20</f>
        <v>0</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691" t="s">
        <v>1172</v>
      </c>
      <c r="B104" s="3691"/>
      <c r="C104" s="3691"/>
      <c r="D104" s="3691"/>
      <c r="E104" s="3691"/>
      <c r="F104" s="3691"/>
      <c r="G104" s="3691"/>
      <c r="H104" s="3691"/>
      <c r="I104" s="3691"/>
      <c r="J104" s="3691"/>
      <c r="K104" s="1001"/>
      <c r="L104" s="1001"/>
      <c r="M104" s="1001"/>
      <c r="N104" s="1001"/>
    </row>
    <row r="105" spans="1:36">
      <c r="A105" s="3692" t="s">
        <v>1161</v>
      </c>
      <c r="B105" s="3692" t="s">
        <v>1173</v>
      </c>
      <c r="C105" s="989" t="s">
        <v>1174</v>
      </c>
      <c r="D105" s="990"/>
      <c r="E105" s="990"/>
      <c r="F105" s="990"/>
      <c r="G105" s="990"/>
      <c r="H105" s="990"/>
      <c r="I105" s="990"/>
      <c r="J105" s="991"/>
      <c r="K105" s="984"/>
      <c r="L105" s="984"/>
      <c r="M105" s="984"/>
      <c r="N105" s="984"/>
    </row>
    <row r="106" spans="1:36">
      <c r="A106" s="3692"/>
      <c r="B106" s="369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98" t="s">
        <v>2044</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99"/>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99"/>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99"/>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99"/>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99"/>
      <c r="B112" s="992" t="s">
        <v>3219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700"/>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88" t="s">
        <v>1175</v>
      </c>
      <c r="B114" s="3688"/>
      <c r="C114" s="3688"/>
      <c r="D114" s="3688"/>
      <c r="E114" s="3688"/>
      <c r="F114" s="3688"/>
      <c r="G114" s="3688"/>
      <c r="H114" s="3688"/>
      <c r="I114" s="3688"/>
      <c r="J114" s="3688"/>
      <c r="K114" s="1969"/>
      <c r="L114" s="1969"/>
      <c r="M114" s="1969"/>
      <c r="N114" s="1969"/>
    </row>
    <row r="116" spans="1:14" ht="12.75" thickBot="1"/>
    <row r="117" spans="1:14" ht="25.5" thickBot="1">
      <c r="A117" s="927" t="s">
        <v>831</v>
      </c>
      <c r="B117" s="1970">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0" t="s">
        <v>3220</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3221</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3222</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3223</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3204</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75" defaultRowHeight="13.5"/>
  <cols>
    <col min="1" max="1" width="13.875" style="958"/>
    <col min="2" max="9" width="13.875" style="974"/>
    <col min="10" max="16384" width="13.875" style="958"/>
  </cols>
  <sheetData>
    <row r="1" spans="1:13" ht="14.25" thickBot="1">
      <c r="A1" s="975" t="s">
        <v>2749</v>
      </c>
      <c r="B1" s="963" t="s">
        <v>990</v>
      </c>
      <c r="C1" s="963" t="s">
        <v>1031</v>
      </c>
      <c r="D1" s="963" t="s">
        <v>1145</v>
      </c>
      <c r="E1" s="963" t="s">
        <v>853</v>
      </c>
      <c r="F1" s="963" t="s">
        <v>1152</v>
      </c>
      <c r="G1" s="963" t="s">
        <v>1153</v>
      </c>
      <c r="H1" s="963" t="s">
        <v>1154</v>
      </c>
      <c r="I1" s="963" t="s">
        <v>1155</v>
      </c>
      <c r="J1" s="963" t="s">
        <v>1156</v>
      </c>
      <c r="K1" s="963" t="s">
        <v>1157</v>
      </c>
      <c r="L1" s="963" t="s">
        <v>2750</v>
      </c>
      <c r="M1" s="964" t="s">
        <v>2751</v>
      </c>
    </row>
    <row r="2" spans="1:13">
      <c r="A2" s="2986" t="s">
        <v>2726</v>
      </c>
      <c r="B2" s="2987">
        <v>3.5</v>
      </c>
      <c r="C2" s="2987">
        <v>3.5</v>
      </c>
      <c r="D2" s="2988">
        <v>2.5</v>
      </c>
      <c r="E2" s="2988">
        <v>2.5</v>
      </c>
      <c r="F2" s="2988">
        <v>2.5</v>
      </c>
      <c r="G2" s="2988">
        <v>2.5</v>
      </c>
      <c r="H2" s="2988">
        <v>2.5</v>
      </c>
      <c r="I2" s="2987">
        <v>2</v>
      </c>
      <c r="J2" s="2987">
        <v>2</v>
      </c>
      <c r="K2" s="2987">
        <v>2</v>
      </c>
      <c r="L2" s="2987">
        <v>2</v>
      </c>
      <c r="M2" s="2989">
        <v>2</v>
      </c>
    </row>
    <row r="3" spans="1:13">
      <c r="A3" s="2990" t="s">
        <v>1212</v>
      </c>
      <c r="B3" s="2991">
        <v>3.5</v>
      </c>
      <c r="C3" s="2991">
        <v>3.5</v>
      </c>
      <c r="D3" s="2992">
        <v>2.5</v>
      </c>
      <c r="E3" s="2992">
        <v>2.5</v>
      </c>
      <c r="F3" s="2992">
        <v>2.5</v>
      </c>
      <c r="G3" s="2992">
        <v>2.5</v>
      </c>
      <c r="H3" s="2992">
        <v>2.5</v>
      </c>
      <c r="I3" s="2991">
        <v>2</v>
      </c>
      <c r="J3" s="2991">
        <v>2</v>
      </c>
      <c r="K3" s="2991">
        <v>2</v>
      </c>
      <c r="L3" s="2991">
        <v>2</v>
      </c>
      <c r="M3" s="2993">
        <v>2</v>
      </c>
    </row>
    <row r="4" spans="1:13">
      <c r="A4" s="2990" t="s">
        <v>851</v>
      </c>
      <c r="B4" s="2992">
        <v>2.5</v>
      </c>
      <c r="C4" s="2992">
        <v>2.5</v>
      </c>
      <c r="D4" s="2992">
        <v>2.5</v>
      </c>
      <c r="E4" s="2992">
        <v>2.5</v>
      </c>
      <c r="F4" s="2992">
        <v>2.5</v>
      </c>
      <c r="G4" s="2992">
        <v>2.5</v>
      </c>
      <c r="H4" s="2992">
        <v>2.5</v>
      </c>
      <c r="I4" s="2991">
        <v>1.5</v>
      </c>
      <c r="J4" s="2991">
        <v>1.5</v>
      </c>
      <c r="K4" s="2991">
        <v>1.5</v>
      </c>
      <c r="L4" s="2991">
        <v>1.5</v>
      </c>
      <c r="M4" s="2993">
        <v>1.5</v>
      </c>
    </row>
    <row r="5" spans="1:13">
      <c r="A5" s="2994" t="s">
        <v>905</v>
      </c>
      <c r="B5" s="2991">
        <v>1.5</v>
      </c>
      <c r="C5" s="2991">
        <v>1.5</v>
      </c>
      <c r="D5" s="2991">
        <v>1.5</v>
      </c>
      <c r="E5" s="2991">
        <v>1.5</v>
      </c>
      <c r="F5" s="2991">
        <v>1.5</v>
      </c>
      <c r="G5" s="2991">
        <v>1.2</v>
      </c>
      <c r="H5" s="2991">
        <v>1.2</v>
      </c>
      <c r="I5" s="2991">
        <v>1</v>
      </c>
      <c r="J5" s="2991">
        <v>1</v>
      </c>
      <c r="K5" s="2991">
        <v>1</v>
      </c>
      <c r="L5" s="2991">
        <v>1</v>
      </c>
      <c r="M5" s="2993">
        <v>1</v>
      </c>
    </row>
    <row r="6" spans="1:13">
      <c r="A6" s="2995" t="s">
        <v>2752</v>
      </c>
      <c r="B6" s="2996">
        <v>2.5</v>
      </c>
      <c r="C6" s="2996">
        <v>2.5</v>
      </c>
      <c r="D6" s="2996">
        <v>2</v>
      </c>
      <c r="E6" s="2996">
        <v>2</v>
      </c>
      <c r="F6" s="2996">
        <v>2</v>
      </c>
      <c r="G6" s="2996">
        <v>2</v>
      </c>
      <c r="H6" s="2996">
        <v>2</v>
      </c>
      <c r="I6" s="2997">
        <v>1.5</v>
      </c>
      <c r="J6" s="2997">
        <v>1.5</v>
      </c>
      <c r="K6" s="2997">
        <v>1.5</v>
      </c>
      <c r="L6" s="2997">
        <v>1.5</v>
      </c>
      <c r="M6" s="2998">
        <v>1.5</v>
      </c>
    </row>
    <row r="7" spans="1:13" ht="14.25" thickBot="1">
      <c r="A7" s="2999" t="s">
        <v>2724</v>
      </c>
      <c r="B7" s="3000">
        <v>2.5</v>
      </c>
      <c r="C7" s="3000">
        <v>2.5</v>
      </c>
      <c r="D7" s="3000">
        <v>2</v>
      </c>
      <c r="E7" s="3000">
        <v>2</v>
      </c>
      <c r="F7" s="3000">
        <v>2</v>
      </c>
      <c r="G7" s="3000">
        <v>2</v>
      </c>
      <c r="H7" s="3000">
        <v>2</v>
      </c>
      <c r="I7" s="3001">
        <v>1.5</v>
      </c>
      <c r="J7" s="3001">
        <v>1.5</v>
      </c>
      <c r="K7" s="3001">
        <v>1.5</v>
      </c>
      <c r="L7" s="3001">
        <v>1.5</v>
      </c>
      <c r="M7" s="3002">
        <v>1.5</v>
      </c>
    </row>
    <row r="8" spans="1:13">
      <c r="A8" s="976" t="s">
        <v>2753</v>
      </c>
      <c r="B8" s="3003">
        <v>80</v>
      </c>
      <c r="C8" s="3003">
        <v>80</v>
      </c>
      <c r="D8" s="3003">
        <v>70</v>
      </c>
      <c r="E8" s="3003">
        <v>70</v>
      </c>
      <c r="F8" s="3003">
        <v>70</v>
      </c>
      <c r="G8" s="3003">
        <v>70</v>
      </c>
      <c r="H8" s="3003">
        <v>70</v>
      </c>
      <c r="I8" s="3003">
        <v>60</v>
      </c>
      <c r="J8" s="3003">
        <v>60</v>
      </c>
      <c r="K8" s="3003">
        <v>60</v>
      </c>
      <c r="L8" s="3003">
        <v>60</v>
      </c>
      <c r="M8" s="3004">
        <v>60</v>
      </c>
    </row>
    <row r="9" spans="1:13">
      <c r="A9" s="959" t="s">
        <v>2754</v>
      </c>
      <c r="B9" s="3005">
        <v>70</v>
      </c>
      <c r="C9" s="3005">
        <v>70</v>
      </c>
      <c r="D9" s="3005">
        <v>60</v>
      </c>
      <c r="E9" s="3005">
        <v>60</v>
      </c>
      <c r="F9" s="3005">
        <v>60</v>
      </c>
      <c r="G9" s="3005">
        <v>60</v>
      </c>
      <c r="H9" s="3005">
        <v>60</v>
      </c>
      <c r="I9" s="3005">
        <v>50</v>
      </c>
      <c r="J9" s="3005">
        <v>50</v>
      </c>
      <c r="K9" s="3005">
        <v>50</v>
      </c>
      <c r="L9" s="3005">
        <v>50</v>
      </c>
      <c r="M9" s="3006">
        <v>50</v>
      </c>
    </row>
    <row r="10" spans="1:13">
      <c r="A10" s="959" t="s">
        <v>2755</v>
      </c>
      <c r="B10" s="3005">
        <v>20</v>
      </c>
      <c r="C10" s="3005">
        <v>20</v>
      </c>
      <c r="D10" s="3005">
        <v>15</v>
      </c>
      <c r="E10" s="3005">
        <v>15</v>
      </c>
      <c r="F10" s="3005">
        <v>15</v>
      </c>
      <c r="G10" s="3005">
        <v>15</v>
      </c>
      <c r="H10" s="3005">
        <v>15</v>
      </c>
      <c r="I10" s="3005">
        <v>10</v>
      </c>
      <c r="J10" s="3005">
        <v>10</v>
      </c>
      <c r="K10" s="3005">
        <v>10</v>
      </c>
      <c r="L10" s="3005">
        <v>10</v>
      </c>
      <c r="M10" s="3006">
        <v>10</v>
      </c>
    </row>
    <row r="11" spans="1:13">
      <c r="A11" s="959" t="s">
        <v>2756</v>
      </c>
      <c r="B11" s="3005">
        <v>30</v>
      </c>
      <c r="C11" s="3005">
        <v>30</v>
      </c>
      <c r="D11" s="3005">
        <v>25</v>
      </c>
      <c r="E11" s="3005">
        <v>25</v>
      </c>
      <c r="F11" s="3005">
        <v>25</v>
      </c>
      <c r="G11" s="3005">
        <v>25</v>
      </c>
      <c r="H11" s="3005">
        <v>25</v>
      </c>
      <c r="I11" s="3005">
        <v>20</v>
      </c>
      <c r="J11" s="3005">
        <v>20</v>
      </c>
      <c r="K11" s="3005">
        <v>20</v>
      </c>
      <c r="L11" s="3005">
        <v>20</v>
      </c>
      <c r="M11" s="3006">
        <v>20</v>
      </c>
    </row>
    <row r="12" spans="1:13">
      <c r="A12" s="959" t="s">
        <v>2757</v>
      </c>
      <c r="B12" s="3005">
        <v>45</v>
      </c>
      <c r="C12" s="3005">
        <v>45</v>
      </c>
      <c r="D12" s="3005">
        <v>40</v>
      </c>
      <c r="E12" s="3005">
        <v>40</v>
      </c>
      <c r="F12" s="3005">
        <v>40</v>
      </c>
      <c r="G12" s="3005">
        <v>40</v>
      </c>
      <c r="H12" s="3005">
        <v>40</v>
      </c>
      <c r="I12" s="3005">
        <v>35</v>
      </c>
      <c r="J12" s="3005">
        <v>35</v>
      </c>
      <c r="K12" s="3005">
        <v>35</v>
      </c>
      <c r="L12" s="3005">
        <v>35</v>
      </c>
      <c r="M12" s="3006">
        <v>35</v>
      </c>
    </row>
    <row r="13" spans="1:13">
      <c r="A13" s="959" t="s">
        <v>2758</v>
      </c>
      <c r="B13" s="3005">
        <v>60</v>
      </c>
      <c r="C13" s="3005">
        <v>60</v>
      </c>
      <c r="D13" s="3005">
        <v>50</v>
      </c>
      <c r="E13" s="3005">
        <v>50</v>
      </c>
      <c r="F13" s="3005">
        <v>50</v>
      </c>
      <c r="G13" s="3005">
        <v>50</v>
      </c>
      <c r="H13" s="3005">
        <v>50</v>
      </c>
      <c r="I13" s="3005">
        <v>40</v>
      </c>
      <c r="J13" s="3005">
        <v>40</v>
      </c>
      <c r="K13" s="3005">
        <v>40</v>
      </c>
      <c r="L13" s="3005">
        <v>40</v>
      </c>
      <c r="M13" s="3006">
        <v>40</v>
      </c>
    </row>
    <row r="14" spans="1:13">
      <c r="A14" s="959" t="s">
        <v>2759</v>
      </c>
      <c r="B14" s="3005">
        <v>50</v>
      </c>
      <c r="C14" s="3005">
        <v>50</v>
      </c>
      <c r="D14" s="3005">
        <v>40</v>
      </c>
      <c r="E14" s="3005">
        <v>40</v>
      </c>
      <c r="F14" s="3005">
        <v>40</v>
      </c>
      <c r="G14" s="3005">
        <v>40</v>
      </c>
      <c r="H14" s="3005">
        <v>40</v>
      </c>
      <c r="I14" s="3005">
        <v>30</v>
      </c>
      <c r="J14" s="3005">
        <v>30</v>
      </c>
      <c r="K14" s="3005">
        <v>30</v>
      </c>
      <c r="L14" s="3005">
        <v>30</v>
      </c>
      <c r="M14" s="3006">
        <v>30</v>
      </c>
    </row>
    <row r="15" spans="1:13">
      <c r="A15" s="977" t="s">
        <v>2760</v>
      </c>
      <c r="B15" s="3007">
        <v>20</v>
      </c>
      <c r="C15" s="3007">
        <v>20</v>
      </c>
      <c r="D15" s="3007">
        <v>15</v>
      </c>
      <c r="E15" s="3007">
        <v>15</v>
      </c>
      <c r="F15" s="3007">
        <v>15</v>
      </c>
      <c r="G15" s="3007">
        <v>15</v>
      </c>
      <c r="H15" s="3007">
        <v>15</v>
      </c>
      <c r="I15" s="3007">
        <v>10</v>
      </c>
      <c r="J15" s="3007">
        <v>10</v>
      </c>
      <c r="K15" s="3007">
        <v>10</v>
      </c>
      <c r="L15" s="3007">
        <v>10</v>
      </c>
      <c r="M15" s="3008">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2761</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4.25" thickBot="1">
      <c r="A19" s="3007" t="s">
        <v>2443</v>
      </c>
      <c r="B19" s="3009" t="s">
        <v>2444</v>
      </c>
      <c r="C19" s="3009" t="s">
        <v>2445</v>
      </c>
      <c r="D19" s="3406"/>
      <c r="E19" s="3007" t="s">
        <v>2446</v>
      </c>
      <c r="F19" s="982"/>
      <c r="G19" s="982"/>
    </row>
    <row r="20" spans="1:13">
      <c r="A20" s="3707" t="s">
        <v>2437</v>
      </c>
      <c r="B20" s="3712" t="s">
        <v>2447</v>
      </c>
      <c r="C20" s="3410" t="s">
        <v>2448</v>
      </c>
      <c r="D20" s="3410"/>
      <c r="E20" s="3013">
        <v>1</v>
      </c>
      <c r="F20" s="3014" t="s">
        <v>2449</v>
      </c>
      <c r="G20" s="984"/>
    </row>
    <row r="21" spans="1:13">
      <c r="A21" s="3708"/>
      <c r="B21" s="3703"/>
      <c r="C21" s="3026" t="s">
        <v>2450</v>
      </c>
      <c r="D21" s="3026"/>
      <c r="E21" s="3017">
        <v>1</v>
      </c>
      <c r="F21" s="3014" t="s">
        <v>2451</v>
      </c>
      <c r="G21" s="984"/>
    </row>
    <row r="22" spans="1:13">
      <c r="A22" s="3708"/>
      <c r="B22" s="3703"/>
      <c r="C22" s="3026" t="s">
        <v>2452</v>
      </c>
      <c r="D22" s="3026"/>
      <c r="E22" s="3017">
        <v>0.9</v>
      </c>
      <c r="F22" s="3014" t="s">
        <v>2453</v>
      </c>
      <c r="G22" s="984"/>
    </row>
    <row r="23" spans="1:13">
      <c r="A23" s="3708"/>
      <c r="B23" s="3703"/>
      <c r="C23" s="3026" t="s">
        <v>2454</v>
      </c>
      <c r="D23" s="3026"/>
      <c r="E23" s="3017">
        <v>0.9</v>
      </c>
      <c r="F23" s="3014" t="s">
        <v>2455</v>
      </c>
      <c r="G23" s="984"/>
    </row>
    <row r="24" spans="1:13">
      <c r="A24" s="3708"/>
      <c r="B24" s="3703"/>
      <c r="C24" s="3026" t="s">
        <v>2456</v>
      </c>
      <c r="D24" s="3026"/>
      <c r="E24" s="3017">
        <v>0.8</v>
      </c>
      <c r="F24" s="3014" t="s">
        <v>2457</v>
      </c>
      <c r="G24" s="984"/>
    </row>
    <row r="25" spans="1:13">
      <c r="A25" s="3708"/>
      <c r="B25" s="3703"/>
      <c r="C25" s="3026" t="s">
        <v>2458</v>
      </c>
      <c r="D25" s="3026"/>
      <c r="E25" s="3017">
        <v>0.8</v>
      </c>
      <c r="F25" s="3014"/>
      <c r="G25" s="984"/>
    </row>
    <row r="26" spans="1:13">
      <c r="A26" s="3708"/>
      <c r="B26" s="3703"/>
      <c r="C26" s="3026" t="s">
        <v>3304</v>
      </c>
      <c r="D26" s="3026"/>
      <c r="E26" s="3017">
        <v>0.43</v>
      </c>
      <c r="F26" s="3014"/>
      <c r="G26" s="984"/>
    </row>
    <row r="27" spans="1:13" ht="14.25" thickBot="1">
      <c r="A27" s="3709"/>
      <c r="B27" s="3713"/>
      <c r="C27" s="3411" t="s">
        <v>3306</v>
      </c>
      <c r="D27" s="3411"/>
      <c r="E27" s="3020">
        <f>E26*0.9</f>
        <v>0.38700000000000001</v>
      </c>
      <c r="F27" s="3014" t="s">
        <v>2459</v>
      </c>
      <c r="G27" s="984"/>
    </row>
    <row r="28" spans="1:13" ht="14.25" thickBot="1">
      <c r="A28" s="3405" t="s">
        <v>2438</v>
      </c>
      <c r="B28" s="3404" t="s">
        <v>2447</v>
      </c>
      <c r="C28" s="3407" t="s">
        <v>2460</v>
      </c>
      <c r="D28" s="3408"/>
      <c r="E28" s="3409">
        <v>1</v>
      </c>
      <c r="F28" s="3014" t="s">
        <v>2461</v>
      </c>
      <c r="G28" s="984"/>
    </row>
    <row r="29" spans="1:13">
      <c r="A29" s="3714" t="s">
        <v>2442</v>
      </c>
      <c r="B29" s="3710" t="s">
        <v>2442</v>
      </c>
      <c r="C29" s="3011" t="s">
        <v>2462</v>
      </c>
      <c r="D29" s="3012"/>
      <c r="E29" s="3013">
        <v>1</v>
      </c>
      <c r="F29" s="3014" t="s">
        <v>2463</v>
      </c>
      <c r="G29" s="984"/>
    </row>
    <row r="30" spans="1:13">
      <c r="A30" s="3715"/>
      <c r="B30" s="3706"/>
      <c r="C30" s="3015" t="s">
        <v>2464</v>
      </c>
      <c r="D30" s="3016"/>
      <c r="E30" s="3017">
        <v>1</v>
      </c>
      <c r="F30" s="3014" t="s">
        <v>2465</v>
      </c>
      <c r="G30" s="984"/>
    </row>
    <row r="31" spans="1:13">
      <c r="A31" s="3715"/>
      <c r="B31" s="3706"/>
      <c r="C31" s="3015" t="s">
        <v>2466</v>
      </c>
      <c r="D31" s="3016"/>
      <c r="E31" s="3017">
        <v>0.8</v>
      </c>
      <c r="F31" s="3014" t="s">
        <v>2467</v>
      </c>
      <c r="G31" s="984"/>
    </row>
    <row r="32" spans="1:13">
      <c r="A32" s="3715"/>
      <c r="B32" s="3706"/>
      <c r="C32" s="3015" t="s">
        <v>2468</v>
      </c>
      <c r="D32" s="3016"/>
      <c r="E32" s="3017">
        <v>0.8</v>
      </c>
      <c r="F32" s="3014" t="s">
        <v>2469</v>
      </c>
      <c r="G32" s="984"/>
    </row>
    <row r="33" spans="1:7">
      <c r="A33" s="3715"/>
      <c r="B33" s="3706"/>
      <c r="C33" s="3015" t="s">
        <v>2470</v>
      </c>
      <c r="D33" s="3016"/>
      <c r="E33" s="3017">
        <v>0.8</v>
      </c>
      <c r="F33" s="3014" t="s">
        <v>2471</v>
      </c>
      <c r="G33" s="984"/>
    </row>
    <row r="34" spans="1:7">
      <c r="A34" s="3715"/>
      <c r="B34" s="3706"/>
      <c r="C34" s="3015" t="s">
        <v>2472</v>
      </c>
      <c r="D34" s="3016"/>
      <c r="E34" s="3017">
        <v>0.7</v>
      </c>
      <c r="F34" s="3014" t="s">
        <v>2473</v>
      </c>
      <c r="G34" s="984"/>
    </row>
    <row r="35" spans="1:7">
      <c r="A35" s="3715"/>
      <c r="B35" s="3706"/>
      <c r="C35" s="3015" t="s">
        <v>2474</v>
      </c>
      <c r="D35" s="3016"/>
      <c r="E35" s="3017">
        <v>0.8</v>
      </c>
      <c r="F35" s="3014" t="s">
        <v>2475</v>
      </c>
      <c r="G35" s="984"/>
    </row>
    <row r="36" spans="1:7">
      <c r="A36" s="3715"/>
      <c r="B36" s="3706"/>
      <c r="C36" s="3015" t="s">
        <v>2476</v>
      </c>
      <c r="D36" s="3016"/>
      <c r="E36" s="3017">
        <v>0.6</v>
      </c>
      <c r="F36" s="3014" t="s">
        <v>2477</v>
      </c>
      <c r="G36" s="984"/>
    </row>
    <row r="37" spans="1:7">
      <c r="A37" s="3715"/>
      <c r="B37" s="3706"/>
      <c r="C37" s="3015" t="s">
        <v>2478</v>
      </c>
      <c r="D37" s="3016"/>
      <c r="E37" s="3017">
        <v>0.2</v>
      </c>
      <c r="F37" s="3014" t="s">
        <v>2479</v>
      </c>
      <c r="G37" s="984"/>
    </row>
    <row r="38" spans="1:7">
      <c r="A38" s="3715"/>
      <c r="B38" s="3706"/>
      <c r="C38" s="3015" t="s">
        <v>2480</v>
      </c>
      <c r="D38" s="3016"/>
      <c r="E38" s="3017">
        <v>0.2</v>
      </c>
      <c r="F38" s="3014" t="s">
        <v>2481</v>
      </c>
      <c r="G38" s="984"/>
    </row>
    <row r="39" spans="1:7">
      <c r="A39" s="3715"/>
      <c r="B39" s="3704" t="s">
        <v>2482</v>
      </c>
      <c r="C39" s="3015" t="s">
        <v>2483</v>
      </c>
      <c r="D39" s="3016"/>
      <c r="E39" s="3017">
        <v>0.6</v>
      </c>
      <c r="F39" s="3014" t="s">
        <v>2484</v>
      </c>
      <c r="G39" s="984"/>
    </row>
    <row r="40" spans="1:7">
      <c r="A40" s="3715"/>
      <c r="B40" s="3706"/>
      <c r="C40" s="3015" t="s">
        <v>2485</v>
      </c>
      <c r="D40" s="3016"/>
      <c r="E40" s="3017">
        <v>0.6</v>
      </c>
      <c r="F40" s="3014" t="s">
        <v>2486</v>
      </c>
      <c r="G40" s="984"/>
    </row>
    <row r="41" spans="1:7" ht="14.25" thickBot="1">
      <c r="A41" s="3716"/>
      <c r="B41" s="3711"/>
      <c r="C41" s="3018" t="s">
        <v>2487</v>
      </c>
      <c r="D41" s="3019"/>
      <c r="E41" s="3020">
        <v>0.6</v>
      </c>
      <c r="F41" s="3014" t="s">
        <v>2488</v>
      </c>
      <c r="G41" s="984"/>
    </row>
    <row r="42" spans="1:7" ht="14.25" thickBot="1">
      <c r="A42" s="3021" t="s">
        <v>2439</v>
      </c>
      <c r="B42" s="3022" t="s">
        <v>2439</v>
      </c>
      <c r="C42" s="3023" t="s">
        <v>2489</v>
      </c>
      <c r="D42" s="3024"/>
      <c r="E42" s="3025">
        <v>1</v>
      </c>
      <c r="F42" s="3014" t="s">
        <v>2490</v>
      </c>
      <c r="G42" s="984"/>
    </row>
    <row r="43" spans="1:7">
      <c r="A43" s="3707" t="s">
        <v>2440</v>
      </c>
      <c r="B43" s="3710" t="s">
        <v>2491</v>
      </c>
      <c r="C43" s="3011" t="s">
        <v>2492</v>
      </c>
      <c r="D43" s="3012"/>
      <c r="E43" s="3013">
        <v>1</v>
      </c>
      <c r="F43" s="3014" t="s">
        <v>2493</v>
      </c>
      <c r="G43" s="984"/>
    </row>
    <row r="44" spans="1:7">
      <c r="A44" s="3708"/>
      <c r="B44" s="3706"/>
      <c r="C44" s="3015" t="s">
        <v>2494</v>
      </c>
      <c r="D44" s="3016"/>
      <c r="E44" s="3017">
        <v>1</v>
      </c>
      <c r="F44" s="3014" t="s">
        <v>2495</v>
      </c>
      <c r="G44" s="984"/>
    </row>
    <row r="45" spans="1:7">
      <c r="A45" s="3708"/>
      <c r="B45" s="3705"/>
      <c r="C45" s="3015" t="s">
        <v>2496</v>
      </c>
      <c r="D45" s="3016"/>
      <c r="E45" s="3017">
        <v>1.5</v>
      </c>
      <c r="F45" s="3014" t="s">
        <v>2497</v>
      </c>
      <c r="G45" s="984"/>
    </row>
    <row r="46" spans="1:7">
      <c r="A46" s="3708"/>
      <c r="B46" s="3026" t="s">
        <v>2442</v>
      </c>
      <c r="C46" s="3015" t="s">
        <v>2441</v>
      </c>
      <c r="D46" s="3016"/>
      <c r="E46" s="3017">
        <v>2</v>
      </c>
      <c r="F46" s="3014" t="s">
        <v>2498</v>
      </c>
      <c r="G46" s="984"/>
    </row>
    <row r="47" spans="1:7">
      <c r="A47" s="3708"/>
      <c r="B47" s="3704" t="s">
        <v>2499</v>
      </c>
      <c r="C47" s="3015" t="s">
        <v>2500</v>
      </c>
      <c r="D47" s="3016"/>
      <c r="E47" s="3017">
        <v>1</v>
      </c>
      <c r="F47" s="3014" t="s">
        <v>2501</v>
      </c>
      <c r="G47" s="984"/>
    </row>
    <row r="48" spans="1:7">
      <c r="A48" s="3708"/>
      <c r="B48" s="3706"/>
      <c r="C48" s="3015" t="s">
        <v>2502</v>
      </c>
      <c r="D48" s="3016"/>
      <c r="E48" s="3017">
        <v>1</v>
      </c>
      <c r="F48" s="3014" t="s">
        <v>2503</v>
      </c>
      <c r="G48" s="984"/>
    </row>
    <row r="49" spans="1:9">
      <c r="A49" s="3708"/>
      <c r="B49" s="3706"/>
      <c r="C49" s="3015" t="s">
        <v>2504</v>
      </c>
      <c r="D49" s="3016"/>
      <c r="E49" s="3017">
        <v>1</v>
      </c>
      <c r="F49" s="3014" t="s">
        <v>2505</v>
      </c>
      <c r="G49" s="984"/>
    </row>
    <row r="50" spans="1:9">
      <c r="A50" s="3708"/>
      <c r="B50" s="3706"/>
      <c r="C50" s="3015" t="s">
        <v>2506</v>
      </c>
      <c r="D50" s="3016"/>
      <c r="E50" s="3017">
        <v>1</v>
      </c>
      <c r="F50" s="3014" t="s">
        <v>2507</v>
      </c>
      <c r="G50" s="984"/>
    </row>
    <row r="51" spans="1:9">
      <c r="A51" s="3708"/>
      <c r="B51" s="3706"/>
      <c r="C51" s="3015" t="s">
        <v>2508</v>
      </c>
      <c r="D51" s="3016"/>
      <c r="E51" s="3017">
        <v>1</v>
      </c>
      <c r="F51" s="3014" t="s">
        <v>2509</v>
      </c>
      <c r="G51" s="984"/>
    </row>
    <row r="52" spans="1:9">
      <c r="A52" s="3708"/>
      <c r="B52" s="3706"/>
      <c r="C52" s="3015" t="s">
        <v>2510</v>
      </c>
      <c r="D52" s="3016"/>
      <c r="E52" s="3017">
        <v>1</v>
      </c>
      <c r="F52" s="3014" t="s">
        <v>2511</v>
      </c>
      <c r="G52" s="984"/>
    </row>
    <row r="53" spans="1:9" ht="14.25" thickBot="1">
      <c r="A53" s="3709"/>
      <c r="B53" s="3711"/>
      <c r="C53" s="3018" t="s">
        <v>2512</v>
      </c>
      <c r="D53" s="3019"/>
      <c r="E53" s="3020">
        <v>1</v>
      </c>
      <c r="F53" s="3014" t="s">
        <v>2513</v>
      </c>
      <c r="G53" s="984"/>
    </row>
    <row r="54" spans="1:9">
      <c r="A54" s="1328"/>
      <c r="B54" s="1328"/>
      <c r="C54" s="1328"/>
      <c r="D54" s="1328"/>
      <c r="E54" s="1328"/>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2762</v>
      </c>
      <c r="F58" s="981" t="s">
        <v>2762</v>
      </c>
      <c r="G58" s="981" t="s">
        <v>2762</v>
      </c>
      <c r="I58" s="958"/>
    </row>
    <row r="59" spans="1:9">
      <c r="A59" s="998" t="s">
        <v>836</v>
      </c>
      <c r="B59" s="3005">
        <v>0.7</v>
      </c>
      <c r="C59" s="3005">
        <v>0.4</v>
      </c>
      <c r="D59" s="3005">
        <v>0.3</v>
      </c>
      <c r="E59" s="3010">
        <v>0.3</v>
      </c>
      <c r="F59" s="3005">
        <v>0.3</v>
      </c>
      <c r="G59" s="3005">
        <v>0.2</v>
      </c>
      <c r="I59" s="958"/>
    </row>
    <row r="60" spans="1:9">
      <c r="A60" s="998" t="s">
        <v>837</v>
      </c>
      <c r="B60" s="3005">
        <v>0.7</v>
      </c>
      <c r="C60" s="3005">
        <v>0.4</v>
      </c>
      <c r="D60" s="3005">
        <v>0.3</v>
      </c>
      <c r="E60" s="3005">
        <v>0.3</v>
      </c>
      <c r="F60" s="3005">
        <v>0.3</v>
      </c>
      <c r="G60" s="3005">
        <v>0.2</v>
      </c>
      <c r="I60" s="958"/>
    </row>
    <row r="61" spans="1:9">
      <c r="A61" s="998" t="s">
        <v>838</v>
      </c>
      <c r="B61" s="3005">
        <v>0.6</v>
      </c>
      <c r="C61" s="3005">
        <v>0.3</v>
      </c>
      <c r="D61" s="3005">
        <v>0.25</v>
      </c>
      <c r="E61" s="3005">
        <v>0.25</v>
      </c>
      <c r="F61" s="3005">
        <v>0.25</v>
      </c>
      <c r="G61" s="3005">
        <v>0.15</v>
      </c>
      <c r="I61" s="958"/>
    </row>
    <row r="62" spans="1:9">
      <c r="A62" s="998" t="s">
        <v>839</v>
      </c>
      <c r="B62" s="3005">
        <v>0.6</v>
      </c>
      <c r="C62" s="3005">
        <v>0.3</v>
      </c>
      <c r="D62" s="3005">
        <v>0.25</v>
      </c>
      <c r="E62" s="3005">
        <v>0.25</v>
      </c>
      <c r="F62" s="3005">
        <v>0.25</v>
      </c>
      <c r="G62" s="3005">
        <v>0.15</v>
      </c>
      <c r="I62" s="958"/>
    </row>
    <row r="63" spans="1:9" s="974" customFormat="1">
      <c r="A63" s="998" t="s">
        <v>840</v>
      </c>
      <c r="B63" s="3005">
        <v>0.6</v>
      </c>
      <c r="C63" s="3005">
        <v>0.3</v>
      </c>
      <c r="D63" s="3005">
        <v>0.25</v>
      </c>
      <c r="E63" s="3005">
        <v>0.25</v>
      </c>
      <c r="F63" s="3005">
        <v>0.25</v>
      </c>
      <c r="G63" s="3005">
        <v>0.15</v>
      </c>
    </row>
    <row r="64" spans="1:9" s="974" customFormat="1">
      <c r="A64" s="998" t="s">
        <v>841</v>
      </c>
      <c r="B64" s="3005">
        <v>0.6</v>
      </c>
      <c r="C64" s="3005">
        <v>0.3</v>
      </c>
      <c r="D64" s="3005">
        <v>0.25</v>
      </c>
      <c r="E64" s="3005">
        <v>0.25</v>
      </c>
      <c r="F64" s="3005">
        <v>0.25</v>
      </c>
      <c r="G64" s="3005">
        <v>0.15</v>
      </c>
    </row>
    <row r="65" spans="1:8" s="974" customFormat="1">
      <c r="A65" s="998" t="s">
        <v>842</v>
      </c>
      <c r="B65" s="3005">
        <v>0.6</v>
      </c>
      <c r="C65" s="3005">
        <v>0.3</v>
      </c>
      <c r="D65" s="3005">
        <v>0.25</v>
      </c>
      <c r="E65" s="3005">
        <v>0.25</v>
      </c>
      <c r="F65" s="3005">
        <v>0.25</v>
      </c>
      <c r="G65" s="3005">
        <v>0.15</v>
      </c>
    </row>
    <row r="66" spans="1:8" s="974" customFormat="1">
      <c r="A66" s="998" t="s">
        <v>843</v>
      </c>
      <c r="B66" s="3005">
        <v>0.5</v>
      </c>
      <c r="C66" s="3005">
        <v>0.2</v>
      </c>
      <c r="D66" s="3005">
        <v>0.2</v>
      </c>
      <c r="E66" s="3005">
        <v>0.2</v>
      </c>
      <c r="F66" s="3005">
        <v>0.2</v>
      </c>
      <c r="G66" s="3005">
        <v>0.1</v>
      </c>
    </row>
    <row r="67" spans="1:8" s="974" customFormat="1">
      <c r="A67" s="998" t="s">
        <v>844</v>
      </c>
      <c r="B67" s="3005">
        <v>0.5</v>
      </c>
      <c r="C67" s="3005">
        <v>0.2</v>
      </c>
      <c r="D67" s="3005">
        <v>0.2</v>
      </c>
      <c r="E67" s="3005">
        <v>0.2</v>
      </c>
      <c r="F67" s="3005">
        <v>0.2</v>
      </c>
      <c r="G67" s="3005">
        <v>0.1</v>
      </c>
    </row>
    <row r="68" spans="1:8" s="974" customFormat="1">
      <c r="A68" s="998" t="s">
        <v>845</v>
      </c>
      <c r="B68" s="3005">
        <v>0.5</v>
      </c>
      <c r="C68" s="3005">
        <v>0.2</v>
      </c>
      <c r="D68" s="3005">
        <v>0.2</v>
      </c>
      <c r="E68" s="3005">
        <v>0.2</v>
      </c>
      <c r="F68" s="3005">
        <v>0.2</v>
      </c>
      <c r="G68" s="3005">
        <v>0.1</v>
      </c>
    </row>
    <row r="69" spans="1:8" s="974" customFormat="1">
      <c r="A69" s="998" t="s">
        <v>846</v>
      </c>
      <c r="B69" s="3005">
        <v>0.5</v>
      </c>
      <c r="C69" s="3005">
        <v>0.2</v>
      </c>
      <c r="D69" s="3005">
        <v>0.2</v>
      </c>
      <c r="E69" s="3005">
        <v>0.2</v>
      </c>
      <c r="F69" s="3005">
        <v>0.2</v>
      </c>
      <c r="G69" s="3005">
        <v>0.1</v>
      </c>
    </row>
    <row r="70" spans="1:8" s="974" customFormat="1">
      <c r="A70" s="998" t="s">
        <v>847</v>
      </c>
      <c r="B70" s="3005">
        <v>0.5</v>
      </c>
      <c r="C70" s="3005">
        <v>0.2</v>
      </c>
      <c r="D70" s="3005">
        <v>0.2</v>
      </c>
      <c r="E70" s="3005">
        <v>0.2</v>
      </c>
      <c r="F70" s="3005">
        <v>0.2</v>
      </c>
      <c r="G70" s="3005">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2514</v>
      </c>
      <c r="D74" s="1000"/>
      <c r="E74" s="988" t="s">
        <v>1159</v>
      </c>
      <c r="F74" s="1000" t="s">
        <v>1159</v>
      </c>
    </row>
    <row r="75" spans="1:8" s="974" customFormat="1">
      <c r="A75" s="3026">
        <v>1</v>
      </c>
      <c r="B75" s="3704" t="s">
        <v>2515</v>
      </c>
      <c r="C75" s="3005" t="s">
        <v>2516</v>
      </c>
      <c r="D75" s="3005" t="s">
        <v>2517</v>
      </c>
      <c r="E75" s="3027">
        <v>0.2</v>
      </c>
      <c r="F75" s="3026">
        <v>25</v>
      </c>
      <c r="H75" s="974">
        <f>SUMIF(C73:C141,基准地价!C8,E73:E141)</f>
        <v>0</v>
      </c>
    </row>
    <row r="76" spans="1:8" s="974" customFormat="1" ht="24">
      <c r="A76" s="3026">
        <v>2</v>
      </c>
      <c r="B76" s="3706"/>
      <c r="C76" s="3005" t="s">
        <v>2518</v>
      </c>
      <c r="D76" s="3005" t="s">
        <v>2519</v>
      </c>
      <c r="E76" s="3027">
        <v>0.2</v>
      </c>
      <c r="F76" s="3026">
        <v>25</v>
      </c>
    </row>
    <row r="77" spans="1:8" s="974" customFormat="1" ht="24">
      <c r="A77" s="3026">
        <v>3</v>
      </c>
      <c r="B77" s="3706"/>
      <c r="C77" s="3005" t="s">
        <v>2520</v>
      </c>
      <c r="D77" s="3005" t="s">
        <v>2521</v>
      </c>
      <c r="E77" s="3027">
        <v>0.2</v>
      </c>
      <c r="F77" s="3026">
        <v>25</v>
      </c>
    </row>
    <row r="78" spans="1:8" s="974" customFormat="1">
      <c r="A78" s="3026">
        <v>4</v>
      </c>
      <c r="B78" s="3706"/>
      <c r="C78" s="3005" t="s">
        <v>2522</v>
      </c>
      <c r="D78" s="3005" t="s">
        <v>2523</v>
      </c>
      <c r="E78" s="3027">
        <v>0.15</v>
      </c>
      <c r="F78" s="3026">
        <v>20</v>
      </c>
    </row>
    <row r="79" spans="1:8" s="974" customFormat="1" ht="24">
      <c r="A79" s="3026">
        <v>5</v>
      </c>
      <c r="B79" s="3706"/>
      <c r="C79" s="3005" t="s">
        <v>2524</v>
      </c>
      <c r="D79" s="3005" t="s">
        <v>2525</v>
      </c>
      <c r="E79" s="3027">
        <v>0.15</v>
      </c>
      <c r="F79" s="3026">
        <v>20</v>
      </c>
    </row>
    <row r="80" spans="1:8" s="974" customFormat="1" ht="24">
      <c r="A80" s="3026">
        <v>6</v>
      </c>
      <c r="B80" s="3706"/>
      <c r="C80" s="3005" t="s">
        <v>2526</v>
      </c>
      <c r="D80" s="3005" t="s">
        <v>2527</v>
      </c>
      <c r="E80" s="3027">
        <v>0.15</v>
      </c>
      <c r="F80" s="3026">
        <v>20</v>
      </c>
    </row>
    <row r="81" spans="1:6" s="974" customFormat="1" ht="24">
      <c r="A81" s="3026">
        <v>7</v>
      </c>
      <c r="B81" s="3706"/>
      <c r="C81" s="3005" t="s">
        <v>2528</v>
      </c>
      <c r="D81" s="3005" t="s">
        <v>2529</v>
      </c>
      <c r="E81" s="3027">
        <v>0.15</v>
      </c>
      <c r="F81" s="3026">
        <v>20</v>
      </c>
    </row>
    <row r="82" spans="1:6" s="974" customFormat="1" ht="24">
      <c r="A82" s="3026">
        <v>8</v>
      </c>
      <c r="B82" s="3706"/>
      <c r="C82" s="3005" t="s">
        <v>2530</v>
      </c>
      <c r="D82" s="3005" t="s">
        <v>2531</v>
      </c>
      <c r="E82" s="3027">
        <v>0.1</v>
      </c>
      <c r="F82" s="3026">
        <v>15</v>
      </c>
    </row>
    <row r="83" spans="1:6" s="974" customFormat="1" ht="24">
      <c r="A83" s="3026">
        <v>9</v>
      </c>
      <c r="B83" s="3706"/>
      <c r="C83" s="3005" t="s">
        <v>2532</v>
      </c>
      <c r="D83" s="3005" t="s">
        <v>2533</v>
      </c>
      <c r="E83" s="3027">
        <v>0.1</v>
      </c>
      <c r="F83" s="3026">
        <v>15</v>
      </c>
    </row>
    <row r="84" spans="1:6" s="974" customFormat="1" ht="24">
      <c r="A84" s="3026">
        <v>10</v>
      </c>
      <c r="B84" s="3706"/>
      <c r="C84" s="3005" t="s">
        <v>2534</v>
      </c>
      <c r="D84" s="3005" t="s">
        <v>2535</v>
      </c>
      <c r="E84" s="3027">
        <v>0.1</v>
      </c>
      <c r="F84" s="3026">
        <v>15</v>
      </c>
    </row>
    <row r="85" spans="1:6" s="974" customFormat="1" ht="24">
      <c r="A85" s="3026">
        <v>11</v>
      </c>
      <c r="B85" s="3706"/>
      <c r="C85" s="3005" t="s">
        <v>2536</v>
      </c>
      <c r="D85" s="3005" t="s">
        <v>2537</v>
      </c>
      <c r="E85" s="3027">
        <v>0.1</v>
      </c>
      <c r="F85" s="3026">
        <v>15</v>
      </c>
    </row>
    <row r="86" spans="1:6" s="974" customFormat="1" ht="24">
      <c r="A86" s="3026">
        <v>12</v>
      </c>
      <c r="B86" s="3706"/>
      <c r="C86" s="3005" t="s">
        <v>2538</v>
      </c>
      <c r="D86" s="3005" t="s">
        <v>2539</v>
      </c>
      <c r="E86" s="3027">
        <v>0.1</v>
      </c>
      <c r="F86" s="3026">
        <v>15</v>
      </c>
    </row>
    <row r="87" spans="1:6" s="974" customFormat="1">
      <c r="A87" s="3026">
        <v>13</v>
      </c>
      <c r="B87" s="3706"/>
      <c r="C87" s="3005" t="s">
        <v>2540</v>
      </c>
      <c r="D87" s="3005" t="s">
        <v>2541</v>
      </c>
      <c r="E87" s="3027">
        <v>0.1</v>
      </c>
      <c r="F87" s="3026">
        <v>15</v>
      </c>
    </row>
    <row r="88" spans="1:6" s="974" customFormat="1">
      <c r="A88" s="3026">
        <v>14</v>
      </c>
      <c r="B88" s="3706"/>
      <c r="C88" s="3005" t="s">
        <v>2542</v>
      </c>
      <c r="D88" s="3005" t="s">
        <v>2543</v>
      </c>
      <c r="E88" s="3027">
        <v>0.1</v>
      </c>
      <c r="F88" s="3026">
        <v>15</v>
      </c>
    </row>
    <row r="89" spans="1:6" s="974" customFormat="1">
      <c r="A89" s="3026">
        <v>15</v>
      </c>
      <c r="B89" s="3706"/>
      <c r="C89" s="3005" t="s">
        <v>2544</v>
      </c>
      <c r="D89" s="3005" t="s">
        <v>2545</v>
      </c>
      <c r="E89" s="3027">
        <v>0.1</v>
      </c>
      <c r="F89" s="3026">
        <v>15</v>
      </c>
    </row>
    <row r="90" spans="1:6" s="974" customFormat="1" ht="24">
      <c r="A90" s="3026">
        <v>16</v>
      </c>
      <c r="B90" s="3706"/>
      <c r="C90" s="3005" t="s">
        <v>2546</v>
      </c>
      <c r="D90" s="3005" t="s">
        <v>2547</v>
      </c>
      <c r="E90" s="3027">
        <v>0.1</v>
      </c>
      <c r="F90" s="3026">
        <v>15</v>
      </c>
    </row>
    <row r="91" spans="1:6" s="974" customFormat="1" ht="24">
      <c r="A91" s="3026">
        <v>17</v>
      </c>
      <c r="B91" s="3705"/>
      <c r="C91" s="3005" t="s">
        <v>2548</v>
      </c>
      <c r="D91" s="3005" t="s">
        <v>2549</v>
      </c>
      <c r="E91" s="3027">
        <v>0.1</v>
      </c>
      <c r="F91" s="3026">
        <v>15</v>
      </c>
    </row>
    <row r="92" spans="1:6" s="974" customFormat="1">
      <c r="A92" s="3026">
        <v>18</v>
      </c>
      <c r="B92" s="3704" t="s">
        <v>2550</v>
      </c>
      <c r="C92" s="3005" t="s">
        <v>2551</v>
      </c>
      <c r="D92" s="3005" t="s">
        <v>2552</v>
      </c>
      <c r="E92" s="3027">
        <v>0.2</v>
      </c>
      <c r="F92" s="3026">
        <v>25</v>
      </c>
    </row>
    <row r="93" spans="1:6" s="974" customFormat="1" ht="24">
      <c r="A93" s="3026">
        <v>19</v>
      </c>
      <c r="B93" s="3706"/>
      <c r="C93" s="3005" t="s">
        <v>2553</v>
      </c>
      <c r="D93" s="3005" t="s">
        <v>2554</v>
      </c>
      <c r="E93" s="3027">
        <v>0.2</v>
      </c>
      <c r="F93" s="3026">
        <v>25</v>
      </c>
    </row>
    <row r="94" spans="1:6" s="974" customFormat="1">
      <c r="A94" s="3026">
        <v>20</v>
      </c>
      <c r="B94" s="3706"/>
      <c r="C94" s="3005" t="s">
        <v>2555</v>
      </c>
      <c r="D94" s="3005" t="s">
        <v>2556</v>
      </c>
      <c r="E94" s="3027">
        <v>0.15</v>
      </c>
      <c r="F94" s="3026">
        <v>20</v>
      </c>
    </row>
    <row r="95" spans="1:6" s="974" customFormat="1" ht="24">
      <c r="A95" s="3026">
        <v>21</v>
      </c>
      <c r="B95" s="3706"/>
      <c r="C95" s="3005" t="s">
        <v>2557</v>
      </c>
      <c r="D95" s="3005" t="s">
        <v>2558</v>
      </c>
      <c r="E95" s="3027">
        <v>0.15</v>
      </c>
      <c r="F95" s="3026">
        <v>20</v>
      </c>
    </row>
    <row r="96" spans="1:6" s="974" customFormat="1" ht="24">
      <c r="A96" s="3026">
        <v>22</v>
      </c>
      <c r="B96" s="3706"/>
      <c r="C96" s="3005" t="s">
        <v>2559</v>
      </c>
      <c r="D96" s="3005" t="s">
        <v>2560</v>
      </c>
      <c r="E96" s="3027">
        <v>0.15</v>
      </c>
      <c r="F96" s="3026">
        <v>20</v>
      </c>
    </row>
    <row r="97" spans="1:6" s="974" customFormat="1" ht="36">
      <c r="A97" s="3026">
        <v>23</v>
      </c>
      <c r="B97" s="3706"/>
      <c r="C97" s="3005" t="s">
        <v>2561</v>
      </c>
      <c r="D97" s="3005" t="s">
        <v>2562</v>
      </c>
      <c r="E97" s="3027">
        <v>0.15</v>
      </c>
      <c r="F97" s="3026">
        <v>20</v>
      </c>
    </row>
    <row r="98" spans="1:6" s="974" customFormat="1">
      <c r="A98" s="3026">
        <v>24</v>
      </c>
      <c r="B98" s="3706"/>
      <c r="C98" s="3005" t="s">
        <v>2563</v>
      </c>
      <c r="D98" s="3005" t="s">
        <v>2564</v>
      </c>
      <c r="E98" s="3027">
        <v>0.1</v>
      </c>
      <c r="F98" s="3026">
        <v>15</v>
      </c>
    </row>
    <row r="99" spans="1:6" s="974" customFormat="1" ht="24">
      <c r="A99" s="3026">
        <v>25</v>
      </c>
      <c r="B99" s="3706"/>
      <c r="C99" s="3005" t="s">
        <v>2565</v>
      </c>
      <c r="D99" s="3005" t="s">
        <v>2566</v>
      </c>
      <c r="E99" s="3027">
        <v>0.1</v>
      </c>
      <c r="F99" s="3026">
        <v>15</v>
      </c>
    </row>
    <row r="100" spans="1:6" s="974" customFormat="1" ht="24">
      <c r="A100" s="3026">
        <v>26</v>
      </c>
      <c r="B100" s="3706"/>
      <c r="C100" s="3005" t="s">
        <v>2567</v>
      </c>
      <c r="D100" s="3005" t="s">
        <v>2568</v>
      </c>
      <c r="E100" s="3027">
        <v>0.1</v>
      </c>
      <c r="F100" s="3026">
        <v>15</v>
      </c>
    </row>
    <row r="101" spans="1:6" s="974" customFormat="1" ht="24">
      <c r="A101" s="3026">
        <v>27</v>
      </c>
      <c r="B101" s="3706"/>
      <c r="C101" s="3005" t="s">
        <v>2569</v>
      </c>
      <c r="D101" s="3005" t="s">
        <v>2570</v>
      </c>
      <c r="E101" s="3027">
        <v>0.1</v>
      </c>
      <c r="F101" s="3026">
        <v>15</v>
      </c>
    </row>
    <row r="102" spans="1:6" s="974" customFormat="1" ht="24">
      <c r="A102" s="3026">
        <v>28</v>
      </c>
      <c r="B102" s="3706"/>
      <c r="C102" s="3005" t="s">
        <v>2571</v>
      </c>
      <c r="D102" s="3005" t="s">
        <v>2572</v>
      </c>
      <c r="E102" s="3027">
        <v>0.1</v>
      </c>
      <c r="F102" s="3026">
        <v>15</v>
      </c>
    </row>
    <row r="103" spans="1:6" s="974" customFormat="1" ht="24">
      <c r="A103" s="3026">
        <v>29</v>
      </c>
      <c r="B103" s="3706"/>
      <c r="C103" s="3005" t="s">
        <v>2573</v>
      </c>
      <c r="D103" s="3005" t="s">
        <v>2574</v>
      </c>
      <c r="E103" s="3027">
        <v>0.1</v>
      </c>
      <c r="F103" s="3026">
        <v>15</v>
      </c>
    </row>
    <row r="104" spans="1:6" s="974" customFormat="1" ht="24">
      <c r="A104" s="3026">
        <v>30</v>
      </c>
      <c r="B104" s="3706"/>
      <c r="C104" s="3005" t="s">
        <v>2575</v>
      </c>
      <c r="D104" s="3005" t="s">
        <v>2576</v>
      </c>
      <c r="E104" s="3027">
        <v>0.1</v>
      </c>
      <c r="F104" s="3026">
        <v>15</v>
      </c>
    </row>
    <row r="105" spans="1:6" s="974" customFormat="1" ht="24">
      <c r="A105" s="3026">
        <v>31</v>
      </c>
      <c r="B105" s="3706"/>
      <c r="C105" s="3005" t="s">
        <v>2577</v>
      </c>
      <c r="D105" s="3005" t="s">
        <v>2578</v>
      </c>
      <c r="E105" s="3027">
        <v>0.1</v>
      </c>
      <c r="F105" s="3026">
        <v>15</v>
      </c>
    </row>
    <row r="106" spans="1:6" s="974" customFormat="1" ht="24">
      <c r="A106" s="3026">
        <v>32</v>
      </c>
      <c r="B106" s="3706"/>
      <c r="C106" s="3005" t="s">
        <v>2579</v>
      </c>
      <c r="D106" s="3005" t="s">
        <v>2580</v>
      </c>
      <c r="E106" s="3027">
        <v>0.1</v>
      </c>
      <c r="F106" s="3026">
        <v>15</v>
      </c>
    </row>
    <row r="107" spans="1:6" s="974" customFormat="1" ht="24">
      <c r="A107" s="3026">
        <v>33</v>
      </c>
      <c r="B107" s="3706"/>
      <c r="C107" s="3005" t="s">
        <v>2581</v>
      </c>
      <c r="D107" s="3005" t="s">
        <v>2582</v>
      </c>
      <c r="E107" s="3027">
        <v>0.1</v>
      </c>
      <c r="F107" s="3026">
        <v>15</v>
      </c>
    </row>
    <row r="108" spans="1:6" s="974" customFormat="1" ht="24">
      <c r="A108" s="3026">
        <v>34</v>
      </c>
      <c r="B108" s="3705"/>
      <c r="C108" s="3005" t="s">
        <v>2583</v>
      </c>
      <c r="D108" s="3005" t="s">
        <v>2584</v>
      </c>
      <c r="E108" s="3027">
        <v>0.1</v>
      </c>
      <c r="F108" s="3026">
        <v>15</v>
      </c>
    </row>
    <row r="109" spans="1:6" s="974" customFormat="1" ht="24">
      <c r="A109" s="3026">
        <v>35</v>
      </c>
      <c r="B109" s="3704" t="s">
        <v>2585</v>
      </c>
      <c r="C109" s="3026" t="s">
        <v>2586</v>
      </c>
      <c r="D109" s="3005" t="s">
        <v>2587</v>
      </c>
      <c r="E109" s="3027">
        <v>0.15</v>
      </c>
      <c r="F109" s="3026">
        <v>20</v>
      </c>
    </row>
    <row r="110" spans="1:6" s="974" customFormat="1" ht="24">
      <c r="A110" s="3026">
        <v>36</v>
      </c>
      <c r="B110" s="3706"/>
      <c r="C110" s="3026" t="s">
        <v>2588</v>
      </c>
      <c r="D110" s="3005" t="s">
        <v>2589</v>
      </c>
      <c r="E110" s="3027">
        <v>0.15</v>
      </c>
      <c r="F110" s="3026">
        <v>20</v>
      </c>
    </row>
    <row r="111" spans="1:6" s="974" customFormat="1" ht="24">
      <c r="A111" s="3026">
        <v>37</v>
      </c>
      <c r="B111" s="3706"/>
      <c r="C111" s="3026" t="s">
        <v>2590</v>
      </c>
      <c r="D111" s="3005" t="s">
        <v>2591</v>
      </c>
      <c r="E111" s="3027">
        <v>0.15</v>
      </c>
      <c r="F111" s="3026">
        <v>20</v>
      </c>
    </row>
    <row r="112" spans="1:6" s="974" customFormat="1">
      <c r="A112" s="3026">
        <v>38</v>
      </c>
      <c r="B112" s="3706"/>
      <c r="C112" s="3026" t="s">
        <v>2592</v>
      </c>
      <c r="D112" s="3005" t="s">
        <v>2593</v>
      </c>
      <c r="E112" s="3027">
        <v>0.1</v>
      </c>
      <c r="F112" s="3026">
        <v>15</v>
      </c>
    </row>
    <row r="113" spans="1:6" s="974" customFormat="1" ht="24">
      <c r="A113" s="3026">
        <v>39</v>
      </c>
      <c r="B113" s="3706"/>
      <c r="C113" s="3026" t="s">
        <v>2594</v>
      </c>
      <c r="D113" s="3005" t="s">
        <v>2595</v>
      </c>
      <c r="E113" s="3027">
        <v>0.1</v>
      </c>
      <c r="F113" s="3026">
        <v>15</v>
      </c>
    </row>
    <row r="114" spans="1:6" s="974" customFormat="1" ht="24">
      <c r="A114" s="3026">
        <v>40</v>
      </c>
      <c r="B114" s="3705"/>
      <c r="C114" s="3026" t="s">
        <v>2596</v>
      </c>
      <c r="D114" s="3005" t="s">
        <v>2597</v>
      </c>
      <c r="E114" s="3027">
        <v>0.1</v>
      </c>
      <c r="F114" s="3026">
        <v>15</v>
      </c>
    </row>
    <row r="115" spans="1:6" s="974" customFormat="1" ht="24">
      <c r="A115" s="3026">
        <v>41</v>
      </c>
      <c r="B115" s="3703" t="s">
        <v>2598</v>
      </c>
      <c r="C115" s="3026" t="s">
        <v>2599</v>
      </c>
      <c r="D115" s="3005" t="s">
        <v>2600</v>
      </c>
      <c r="E115" s="3027">
        <v>0.1</v>
      </c>
      <c r="F115" s="3026">
        <v>15</v>
      </c>
    </row>
    <row r="116" spans="1:6" s="974" customFormat="1">
      <c r="A116" s="3026">
        <v>42</v>
      </c>
      <c r="B116" s="3703"/>
      <c r="C116" s="3026" t="s">
        <v>2601</v>
      </c>
      <c r="D116" s="3005" t="s">
        <v>2602</v>
      </c>
      <c r="E116" s="3027">
        <v>0.1</v>
      </c>
      <c r="F116" s="3026">
        <v>15</v>
      </c>
    </row>
    <row r="117" spans="1:6" s="974" customFormat="1" ht="24">
      <c r="A117" s="3026">
        <v>43</v>
      </c>
      <c r="B117" s="3703"/>
      <c r="C117" s="3026" t="s">
        <v>2603</v>
      </c>
      <c r="D117" s="3005" t="s">
        <v>2604</v>
      </c>
      <c r="E117" s="3027">
        <v>0.1</v>
      </c>
      <c r="F117" s="3026">
        <v>15</v>
      </c>
    </row>
    <row r="118" spans="1:6" s="974" customFormat="1" ht="24">
      <c r="A118" s="3026">
        <v>44</v>
      </c>
      <c r="B118" s="3704" t="s">
        <v>2605</v>
      </c>
      <c r="C118" s="3026" t="s">
        <v>2606</v>
      </c>
      <c r="D118" s="3005" t="s">
        <v>2607</v>
      </c>
      <c r="E118" s="3027">
        <v>0.1</v>
      </c>
      <c r="F118" s="3026">
        <v>15</v>
      </c>
    </row>
    <row r="119" spans="1:6" s="974" customFormat="1" ht="24">
      <c r="A119" s="3026">
        <v>45</v>
      </c>
      <c r="B119" s="3705"/>
      <c r="C119" s="3005" t="s">
        <v>2608</v>
      </c>
      <c r="D119" s="3005" t="s">
        <v>2609</v>
      </c>
      <c r="E119" s="3027">
        <v>0.1</v>
      </c>
      <c r="F119" s="3026">
        <v>15</v>
      </c>
    </row>
    <row r="120" spans="1:6" s="974" customFormat="1" ht="24">
      <c r="A120" s="3026">
        <v>46</v>
      </c>
      <c r="B120" s="3704" t="s">
        <v>2610</v>
      </c>
      <c r="C120" s="3026" t="s">
        <v>2611</v>
      </c>
      <c r="D120" s="3005" t="s">
        <v>2612</v>
      </c>
      <c r="E120" s="3027">
        <v>0.1</v>
      </c>
      <c r="F120" s="3026">
        <v>15</v>
      </c>
    </row>
    <row r="121" spans="1:6" s="974" customFormat="1" ht="24">
      <c r="A121" s="3026">
        <v>47</v>
      </c>
      <c r="B121" s="3705"/>
      <c r="C121" s="3026" t="s">
        <v>2613</v>
      </c>
      <c r="D121" s="3005" t="s">
        <v>2614</v>
      </c>
      <c r="E121" s="3027">
        <v>0.1</v>
      </c>
      <c r="F121" s="3026">
        <v>15</v>
      </c>
    </row>
    <row r="122" spans="1:6" s="974" customFormat="1" ht="24">
      <c r="A122" s="3026">
        <v>48</v>
      </c>
      <c r="B122" s="3704" t="s">
        <v>2615</v>
      </c>
      <c r="C122" s="3026" t="s">
        <v>2616</v>
      </c>
      <c r="D122" s="3005" t="s">
        <v>2617</v>
      </c>
      <c r="E122" s="3027">
        <v>0.1</v>
      </c>
      <c r="F122" s="3026">
        <v>15</v>
      </c>
    </row>
    <row r="123" spans="1:6" s="974" customFormat="1">
      <c r="A123" s="3026">
        <v>49</v>
      </c>
      <c r="B123" s="3705"/>
      <c r="C123" s="3026" t="s">
        <v>2618</v>
      </c>
      <c r="D123" s="3005" t="s">
        <v>2619</v>
      </c>
      <c r="E123" s="3027">
        <v>0.1</v>
      </c>
      <c r="F123" s="3026">
        <v>15</v>
      </c>
    </row>
    <row r="124" spans="1:6" s="974" customFormat="1" ht="24">
      <c r="A124" s="3026">
        <v>50</v>
      </c>
      <c r="B124" s="3703" t="s">
        <v>2620</v>
      </c>
      <c r="C124" s="3026" t="s">
        <v>2621</v>
      </c>
      <c r="D124" s="3005" t="s">
        <v>2622</v>
      </c>
      <c r="E124" s="3027">
        <v>0.1</v>
      </c>
      <c r="F124" s="3026">
        <v>15</v>
      </c>
    </row>
    <row r="125" spans="1:6" s="974" customFormat="1" ht="24">
      <c r="A125" s="3026">
        <v>51</v>
      </c>
      <c r="B125" s="3703"/>
      <c r="C125" s="3026" t="s">
        <v>2623</v>
      </c>
      <c r="D125" s="3005" t="s">
        <v>2624</v>
      </c>
      <c r="E125" s="3027">
        <v>0.1</v>
      </c>
      <c r="F125" s="3026">
        <v>15</v>
      </c>
    </row>
    <row r="126" spans="1:6" s="974" customFormat="1" ht="24">
      <c r="A126" s="3026">
        <v>52</v>
      </c>
      <c r="B126" s="3703" t="s">
        <v>2625</v>
      </c>
      <c r="C126" s="3026" t="s">
        <v>2626</v>
      </c>
      <c r="D126" s="3005" t="s">
        <v>2627</v>
      </c>
      <c r="E126" s="3027">
        <v>0.1</v>
      </c>
      <c r="F126" s="3026">
        <v>15</v>
      </c>
    </row>
    <row r="127" spans="1:6" s="974" customFormat="1" ht="24">
      <c r="A127" s="3026">
        <v>53</v>
      </c>
      <c r="B127" s="3703"/>
      <c r="C127" s="3026" t="s">
        <v>2628</v>
      </c>
      <c r="D127" s="3005" t="s">
        <v>2629</v>
      </c>
      <c r="E127" s="3027">
        <v>0.1</v>
      </c>
      <c r="F127" s="3026">
        <v>15</v>
      </c>
    </row>
    <row r="128" spans="1:6" ht="24">
      <c r="A128" s="3026">
        <v>54</v>
      </c>
      <c r="B128" s="3026" t="s">
        <v>2630</v>
      </c>
      <c r="C128" s="3026" t="s">
        <v>2631</v>
      </c>
      <c r="D128" s="3005" t="s">
        <v>2632</v>
      </c>
      <c r="E128" s="3027">
        <v>0.1</v>
      </c>
      <c r="F128" s="3026">
        <v>15</v>
      </c>
    </row>
    <row r="129" spans="1:14">
      <c r="A129" s="3026">
        <v>55</v>
      </c>
      <c r="B129" s="3703" t="s">
        <v>2633</v>
      </c>
      <c r="C129" s="3026" t="s">
        <v>2634</v>
      </c>
      <c r="D129" s="3005" t="s">
        <v>2635</v>
      </c>
      <c r="E129" s="3027">
        <v>0.1</v>
      </c>
      <c r="F129" s="3026">
        <v>15</v>
      </c>
    </row>
    <row r="130" spans="1:14">
      <c r="A130" s="3026">
        <v>56</v>
      </c>
      <c r="B130" s="3703"/>
      <c r="C130" s="3026" t="s">
        <v>2636</v>
      </c>
      <c r="D130" s="3005" t="s">
        <v>2637</v>
      </c>
      <c r="E130" s="3027">
        <v>0.1</v>
      </c>
      <c r="F130" s="3026">
        <v>15</v>
      </c>
    </row>
    <row r="131" spans="1:14" ht="24">
      <c r="A131" s="3026">
        <v>57</v>
      </c>
      <c r="B131" s="3703"/>
      <c r="C131" s="3026" t="s">
        <v>2638</v>
      </c>
      <c r="D131" s="3005" t="s">
        <v>2639</v>
      </c>
      <c r="E131" s="3027">
        <v>0.1</v>
      </c>
      <c r="F131" s="3026">
        <v>15</v>
      </c>
    </row>
    <row r="132" spans="1:14" ht="24">
      <c r="A132" s="3026">
        <v>58</v>
      </c>
      <c r="B132" s="3703" t="s">
        <v>2640</v>
      </c>
      <c r="C132" s="3026" t="s">
        <v>2641</v>
      </c>
      <c r="D132" s="3005" t="s">
        <v>2642</v>
      </c>
      <c r="E132" s="3027">
        <v>0.1</v>
      </c>
      <c r="F132" s="3026">
        <v>15</v>
      </c>
    </row>
    <row r="133" spans="1:14" ht="24">
      <c r="A133" s="3026">
        <v>59</v>
      </c>
      <c r="B133" s="3703"/>
      <c r="C133" s="3026" t="s">
        <v>2643</v>
      </c>
      <c r="D133" s="3005" t="s">
        <v>2644</v>
      </c>
      <c r="E133" s="3027">
        <v>0.1</v>
      </c>
      <c r="F133" s="3026">
        <v>15</v>
      </c>
    </row>
    <row r="134" spans="1:14" ht="24">
      <c r="A134" s="3026">
        <v>60</v>
      </c>
      <c r="B134" s="3704" t="s">
        <v>2645</v>
      </c>
      <c r="C134" s="3026" t="s">
        <v>2646</v>
      </c>
      <c r="D134" s="3005" t="s">
        <v>2647</v>
      </c>
      <c r="E134" s="3027">
        <v>0.1</v>
      </c>
      <c r="F134" s="3026">
        <v>15</v>
      </c>
    </row>
    <row r="135" spans="1:14" ht="24">
      <c r="A135" s="3026">
        <v>61</v>
      </c>
      <c r="B135" s="3705"/>
      <c r="C135" s="3026" t="s">
        <v>2648</v>
      </c>
      <c r="D135" s="3005" t="s">
        <v>2649</v>
      </c>
      <c r="E135" s="3027">
        <v>0.1</v>
      </c>
      <c r="F135" s="3026">
        <v>15</v>
      </c>
    </row>
    <row r="136" spans="1:14" ht="24">
      <c r="A136" s="3026">
        <v>62</v>
      </c>
      <c r="B136" s="3026" t="s">
        <v>2650</v>
      </c>
      <c r="C136" s="3026" t="s">
        <v>2651</v>
      </c>
      <c r="D136" s="3005" t="s">
        <v>2652</v>
      </c>
      <c r="E136" s="3027">
        <v>0.1</v>
      </c>
      <c r="F136" s="3026">
        <v>15</v>
      </c>
    </row>
    <row r="137" spans="1:14" ht="24">
      <c r="A137" s="3026">
        <v>63</v>
      </c>
      <c r="B137" s="3703" t="s">
        <v>2653</v>
      </c>
      <c r="C137" s="3026" t="s">
        <v>2654</v>
      </c>
      <c r="D137" s="3005" t="s">
        <v>2655</v>
      </c>
      <c r="E137" s="3027">
        <v>0.1</v>
      </c>
      <c r="F137" s="3026">
        <v>15</v>
      </c>
    </row>
    <row r="138" spans="1:14">
      <c r="A138" s="3026">
        <v>64</v>
      </c>
      <c r="B138" s="3703"/>
      <c r="C138" s="3026" t="s">
        <v>2656</v>
      </c>
      <c r="D138" s="3005" t="s">
        <v>2657</v>
      </c>
      <c r="E138" s="3027">
        <v>0.1</v>
      </c>
      <c r="F138" s="3026">
        <v>15</v>
      </c>
    </row>
    <row r="139" spans="1:14" ht="24">
      <c r="A139" s="3026">
        <v>65</v>
      </c>
      <c r="B139" s="3026" t="s">
        <v>2658</v>
      </c>
      <c r="C139" s="3026" t="s">
        <v>2659</v>
      </c>
      <c r="D139" s="3005" t="s">
        <v>2660</v>
      </c>
      <c r="E139" s="3027">
        <v>0.1</v>
      </c>
      <c r="F139" s="3026">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1"/>
    <col min="9" max="9" width="9" style="958"/>
    <col min="10" max="10" width="17.375" style="3193" customWidth="1"/>
    <col min="11" max="21" width="17.375" style="3168" customWidth="1"/>
    <col min="22" max="16384" width="9" style="958"/>
  </cols>
  <sheetData>
    <row r="1" spans="1:21">
      <c r="A1" s="3717" t="s">
        <v>2799</v>
      </c>
      <c r="B1" s="3717"/>
      <c r="C1" s="3717"/>
      <c r="D1" s="3717"/>
      <c r="E1" s="3717"/>
      <c r="F1" s="3717"/>
      <c r="G1" s="3718"/>
      <c r="I1" s="962"/>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2800</v>
      </c>
      <c r="B2" s="3154"/>
      <c r="C2" s="3154"/>
      <c r="D2" s="3154"/>
      <c r="E2" s="3154"/>
      <c r="F2" s="3154"/>
      <c r="G2" s="3149" t="s">
        <v>2801</v>
      </c>
      <c r="J2" s="3178" t="s">
        <v>2807</v>
      </c>
      <c r="K2" s="3158" t="s">
        <v>2809</v>
      </c>
      <c r="L2" s="3158" t="s">
        <v>2811</v>
      </c>
      <c r="M2" s="3158" t="s">
        <v>2817</v>
      </c>
      <c r="N2" s="3158" t="s">
        <v>2827</v>
      </c>
      <c r="O2" s="3158" t="s">
        <v>2842</v>
      </c>
      <c r="P2" s="3158" t="s">
        <v>2879</v>
      </c>
      <c r="Q2" s="3158" t="s">
        <v>2910</v>
      </c>
      <c r="R2" s="3158" t="s">
        <v>2938</v>
      </c>
      <c r="S2" s="3158" t="s">
        <v>2973</v>
      </c>
      <c r="T2" s="3158" t="s">
        <v>2993</v>
      </c>
      <c r="U2" s="3158" t="s">
        <v>3005</v>
      </c>
    </row>
    <row r="3" spans="1:21" s="962" customFormat="1" ht="19.5" customHeight="1">
      <c r="A3" s="3719" t="s">
        <v>2802</v>
      </c>
      <c r="B3" s="3150"/>
      <c r="C3" s="3151" t="s">
        <v>2780</v>
      </c>
      <c r="D3" s="3151" t="s">
        <v>2803</v>
      </c>
      <c r="E3" s="3151" t="s">
        <v>2782</v>
      </c>
      <c r="F3" s="3151" t="s">
        <v>2804</v>
      </c>
      <c r="G3" s="3151" t="s">
        <v>2725</v>
      </c>
      <c r="H3" s="965"/>
      <c r="J3" s="3178" t="s">
        <v>2808</v>
      </c>
      <c r="K3" s="3158" t="s">
        <v>973</v>
      </c>
      <c r="L3" s="3158" t="s">
        <v>974</v>
      </c>
      <c r="M3" s="3158" t="s">
        <v>975</v>
      </c>
      <c r="N3" s="3158" t="s">
        <v>976</v>
      </c>
      <c r="O3" s="3158" t="s">
        <v>977</v>
      </c>
      <c r="P3" s="3158" t="s">
        <v>978</v>
      </c>
      <c r="Q3" s="3158" t="s">
        <v>979</v>
      </c>
      <c r="R3" s="3158" t="s">
        <v>980</v>
      </c>
      <c r="S3" s="3158" t="s">
        <v>981</v>
      </c>
      <c r="T3" s="3158" t="s">
        <v>2994</v>
      </c>
      <c r="U3" s="3158" t="s">
        <v>3006</v>
      </c>
    </row>
    <row r="4" spans="1:21" s="962" customFormat="1" ht="19.5" customHeight="1" thickBot="1">
      <c r="A4" s="3720"/>
      <c r="B4" s="3152" t="s">
        <v>2805</v>
      </c>
      <c r="C4" s="3152" t="s">
        <v>2806</v>
      </c>
      <c r="D4" s="3152" t="s">
        <v>2806</v>
      </c>
      <c r="E4" s="3152" t="s">
        <v>2806</v>
      </c>
      <c r="F4" s="3153" t="s">
        <v>2806</v>
      </c>
      <c r="G4" s="3153" t="s">
        <v>2806</v>
      </c>
      <c r="H4" s="965"/>
      <c r="J4" s="3178" t="s">
        <v>982</v>
      </c>
      <c r="K4" s="3158" t="s">
        <v>983</v>
      </c>
      <c r="L4" s="3158" t="s">
        <v>984</v>
      </c>
      <c r="M4" s="3158" t="s">
        <v>985</v>
      </c>
      <c r="N4" s="3158" t="s">
        <v>986</v>
      </c>
      <c r="O4" s="3158" t="s">
        <v>987</v>
      </c>
      <c r="P4" s="3158" t="s">
        <v>988</v>
      </c>
      <c r="Q4" s="3158" t="s">
        <v>989</v>
      </c>
      <c r="R4" s="3158" t="s">
        <v>2939</v>
      </c>
      <c r="S4" s="3158" t="s">
        <v>2974</v>
      </c>
      <c r="T4" s="3158" t="s">
        <v>2995</v>
      </c>
      <c r="U4" s="3158" t="s">
        <v>3007</v>
      </c>
    </row>
    <row r="5" spans="1:21" ht="14.25" customHeight="1">
      <c r="A5" s="3155" t="s">
        <v>990</v>
      </c>
      <c r="B5" s="3156" t="s">
        <v>2807</v>
      </c>
      <c r="C5" s="3156">
        <v>34550</v>
      </c>
      <c r="D5" s="3156">
        <v>34470</v>
      </c>
      <c r="E5" s="3156">
        <v>34330</v>
      </c>
      <c r="F5" s="3157">
        <v>13400</v>
      </c>
      <c r="G5" s="3157">
        <v>25450</v>
      </c>
      <c r="H5" s="966" t="s">
        <v>961</v>
      </c>
      <c r="I5" s="967">
        <f>SUMPRODUCT((B5:B9=基准地价!I2)*(C3:G3=基准地价!E2)*(C5:G9))</f>
        <v>0</v>
      </c>
      <c r="J5" s="3178" t="s">
        <v>991</v>
      </c>
      <c r="K5" s="3158" t="s">
        <v>992</v>
      </c>
      <c r="L5" s="3158" t="s">
        <v>993</v>
      </c>
      <c r="M5" s="3158" t="s">
        <v>994</v>
      </c>
      <c r="N5" s="3158" t="s">
        <v>995</v>
      </c>
      <c r="O5" s="3158" t="s">
        <v>996</v>
      </c>
      <c r="P5" s="3158" t="s">
        <v>997</v>
      </c>
      <c r="Q5" s="3158" t="s">
        <v>998</v>
      </c>
      <c r="R5" s="3158" t="s">
        <v>2940</v>
      </c>
      <c r="S5" s="3158" t="s">
        <v>2975</v>
      </c>
      <c r="T5" s="3158" t="s">
        <v>999</v>
      </c>
      <c r="U5" s="3158" t="s">
        <v>3008</v>
      </c>
    </row>
    <row r="6" spans="1:21" ht="14.25" customHeight="1">
      <c r="A6" s="3158" t="s">
        <v>990</v>
      </c>
      <c r="B6" s="3158" t="s">
        <v>2808</v>
      </c>
      <c r="C6" s="3158">
        <v>36990</v>
      </c>
      <c r="D6" s="3158">
        <v>36850</v>
      </c>
      <c r="E6" s="3158">
        <v>36700</v>
      </c>
      <c r="F6" s="3159">
        <v>14590</v>
      </c>
      <c r="G6" s="3159">
        <v>27450</v>
      </c>
      <c r="H6" s="968" t="s">
        <v>1000</v>
      </c>
      <c r="I6" s="969">
        <f>SUMPRODUCT((B10:B29=基准地价!I2)*(C3:G3=基准地价!E2)*(C10:G29))</f>
        <v>0</v>
      </c>
      <c r="J6" s="3178" t="s">
        <v>1001</v>
      </c>
      <c r="K6" s="3158" t="s">
        <v>1002</v>
      </c>
      <c r="L6" s="3158" t="s">
        <v>1003</v>
      </c>
      <c r="M6" s="3158" t="s">
        <v>1004</v>
      </c>
      <c r="N6" s="3158" t="s">
        <v>1005</v>
      </c>
      <c r="O6" s="3158" t="s">
        <v>1006</v>
      </c>
      <c r="P6" s="3158" t="s">
        <v>1007</v>
      </c>
      <c r="Q6" s="3158" t="s">
        <v>2911</v>
      </c>
      <c r="R6" s="3158" t="s">
        <v>2941</v>
      </c>
      <c r="S6" s="3158" t="s">
        <v>1008</v>
      </c>
      <c r="T6" s="3158" t="s">
        <v>2996</v>
      </c>
      <c r="U6" s="3158" t="s">
        <v>3009</v>
      </c>
    </row>
    <row r="7" spans="1:21" ht="14.25" customHeight="1">
      <c r="A7" s="3158" t="s">
        <v>990</v>
      </c>
      <c r="B7" s="1217" t="s">
        <v>982</v>
      </c>
      <c r="C7" s="3158">
        <v>34850</v>
      </c>
      <c r="D7" s="3158">
        <v>34690</v>
      </c>
      <c r="E7" s="3158">
        <v>34550</v>
      </c>
      <c r="F7" s="3159">
        <v>14360</v>
      </c>
      <c r="G7" s="3159">
        <v>25620</v>
      </c>
      <c r="H7" s="968" t="s">
        <v>838</v>
      </c>
      <c r="I7" s="969">
        <f>SUMPRODUCT((B30:B54=基准地价!I2)*(C3:G3=基准地价!E2)*(C30:G54))</f>
        <v>0</v>
      </c>
      <c r="K7" s="3158" t="s">
        <v>1009</v>
      </c>
      <c r="L7" s="3158" t="s">
        <v>1010</v>
      </c>
      <c r="M7" s="3158" t="s">
        <v>1011</v>
      </c>
      <c r="N7" s="3158" t="s">
        <v>1012</v>
      </c>
      <c r="O7" s="3158" t="s">
        <v>1013</v>
      </c>
      <c r="P7" s="3158" t="s">
        <v>1014</v>
      </c>
      <c r="Q7" s="3158" t="s">
        <v>2912</v>
      </c>
      <c r="R7" s="3158" t="s">
        <v>2942</v>
      </c>
      <c r="S7" s="3158" t="s">
        <v>2976</v>
      </c>
      <c r="T7" s="3158" t="s">
        <v>2997</v>
      </c>
      <c r="U7" s="1217" t="s">
        <v>3010</v>
      </c>
    </row>
    <row r="8" spans="1:21" ht="14.25" customHeight="1">
      <c r="A8" s="3158" t="s">
        <v>990</v>
      </c>
      <c r="B8" s="3158" t="s">
        <v>991</v>
      </c>
      <c r="C8" s="3158">
        <v>32630</v>
      </c>
      <c r="D8" s="3158">
        <v>32510</v>
      </c>
      <c r="E8" s="3158">
        <v>32420</v>
      </c>
      <c r="F8" s="3159">
        <v>13300</v>
      </c>
      <c r="G8" s="3159">
        <v>24010</v>
      </c>
      <c r="H8" s="968" t="s">
        <v>839</v>
      </c>
      <c r="I8" s="969">
        <f>SUMPRODUCT((B55:B86=基准地价!I2)*(C3:G3=基准地价!E2)*(C55:G86))</f>
        <v>0</v>
      </c>
      <c r="K8" s="3158" t="s">
        <v>1015</v>
      </c>
      <c r="L8" s="3158" t="s">
        <v>1016</v>
      </c>
      <c r="M8" s="3158" t="s">
        <v>1017</v>
      </c>
      <c r="N8" s="3158" t="s">
        <v>1018</v>
      </c>
      <c r="O8" s="3158" t="s">
        <v>1019</v>
      </c>
      <c r="P8" s="3158" t="s">
        <v>1020</v>
      </c>
      <c r="Q8" s="3158" t="s">
        <v>2913</v>
      </c>
      <c r="R8" s="3158" t="s">
        <v>1021</v>
      </c>
      <c r="S8" s="3158" t="s">
        <v>2977</v>
      </c>
      <c r="T8" s="3158" t="s">
        <v>2998</v>
      </c>
      <c r="U8" s="3158" t="s">
        <v>3011</v>
      </c>
    </row>
    <row r="9" spans="1:21" ht="14.25" customHeight="1" thickBot="1">
      <c r="A9" s="3172" t="s">
        <v>990</v>
      </c>
      <c r="B9" s="3160" t="s">
        <v>1001</v>
      </c>
      <c r="C9" s="3161">
        <v>36370</v>
      </c>
      <c r="D9" s="3161">
        <v>36210</v>
      </c>
      <c r="E9" s="3161">
        <v>36050</v>
      </c>
      <c r="F9" s="3162"/>
      <c r="G9" s="3163">
        <v>26740</v>
      </c>
      <c r="H9" s="968" t="s">
        <v>840</v>
      </c>
      <c r="I9" s="969">
        <f>SUMPRODUCT((B87:B126=基准地价!I2)*(C3:G3=基准地价!E2)*(C87:G126))</f>
        <v>0</v>
      </c>
      <c r="K9" s="3158" t="s">
        <v>1022</v>
      </c>
      <c r="L9" s="3158" t="s">
        <v>1023</v>
      </c>
      <c r="M9" s="3158" t="s">
        <v>1024</v>
      </c>
      <c r="N9" s="3158" t="s">
        <v>1025</v>
      </c>
      <c r="O9" s="3158" t="s">
        <v>1026</v>
      </c>
      <c r="P9" s="3158" t="s">
        <v>1027</v>
      </c>
      <c r="Q9" s="3158" t="s">
        <v>2914</v>
      </c>
      <c r="R9" s="3158" t="s">
        <v>1029</v>
      </c>
      <c r="S9" s="3158" t="s">
        <v>1030</v>
      </c>
      <c r="T9" s="3158" t="s">
        <v>1047</v>
      </c>
    </row>
    <row r="10" spans="1:21" ht="14.25" customHeight="1">
      <c r="A10" s="3155" t="s">
        <v>1031</v>
      </c>
      <c r="B10" s="3156" t="s">
        <v>2809</v>
      </c>
      <c r="C10" s="3156">
        <v>32350</v>
      </c>
      <c r="D10" s="3156">
        <v>31430</v>
      </c>
      <c r="E10" s="3156">
        <v>31320</v>
      </c>
      <c r="F10" s="3157">
        <v>10850</v>
      </c>
      <c r="G10" s="3157">
        <v>22860</v>
      </c>
      <c r="H10" s="968" t="s">
        <v>841</v>
      </c>
      <c r="I10" s="969">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2999</v>
      </c>
    </row>
    <row r="11" spans="1:21" ht="14.25" customHeight="1">
      <c r="A11" s="3158" t="s">
        <v>1031</v>
      </c>
      <c r="B11" s="1217" t="s">
        <v>973</v>
      </c>
      <c r="C11" s="3158">
        <v>31590</v>
      </c>
      <c r="D11" s="3158">
        <v>29490</v>
      </c>
      <c r="E11" s="3158">
        <v>28700</v>
      </c>
      <c r="F11" s="3164">
        <v>10410</v>
      </c>
      <c r="G11" s="3164">
        <v>21460</v>
      </c>
      <c r="H11" s="968" t="s">
        <v>842</v>
      </c>
      <c r="I11" s="969">
        <f>SUMPRODUCT((B190:B233=基准地价!I2)*(C3:G3=基准地价!E2)*(C190:G233))</f>
        <v>0</v>
      </c>
      <c r="K11" s="3158" t="s">
        <v>1041</v>
      </c>
      <c r="L11" s="3158" t="s">
        <v>1042</v>
      </c>
      <c r="M11" s="3158" t="s">
        <v>1043</v>
      </c>
      <c r="N11" s="3158" t="s">
        <v>1044</v>
      </c>
      <c r="O11" s="3158" t="s">
        <v>1045</v>
      </c>
      <c r="P11" s="3158" t="s">
        <v>2880</v>
      </c>
      <c r="Q11" s="3158" t="s">
        <v>1038</v>
      </c>
      <c r="R11" s="3158" t="s">
        <v>1046</v>
      </c>
      <c r="S11" s="3158" t="s">
        <v>2978</v>
      </c>
      <c r="T11" s="3158" t="s">
        <v>3000</v>
      </c>
    </row>
    <row r="12" spans="1:21" ht="14.25" customHeight="1">
      <c r="A12" s="3158" t="s">
        <v>1031</v>
      </c>
      <c r="B12" s="1217" t="s">
        <v>983</v>
      </c>
      <c r="C12" s="3158">
        <v>29640</v>
      </c>
      <c r="D12" s="3158">
        <v>27550</v>
      </c>
      <c r="E12" s="3158">
        <v>28010</v>
      </c>
      <c r="F12" s="3164">
        <v>8730</v>
      </c>
      <c r="G12" s="3164">
        <v>20050</v>
      </c>
      <c r="H12" s="968" t="s">
        <v>843</v>
      </c>
      <c r="I12" s="969">
        <f>SUMPRODUCT((B234:B276=基准地价!I2)*(C3:G3=基准地价!E2)*(C234:G276))</f>
        <v>0</v>
      </c>
      <c r="K12" s="3158" t="s">
        <v>1048</v>
      </c>
      <c r="L12" s="3158" t="s">
        <v>1049</v>
      </c>
      <c r="M12" s="3158" t="s">
        <v>1050</v>
      </c>
      <c r="N12" s="3158" t="s">
        <v>1051</v>
      </c>
      <c r="O12" s="3158" t="s">
        <v>1052</v>
      </c>
      <c r="P12" s="3158" t="s">
        <v>2881</v>
      </c>
      <c r="Q12" s="3158" t="s">
        <v>2915</v>
      </c>
      <c r="R12" s="3158" t="s">
        <v>2943</v>
      </c>
      <c r="S12" s="3158" t="s">
        <v>2979</v>
      </c>
      <c r="T12" s="3158" t="s">
        <v>3001</v>
      </c>
    </row>
    <row r="13" spans="1:21" ht="14.25" customHeight="1">
      <c r="A13" s="3158" t="s">
        <v>1031</v>
      </c>
      <c r="B13" s="1217" t="s">
        <v>992</v>
      </c>
      <c r="C13" s="3158">
        <v>29680</v>
      </c>
      <c r="D13" s="3158">
        <v>27660</v>
      </c>
      <c r="E13" s="3158">
        <v>28210</v>
      </c>
      <c r="F13" s="3164">
        <v>9590</v>
      </c>
      <c r="G13" s="3164">
        <v>20120</v>
      </c>
      <c r="H13" s="968" t="s">
        <v>844</v>
      </c>
      <c r="I13" s="969">
        <f>SUMPRODUCT((B277:B326=基准地价!I2)*(C3:G3=基准地价!E2)*(C277:G326))</f>
        <v>0</v>
      </c>
      <c r="K13" s="3158" t="s">
        <v>1055</v>
      </c>
      <c r="L13" s="3158" t="s">
        <v>1056</v>
      </c>
      <c r="M13" s="3158" t="s">
        <v>1057</v>
      </c>
      <c r="N13" s="3158" t="s">
        <v>1058</v>
      </c>
      <c r="O13" s="3158" t="s">
        <v>1059</v>
      </c>
      <c r="P13" s="3158" t="s">
        <v>2882</v>
      </c>
      <c r="Q13" s="3158" t="s">
        <v>1053</v>
      </c>
      <c r="R13" s="3158" t="s">
        <v>1067</v>
      </c>
      <c r="S13" s="3158" t="s">
        <v>1068</v>
      </c>
      <c r="T13" s="3158" t="s">
        <v>1061</v>
      </c>
    </row>
    <row r="14" spans="1:21" ht="14.25" customHeight="1">
      <c r="A14" s="3158" t="s">
        <v>1031</v>
      </c>
      <c r="B14" s="1217" t="s">
        <v>1002</v>
      </c>
      <c r="C14" s="3158">
        <v>30520</v>
      </c>
      <c r="D14" s="3158">
        <v>29510</v>
      </c>
      <c r="E14" s="3158">
        <v>29400</v>
      </c>
      <c r="F14" s="3164">
        <v>9630</v>
      </c>
      <c r="G14" s="3164">
        <v>21480</v>
      </c>
      <c r="H14" s="968" t="s">
        <v>845</v>
      </c>
      <c r="I14" s="969">
        <f>SUMPRODUCT((B327:B357=基准地价!I2)*(C3:G3=基准地价!E2)*(C327:G357))</f>
        <v>0</v>
      </c>
      <c r="K14" s="3158" t="s">
        <v>1062</v>
      </c>
      <c r="L14" s="3158" t="s">
        <v>1063</v>
      </c>
      <c r="M14" s="3158" t="s">
        <v>1064</v>
      </c>
      <c r="N14" s="3158" t="s">
        <v>1065</v>
      </c>
      <c r="O14" s="3158" t="s">
        <v>1066</v>
      </c>
      <c r="P14" s="3158" t="s">
        <v>1088</v>
      </c>
      <c r="Q14" s="3158" t="s">
        <v>1060</v>
      </c>
      <c r="R14" s="3158" t="s">
        <v>2944</v>
      </c>
      <c r="S14" s="3158" t="s">
        <v>1076</v>
      </c>
      <c r="T14" s="3158" t="s">
        <v>1069</v>
      </c>
    </row>
    <row r="15" spans="1:21" ht="14.25" customHeight="1">
      <c r="A15" s="3158" t="s">
        <v>1031</v>
      </c>
      <c r="B15" s="1217" t="s">
        <v>1009</v>
      </c>
      <c r="C15" s="3158">
        <v>29090</v>
      </c>
      <c r="D15" s="3158">
        <v>27590</v>
      </c>
      <c r="E15" s="3158">
        <v>28120</v>
      </c>
      <c r="F15" s="3164">
        <v>9110</v>
      </c>
      <c r="G15" s="3164">
        <v>20070</v>
      </c>
      <c r="H15" s="968" t="s">
        <v>846</v>
      </c>
      <c r="I15" s="969">
        <f>SUMPRODUCT((B358:B377=基准地价!I2)*(C3:G3=基准地价!E2)*(C358:G377))</f>
        <v>0</v>
      </c>
      <c r="K15" s="3158" t="s">
        <v>1070</v>
      </c>
      <c r="L15" s="3158" t="s">
        <v>1071</v>
      </c>
      <c r="M15" s="3158" t="s">
        <v>1072</v>
      </c>
      <c r="N15" s="3158" t="s">
        <v>1073</v>
      </c>
      <c r="O15" s="3158" t="s">
        <v>1074</v>
      </c>
      <c r="P15" s="3158" t="s">
        <v>2883</v>
      </c>
      <c r="Q15" s="3158" t="s">
        <v>2916</v>
      </c>
      <c r="R15" s="3158" t="s">
        <v>1090</v>
      </c>
      <c r="S15" s="3158" t="s">
        <v>2980</v>
      </c>
      <c r="T15" s="3158" t="s">
        <v>1077</v>
      </c>
    </row>
    <row r="16" spans="1:21" ht="14.25" customHeight="1" thickBot="1">
      <c r="A16" s="3158" t="s">
        <v>1031</v>
      </c>
      <c r="B16" s="1217" t="s">
        <v>1015</v>
      </c>
      <c r="C16" s="3158">
        <v>26790</v>
      </c>
      <c r="D16" s="3158">
        <v>30370</v>
      </c>
      <c r="E16" s="3158">
        <v>30240</v>
      </c>
      <c r="F16" s="3164">
        <v>11590</v>
      </c>
      <c r="G16" s="3164">
        <v>22090</v>
      </c>
      <c r="H16" s="970" t="s">
        <v>847</v>
      </c>
      <c r="I16" s="971">
        <f>SUMPRODUCT((B378:B384=基准地价!I2)*(C3:G3=基准地价!E2)*(C378:G384))</f>
        <v>0</v>
      </c>
      <c r="K16" s="3158" t="s">
        <v>1078</v>
      </c>
      <c r="L16" s="3158" t="s">
        <v>1079</v>
      </c>
      <c r="M16" s="3158" t="s">
        <v>1080</v>
      </c>
      <c r="N16" s="3158" t="s">
        <v>1081</v>
      </c>
      <c r="O16" s="3158" t="s">
        <v>1082</v>
      </c>
      <c r="P16" s="3158" t="s">
        <v>2884</v>
      </c>
      <c r="Q16" s="3158" t="s">
        <v>1075</v>
      </c>
      <c r="R16" s="3158" t="s">
        <v>1098</v>
      </c>
      <c r="S16" s="3158" t="s">
        <v>1054</v>
      </c>
      <c r="T16" s="3158" t="s">
        <v>3002</v>
      </c>
    </row>
    <row r="17" spans="1:20" ht="14.25" customHeight="1">
      <c r="A17" s="3158" t="s">
        <v>1031</v>
      </c>
      <c r="B17" s="1217" t="s">
        <v>1022</v>
      </c>
      <c r="C17" s="3158">
        <v>29180</v>
      </c>
      <c r="D17" s="3158">
        <v>27620</v>
      </c>
      <c r="E17" s="3158">
        <v>28180</v>
      </c>
      <c r="F17" s="3164">
        <v>10790</v>
      </c>
      <c r="G17" s="3165">
        <v>20090</v>
      </c>
      <c r="I17" s="972"/>
      <c r="K17" s="3158" t="s">
        <v>1083</v>
      </c>
      <c r="L17" s="3158" t="s">
        <v>1084</v>
      </c>
      <c r="M17" s="3158" t="s">
        <v>1085</v>
      </c>
      <c r="N17" s="3158" t="s">
        <v>1086</v>
      </c>
      <c r="O17" s="3158" t="s">
        <v>1087</v>
      </c>
      <c r="P17" s="3158" t="s">
        <v>2885</v>
      </c>
      <c r="Q17" s="3158" t="s">
        <v>2917</v>
      </c>
      <c r="R17" s="3158" t="s">
        <v>1104</v>
      </c>
      <c r="S17" s="3158" t="s">
        <v>2981</v>
      </c>
      <c r="T17" s="3158" t="s">
        <v>1106</v>
      </c>
    </row>
    <row r="18" spans="1:20" ht="14.25" customHeight="1">
      <c r="A18" s="3158" t="s">
        <v>1031</v>
      </c>
      <c r="B18" s="1217" t="s">
        <v>1032</v>
      </c>
      <c r="C18" s="3158">
        <v>26840</v>
      </c>
      <c r="D18" s="3158">
        <v>28930</v>
      </c>
      <c r="E18" s="3158">
        <v>28820</v>
      </c>
      <c r="F18" s="3164"/>
      <c r="G18" s="3165">
        <v>21050</v>
      </c>
      <c r="I18" s="972"/>
      <c r="K18" s="3158" t="s">
        <v>1092</v>
      </c>
      <c r="L18" s="3158" t="s">
        <v>1093</v>
      </c>
      <c r="M18" s="3158" t="s">
        <v>1094</v>
      </c>
      <c r="N18" s="3158" t="s">
        <v>1095</v>
      </c>
      <c r="O18" s="3158" t="s">
        <v>1096</v>
      </c>
      <c r="P18" s="3158" t="s">
        <v>2886</v>
      </c>
      <c r="Q18" s="3158" t="s">
        <v>1089</v>
      </c>
      <c r="R18" s="3158" t="s">
        <v>2945</v>
      </c>
      <c r="S18" s="3158" t="s">
        <v>1105</v>
      </c>
      <c r="T18" s="3158" t="s">
        <v>1114</v>
      </c>
    </row>
    <row r="19" spans="1:20" ht="14.25" customHeight="1">
      <c r="A19" s="3158" t="s">
        <v>1031</v>
      </c>
      <c r="B19" s="1217" t="s">
        <v>1041</v>
      </c>
      <c r="C19" s="3158">
        <v>27750</v>
      </c>
      <c r="D19" s="3158">
        <v>26680</v>
      </c>
      <c r="E19" s="3158">
        <v>26590</v>
      </c>
      <c r="F19" s="3164"/>
      <c r="G19" s="3165">
        <v>19420</v>
      </c>
      <c r="I19" s="972"/>
      <c r="K19" s="3158" t="s">
        <v>1099</v>
      </c>
      <c r="L19" s="3158" t="s">
        <v>1100</v>
      </c>
      <c r="M19" s="3158" t="s">
        <v>1101</v>
      </c>
      <c r="N19" s="3158" t="s">
        <v>1102</v>
      </c>
      <c r="O19" s="3158" t="s">
        <v>1103</v>
      </c>
      <c r="P19" s="3158" t="s">
        <v>2887</v>
      </c>
      <c r="Q19" s="3158" t="s">
        <v>1097</v>
      </c>
      <c r="R19" s="3158" t="s">
        <v>2946</v>
      </c>
      <c r="S19" s="3158" t="s">
        <v>1113</v>
      </c>
      <c r="T19" s="3158" t="s">
        <v>3003</v>
      </c>
    </row>
    <row r="20" spans="1:20" ht="14.25" customHeight="1">
      <c r="A20" s="3158" t="s">
        <v>1031</v>
      </c>
      <c r="B20" s="1217" t="s">
        <v>1048</v>
      </c>
      <c r="C20" s="3158">
        <v>27050</v>
      </c>
      <c r="D20" s="3158">
        <v>29010</v>
      </c>
      <c r="E20" s="3158">
        <v>28910</v>
      </c>
      <c r="F20" s="3164"/>
      <c r="G20" s="3165">
        <v>21110</v>
      </c>
      <c r="K20" s="3158" t="s">
        <v>1107</v>
      </c>
      <c r="L20" s="3158" t="s">
        <v>1108</v>
      </c>
      <c r="M20" s="3158" t="s">
        <v>1109</v>
      </c>
      <c r="N20" s="3158" t="s">
        <v>1110</v>
      </c>
      <c r="O20" s="3158" t="s">
        <v>1111</v>
      </c>
      <c r="P20" s="3158" t="s">
        <v>2888</v>
      </c>
      <c r="Q20" s="3158" t="s">
        <v>2918</v>
      </c>
      <c r="R20" s="3158" t="s">
        <v>1139</v>
      </c>
      <c r="S20" s="3158" t="s">
        <v>2982</v>
      </c>
      <c r="T20" s="3158" t="s">
        <v>1126</v>
      </c>
    </row>
    <row r="21" spans="1:20" ht="14.25" customHeight="1">
      <c r="A21" s="3158" t="s">
        <v>1031</v>
      </c>
      <c r="B21" s="1217" t="s">
        <v>1055</v>
      </c>
      <c r="C21" s="3158">
        <v>32370</v>
      </c>
      <c r="D21" s="3158">
        <v>26730</v>
      </c>
      <c r="E21" s="3158">
        <v>26640</v>
      </c>
      <c r="F21" s="3164"/>
      <c r="G21" s="3165">
        <v>19440</v>
      </c>
      <c r="K21" s="3167" t="s">
        <v>2810</v>
      </c>
      <c r="L21" s="3158" t="s">
        <v>1115</v>
      </c>
      <c r="M21" s="3158" t="s">
        <v>1116</v>
      </c>
      <c r="N21" s="3158" t="s">
        <v>1117</v>
      </c>
      <c r="O21" s="3158" t="s">
        <v>1118</v>
      </c>
      <c r="P21" s="3158" t="s">
        <v>1112</v>
      </c>
      <c r="Q21" s="3158" t="s">
        <v>1132</v>
      </c>
      <c r="R21" s="3158" t="s">
        <v>1142</v>
      </c>
      <c r="S21" s="3158" t="s">
        <v>2983</v>
      </c>
      <c r="T21" s="3158" t="s">
        <v>3004</v>
      </c>
    </row>
    <row r="22" spans="1:20" ht="14.25" customHeight="1">
      <c r="A22" s="3158" t="s">
        <v>1031</v>
      </c>
      <c r="B22" s="1217" t="s">
        <v>1062</v>
      </c>
      <c r="C22" s="3158">
        <v>29830</v>
      </c>
      <c r="D22" s="3158">
        <v>27600</v>
      </c>
      <c r="E22" s="3158">
        <v>28150</v>
      </c>
      <c r="F22" s="3164"/>
      <c r="G22" s="3165">
        <v>20080</v>
      </c>
      <c r="L22" s="3167" t="s">
        <v>2812</v>
      </c>
      <c r="M22" s="3158" t="s">
        <v>1120</v>
      </c>
      <c r="N22" s="3158" t="s">
        <v>1121</v>
      </c>
      <c r="O22" s="3158" t="s">
        <v>1122</v>
      </c>
      <c r="P22" s="3158" t="s">
        <v>2889</v>
      </c>
      <c r="Q22" s="3158" t="s">
        <v>1135</v>
      </c>
      <c r="R22" s="3158" t="s">
        <v>1144</v>
      </c>
      <c r="S22" s="3158" t="s">
        <v>1091</v>
      </c>
      <c r="T22" s="1217"/>
    </row>
    <row r="23" spans="1:20" ht="14.25" customHeight="1">
      <c r="A23" s="3158" t="s">
        <v>1031</v>
      </c>
      <c r="B23" s="1217" t="s">
        <v>1070</v>
      </c>
      <c r="C23" s="3158">
        <v>27800</v>
      </c>
      <c r="D23" s="3158">
        <v>26900</v>
      </c>
      <c r="E23" s="3158">
        <v>27170</v>
      </c>
      <c r="F23" s="3164"/>
      <c r="G23" s="3165">
        <v>19570</v>
      </c>
      <c r="L23" s="3167" t="s">
        <v>2813</v>
      </c>
      <c r="M23" s="3158" t="s">
        <v>1127</v>
      </c>
      <c r="N23" s="3158" t="s">
        <v>1128</v>
      </c>
      <c r="O23" s="3158" t="s">
        <v>2843</v>
      </c>
      <c r="P23" s="3158" t="s">
        <v>2890</v>
      </c>
      <c r="Q23" s="3158" t="s">
        <v>1138</v>
      </c>
      <c r="R23" s="3158" t="s">
        <v>1147</v>
      </c>
      <c r="S23" s="3158" t="s">
        <v>2984</v>
      </c>
    </row>
    <row r="24" spans="1:20" ht="14.25" customHeight="1">
      <c r="A24" s="3158" t="s">
        <v>1031</v>
      </c>
      <c r="B24" s="1217" t="s">
        <v>1078</v>
      </c>
      <c r="C24" s="3158">
        <v>27930</v>
      </c>
      <c r="D24" s="3158">
        <v>32260</v>
      </c>
      <c r="E24" s="3158">
        <v>32120</v>
      </c>
      <c r="F24" s="3164"/>
      <c r="G24" s="3165">
        <v>23470</v>
      </c>
      <c r="L24" s="3167" t="s">
        <v>2814</v>
      </c>
      <c r="M24" s="3158" t="s">
        <v>1130</v>
      </c>
      <c r="N24" s="3158" t="s">
        <v>1131</v>
      </c>
      <c r="O24" s="3158" t="s">
        <v>2844</v>
      </c>
      <c r="P24" s="3158" t="s">
        <v>1134</v>
      </c>
      <c r="Q24" s="3158" t="s">
        <v>2919</v>
      </c>
      <c r="R24" s="3158" t="s">
        <v>2947</v>
      </c>
      <c r="S24" s="3158" t="s">
        <v>2985</v>
      </c>
    </row>
    <row r="25" spans="1:20" ht="14.25" customHeight="1">
      <c r="A25" s="3158" t="s">
        <v>1031</v>
      </c>
      <c r="B25" s="1217" t="s">
        <v>1083</v>
      </c>
      <c r="C25" s="3158">
        <v>32230</v>
      </c>
      <c r="D25" s="3158">
        <v>29640</v>
      </c>
      <c r="E25" s="3158">
        <v>29510</v>
      </c>
      <c r="F25" s="3164"/>
      <c r="G25" s="3165">
        <v>21560</v>
      </c>
      <c r="L25" s="3167" t="s">
        <v>2815</v>
      </c>
      <c r="M25" s="3158" t="s">
        <v>2818</v>
      </c>
      <c r="N25" s="3158" t="s">
        <v>1133</v>
      </c>
      <c r="O25" s="3158" t="s">
        <v>1141</v>
      </c>
      <c r="P25" s="3158" t="s">
        <v>1137</v>
      </c>
      <c r="Q25" s="3158" t="s">
        <v>1124</v>
      </c>
      <c r="R25" s="3158" t="s">
        <v>1119</v>
      </c>
      <c r="S25" s="3158" t="s">
        <v>2986</v>
      </c>
    </row>
    <row r="26" spans="1:20" ht="14.25" customHeight="1">
      <c r="A26" s="3158" t="s">
        <v>1031</v>
      </c>
      <c r="B26" s="1217" t="s">
        <v>1092</v>
      </c>
      <c r="C26" s="3158">
        <v>31690</v>
      </c>
      <c r="D26" s="3158">
        <v>27650</v>
      </c>
      <c r="E26" s="3158">
        <v>28200</v>
      </c>
      <c r="F26" s="3164"/>
      <c r="G26" s="3165">
        <v>20110</v>
      </c>
      <c r="L26" s="3167" t="s">
        <v>2816</v>
      </c>
      <c r="M26" s="3158" t="s">
        <v>2819</v>
      </c>
      <c r="N26" s="3158" t="s">
        <v>1136</v>
      </c>
      <c r="O26" s="3158" t="s">
        <v>1143</v>
      </c>
      <c r="P26" s="3158" t="s">
        <v>2891</v>
      </c>
      <c r="Q26" s="3158" t="s">
        <v>2920</v>
      </c>
      <c r="R26" s="3158" t="s">
        <v>1125</v>
      </c>
      <c r="S26" s="3158" t="s">
        <v>2987</v>
      </c>
    </row>
    <row r="27" spans="1:20" ht="14.25" customHeight="1">
      <c r="A27" s="3158" t="s">
        <v>1031</v>
      </c>
      <c r="B27" s="1217" t="s">
        <v>1099</v>
      </c>
      <c r="C27" s="3158">
        <v>29610</v>
      </c>
      <c r="D27" s="3158">
        <v>27770</v>
      </c>
      <c r="E27" s="3158">
        <v>28300</v>
      </c>
      <c r="F27" s="3164"/>
      <c r="G27" s="3165">
        <v>20210</v>
      </c>
      <c r="M27" s="3158" t="s">
        <v>2820</v>
      </c>
      <c r="N27" s="3158" t="s">
        <v>1140</v>
      </c>
      <c r="O27" s="3158" t="s">
        <v>1146</v>
      </c>
      <c r="P27" s="3158" t="s">
        <v>1123</v>
      </c>
      <c r="Q27" s="3158" t="s">
        <v>2921</v>
      </c>
      <c r="R27" s="3158" t="s">
        <v>2948</v>
      </c>
      <c r="S27" s="3158" t="s">
        <v>2988</v>
      </c>
    </row>
    <row r="28" spans="1:20" ht="14.25" customHeight="1">
      <c r="A28" s="3172" t="s">
        <v>1031</v>
      </c>
      <c r="B28" s="2407" t="s">
        <v>1107</v>
      </c>
      <c r="C28" s="1215"/>
      <c r="D28" s="1215">
        <v>31520</v>
      </c>
      <c r="E28" s="1215">
        <v>31410</v>
      </c>
      <c r="F28" s="3169"/>
      <c r="G28" s="3170">
        <v>22940</v>
      </c>
      <c r="M28" s="3158" t="s">
        <v>2821</v>
      </c>
      <c r="N28" s="3158" t="s">
        <v>2828</v>
      </c>
      <c r="O28" s="3158" t="s">
        <v>2845</v>
      </c>
      <c r="P28" s="3158" t="s">
        <v>2892</v>
      </c>
      <c r="Q28" s="3158" t="s">
        <v>2922</v>
      </c>
      <c r="R28" s="3158" t="s">
        <v>2949</v>
      </c>
      <c r="S28" s="3167" t="s">
        <v>2989</v>
      </c>
    </row>
    <row r="29" spans="1:20" ht="14.25" customHeight="1" thickBot="1">
      <c r="A29" s="3173" t="s">
        <v>1031</v>
      </c>
      <c r="B29" s="3161" t="s">
        <v>2810</v>
      </c>
      <c r="C29" s="3161"/>
      <c r="D29" s="3161">
        <v>29460</v>
      </c>
      <c r="E29" s="3161">
        <v>28640</v>
      </c>
      <c r="F29" s="3162"/>
      <c r="G29" s="3174">
        <v>21430</v>
      </c>
      <c r="M29" s="3167" t="s">
        <v>2822</v>
      </c>
      <c r="N29" s="3158" t="s">
        <v>2829</v>
      </c>
      <c r="O29" s="3158" t="s">
        <v>2846</v>
      </c>
      <c r="P29" s="3158" t="s">
        <v>2893</v>
      </c>
      <c r="Q29" s="3158" t="s">
        <v>2923</v>
      </c>
      <c r="R29" s="3158" t="s">
        <v>2950</v>
      </c>
      <c r="S29" s="3167" t="s">
        <v>1129</v>
      </c>
    </row>
    <row r="30" spans="1:20" ht="14.25" customHeight="1">
      <c r="A30" s="3172" t="s">
        <v>1145</v>
      </c>
      <c r="B30" s="1217" t="s">
        <v>2811</v>
      </c>
      <c r="C30" s="1217">
        <v>26890</v>
      </c>
      <c r="D30" s="1217">
        <v>26770</v>
      </c>
      <c r="E30" s="1217">
        <v>25700</v>
      </c>
      <c r="F30" s="3159">
        <v>8180</v>
      </c>
      <c r="G30" s="3159">
        <v>18740</v>
      </c>
      <c r="I30" s="972"/>
      <c r="M30" s="3167" t="s">
        <v>2823</v>
      </c>
      <c r="N30" s="3158" t="s">
        <v>2830</v>
      </c>
      <c r="O30" s="3158" t="s">
        <v>2847</v>
      </c>
      <c r="P30" s="3158" t="s">
        <v>2894</v>
      </c>
      <c r="Q30" s="3158" t="s">
        <v>2924</v>
      </c>
      <c r="R30" s="3158" t="s">
        <v>2951</v>
      </c>
      <c r="S30" s="3167" t="s">
        <v>2990</v>
      </c>
    </row>
    <row r="31" spans="1:20" ht="14.25" customHeight="1">
      <c r="A31" s="3158" t="s">
        <v>1145</v>
      </c>
      <c r="B31" s="1217" t="s">
        <v>974</v>
      </c>
      <c r="C31" s="3158">
        <v>24550</v>
      </c>
      <c r="D31" s="3158">
        <v>23990</v>
      </c>
      <c r="E31" s="3158">
        <v>22930</v>
      </c>
      <c r="F31" s="3164">
        <v>7470</v>
      </c>
      <c r="G31" s="3164">
        <v>16790</v>
      </c>
      <c r="I31" s="972"/>
      <c r="M31" s="3167" t="s">
        <v>2824</v>
      </c>
      <c r="N31" s="3158" t="s">
        <v>2831</v>
      </c>
      <c r="O31" s="3158" t="s">
        <v>2848</v>
      </c>
      <c r="P31" s="3158" t="s">
        <v>2895</v>
      </c>
      <c r="Q31" s="3158" t="s">
        <v>2925</v>
      </c>
      <c r="R31" s="3158" t="s">
        <v>2952</v>
      </c>
      <c r="S31" s="3167" t="s">
        <v>2991</v>
      </c>
    </row>
    <row r="32" spans="1:20" ht="14.25" customHeight="1">
      <c r="A32" s="3158" t="s">
        <v>1145</v>
      </c>
      <c r="B32" s="1217" t="s">
        <v>984</v>
      </c>
      <c r="C32" s="3158">
        <v>27210</v>
      </c>
      <c r="D32" s="3158">
        <v>23240</v>
      </c>
      <c r="E32" s="3158">
        <v>23260</v>
      </c>
      <c r="F32" s="3164">
        <v>7130</v>
      </c>
      <c r="G32" s="3164">
        <v>16270</v>
      </c>
      <c r="I32" s="972"/>
      <c r="M32" s="3167" t="s">
        <v>2825</v>
      </c>
      <c r="N32" s="3158" t="s">
        <v>2832</v>
      </c>
      <c r="O32" s="3158" t="s">
        <v>1149</v>
      </c>
      <c r="P32" s="3158" t="s">
        <v>2896</v>
      </c>
      <c r="Q32" s="3158" t="s">
        <v>1148</v>
      </c>
      <c r="R32" s="3158" t="s">
        <v>2953</v>
      </c>
      <c r="S32" s="3167" t="s">
        <v>2992</v>
      </c>
    </row>
    <row r="33" spans="1:18" ht="14.25" customHeight="1">
      <c r="A33" s="3158" t="s">
        <v>1145</v>
      </c>
      <c r="B33" s="1217" t="s">
        <v>993</v>
      </c>
      <c r="C33" s="3158">
        <v>27300</v>
      </c>
      <c r="D33" s="3158">
        <v>22980</v>
      </c>
      <c r="E33" s="3158">
        <v>24260</v>
      </c>
      <c r="F33" s="3164">
        <v>5860</v>
      </c>
      <c r="G33" s="3164">
        <v>16090</v>
      </c>
      <c r="I33" s="972"/>
      <c r="M33" s="3167" t="s">
        <v>2826</v>
      </c>
      <c r="N33" s="3158" t="s">
        <v>2833</v>
      </c>
      <c r="O33" s="3158" t="s">
        <v>1150</v>
      </c>
      <c r="P33" s="3158" t="s">
        <v>2897</v>
      </c>
      <c r="Q33" s="3158" t="s">
        <v>2926</v>
      </c>
      <c r="R33" s="3158" t="s">
        <v>2954</v>
      </c>
    </row>
    <row r="34" spans="1:18" ht="14.25" customHeight="1">
      <c r="A34" s="3158" t="s">
        <v>1145</v>
      </c>
      <c r="B34" s="1217" t="s">
        <v>1003</v>
      </c>
      <c r="C34" s="3158">
        <v>23090</v>
      </c>
      <c r="D34" s="3158">
        <v>23390</v>
      </c>
      <c r="E34" s="3158">
        <v>23510</v>
      </c>
      <c r="F34" s="3164">
        <v>6700</v>
      </c>
      <c r="G34" s="3164">
        <v>16370</v>
      </c>
      <c r="I34" s="972"/>
      <c r="N34" s="3158" t="s">
        <v>2834</v>
      </c>
      <c r="O34" s="3158" t="s">
        <v>1151</v>
      </c>
      <c r="P34" s="3158" t="s">
        <v>2898</v>
      </c>
      <c r="Q34" s="3158" t="s">
        <v>2927</v>
      </c>
      <c r="R34" s="3158" t="s">
        <v>2955</v>
      </c>
    </row>
    <row r="35" spans="1:18" ht="14.25" customHeight="1">
      <c r="A35" s="3158" t="s">
        <v>1145</v>
      </c>
      <c r="B35" s="1217" t="s">
        <v>1010</v>
      </c>
      <c r="C35" s="3158">
        <v>27270</v>
      </c>
      <c r="D35" s="3158">
        <v>24270</v>
      </c>
      <c r="E35" s="3158">
        <v>24950</v>
      </c>
      <c r="F35" s="3164">
        <v>6600</v>
      </c>
      <c r="G35" s="3164">
        <v>16990</v>
      </c>
      <c r="I35" s="972"/>
      <c r="N35" s="3158" t="s">
        <v>2835</v>
      </c>
      <c r="O35" s="3158" t="s">
        <v>2849</v>
      </c>
      <c r="P35" s="3158" t="s">
        <v>2899</v>
      </c>
      <c r="Q35" s="3158" t="s">
        <v>2928</v>
      </c>
      <c r="R35" s="3158" t="s">
        <v>2956</v>
      </c>
    </row>
    <row r="36" spans="1:18" ht="14.25" customHeight="1">
      <c r="A36" s="3158" t="s">
        <v>1145</v>
      </c>
      <c r="B36" s="1217" t="s">
        <v>1016</v>
      </c>
      <c r="C36" s="3158">
        <v>23490</v>
      </c>
      <c r="D36" s="3158">
        <v>23020</v>
      </c>
      <c r="E36" s="3158">
        <v>25230</v>
      </c>
      <c r="F36" s="3164">
        <v>6780</v>
      </c>
      <c r="G36" s="3164">
        <v>16120</v>
      </c>
      <c r="I36" s="972"/>
      <c r="N36" s="3167" t="s">
        <v>2836</v>
      </c>
      <c r="O36" s="3194" t="s">
        <v>2850</v>
      </c>
      <c r="P36" s="3158" t="s">
        <v>2900</v>
      </c>
      <c r="Q36" s="3158" t="s">
        <v>2929</v>
      </c>
      <c r="R36" s="3158" t="s">
        <v>2957</v>
      </c>
    </row>
    <row r="37" spans="1:18" ht="14.25" customHeight="1">
      <c r="A37" s="3158" t="s">
        <v>1145</v>
      </c>
      <c r="B37" s="1217" t="s">
        <v>1023</v>
      </c>
      <c r="C37" s="3158">
        <v>24380</v>
      </c>
      <c r="D37" s="3158">
        <v>22240</v>
      </c>
      <c r="E37" s="3158">
        <v>25980</v>
      </c>
      <c r="F37" s="3164">
        <v>8160</v>
      </c>
      <c r="G37" s="3164">
        <v>15570</v>
      </c>
      <c r="I37" s="973"/>
      <c r="N37" s="3167" t="s">
        <v>2837</v>
      </c>
      <c r="O37" s="3194" t="s">
        <v>2851</v>
      </c>
      <c r="P37" s="3158" t="s">
        <v>2901</v>
      </c>
      <c r="Q37" s="3158" t="s">
        <v>2930</v>
      </c>
      <c r="R37" s="3158" t="s">
        <v>2958</v>
      </c>
    </row>
    <row r="38" spans="1:18" ht="14.25" customHeight="1">
      <c r="A38" s="3158" t="s">
        <v>1145</v>
      </c>
      <c r="B38" s="1217" t="s">
        <v>1033</v>
      </c>
      <c r="C38" s="3158">
        <v>23120</v>
      </c>
      <c r="D38" s="3158">
        <v>24630</v>
      </c>
      <c r="E38" s="3158">
        <v>25030</v>
      </c>
      <c r="F38" s="3164">
        <v>7710</v>
      </c>
      <c r="G38" s="3164">
        <v>17240</v>
      </c>
      <c r="I38" s="972"/>
      <c r="N38" s="3167" t="s">
        <v>2838</v>
      </c>
      <c r="O38" s="3194" t="s">
        <v>2852</v>
      </c>
      <c r="P38" s="3158" t="s">
        <v>2902</v>
      </c>
      <c r="Q38" s="3158" t="s">
        <v>2931</v>
      </c>
      <c r="R38" s="3158" t="s">
        <v>2959</v>
      </c>
    </row>
    <row r="39" spans="1:18" ht="14.25" customHeight="1">
      <c r="A39" s="3158" t="s">
        <v>1145</v>
      </c>
      <c r="B39" s="1217" t="s">
        <v>1042</v>
      </c>
      <c r="C39" s="3158">
        <v>22330</v>
      </c>
      <c r="D39" s="3158">
        <v>21140</v>
      </c>
      <c r="E39" s="3158">
        <v>23970</v>
      </c>
      <c r="F39" s="3164">
        <v>7940</v>
      </c>
      <c r="G39" s="3164">
        <v>14790</v>
      </c>
      <c r="I39" s="972"/>
      <c r="N39" s="3167" t="s">
        <v>2839</v>
      </c>
      <c r="O39" s="3194" t="s">
        <v>2853</v>
      </c>
      <c r="P39" s="3158" t="s">
        <v>2903</v>
      </c>
      <c r="Q39" s="3158" t="s">
        <v>2932</v>
      </c>
      <c r="R39" s="3158" t="s">
        <v>2960</v>
      </c>
    </row>
    <row r="40" spans="1:18" ht="14.25" customHeight="1">
      <c r="A40" s="3158" t="s">
        <v>1145</v>
      </c>
      <c r="B40" s="1217" t="s">
        <v>1049</v>
      </c>
      <c r="C40" s="3158">
        <v>24740</v>
      </c>
      <c r="D40" s="3158">
        <v>24690</v>
      </c>
      <c r="E40" s="3158">
        <v>22610</v>
      </c>
      <c r="F40" s="3164"/>
      <c r="G40" s="3164">
        <v>17280</v>
      </c>
      <c r="I40" s="972"/>
      <c r="N40" s="3167" t="s">
        <v>2840</v>
      </c>
      <c r="O40" s="3194" t="s">
        <v>2854</v>
      </c>
      <c r="P40" s="3158" t="s">
        <v>2904</v>
      </c>
      <c r="Q40" s="3158" t="s">
        <v>2933</v>
      </c>
      <c r="R40" s="3158" t="s">
        <v>2961</v>
      </c>
    </row>
    <row r="41" spans="1:18" ht="14.25" customHeight="1">
      <c r="A41" s="3158" t="s">
        <v>1145</v>
      </c>
      <c r="B41" s="1217" t="s">
        <v>1056</v>
      </c>
      <c r="C41" s="3158">
        <v>21220</v>
      </c>
      <c r="D41" s="3158">
        <v>21120</v>
      </c>
      <c r="E41" s="3158">
        <v>22590</v>
      </c>
      <c r="F41" s="3164"/>
      <c r="G41" s="3164">
        <v>14780</v>
      </c>
      <c r="I41" s="972"/>
      <c r="N41" s="3167" t="s">
        <v>2841</v>
      </c>
      <c r="O41" s="3195" t="s">
        <v>2855</v>
      </c>
      <c r="P41" s="1217" t="s">
        <v>2905</v>
      </c>
      <c r="Q41" s="3167" t="s">
        <v>2934</v>
      </c>
      <c r="R41" s="1217" t="s">
        <v>2962</v>
      </c>
    </row>
    <row r="42" spans="1:18" ht="14.25" customHeight="1">
      <c r="A42" s="3158" t="s">
        <v>1145</v>
      </c>
      <c r="B42" s="1217" t="s">
        <v>1063</v>
      </c>
      <c r="C42" s="3158">
        <v>24800</v>
      </c>
      <c r="D42" s="3158">
        <v>22280</v>
      </c>
      <c r="E42" s="3158">
        <v>24350</v>
      </c>
      <c r="F42" s="3164"/>
      <c r="G42" s="3164">
        <v>15590</v>
      </c>
      <c r="I42" s="972"/>
      <c r="O42" s="3158" t="s">
        <v>2856</v>
      </c>
      <c r="P42" s="3158" t="s">
        <v>2906</v>
      </c>
      <c r="Q42" s="3167" t="s">
        <v>2935</v>
      </c>
      <c r="R42" s="3158" t="s">
        <v>2963</v>
      </c>
    </row>
    <row r="43" spans="1:18" ht="14.25" customHeight="1">
      <c r="A43" s="3158" t="s">
        <v>1145</v>
      </c>
      <c r="B43" s="1217" t="s">
        <v>1071</v>
      </c>
      <c r="C43" s="3158">
        <v>21210</v>
      </c>
      <c r="D43" s="3158">
        <v>21160</v>
      </c>
      <c r="E43" s="3158">
        <v>22650</v>
      </c>
      <c r="F43" s="3164"/>
      <c r="G43" s="3164">
        <v>14800</v>
      </c>
      <c r="I43" s="972"/>
      <c r="O43" s="3158" t="s">
        <v>2857</v>
      </c>
      <c r="P43" s="3158" t="s">
        <v>2907</v>
      </c>
      <c r="Q43" s="3167" t="s">
        <v>2936</v>
      </c>
      <c r="R43" s="3158" t="s">
        <v>2964</v>
      </c>
    </row>
    <row r="44" spans="1:18" ht="14.25" customHeight="1">
      <c r="A44" s="3158" t="s">
        <v>1145</v>
      </c>
      <c r="B44" s="1217" t="s">
        <v>1079</v>
      </c>
      <c r="C44" s="3158">
        <v>22370</v>
      </c>
      <c r="D44" s="3158">
        <v>23140</v>
      </c>
      <c r="E44" s="3158">
        <v>25090</v>
      </c>
      <c r="F44" s="3164"/>
      <c r="G44" s="3164">
        <v>16190</v>
      </c>
      <c r="I44" s="972"/>
      <c r="O44" s="3158" t="s">
        <v>2858</v>
      </c>
      <c r="P44" s="3158" t="s">
        <v>2908</v>
      </c>
      <c r="Q44" s="3167" t="s">
        <v>2937</v>
      </c>
      <c r="R44" s="3158" t="s">
        <v>2965</v>
      </c>
    </row>
    <row r="45" spans="1:18" ht="14.25" customHeight="1">
      <c r="A45" s="3158" t="s">
        <v>1145</v>
      </c>
      <c r="B45" s="1217" t="s">
        <v>1084</v>
      </c>
      <c r="C45" s="3158">
        <v>21240</v>
      </c>
      <c r="D45" s="3158">
        <v>27050</v>
      </c>
      <c r="E45" s="3158">
        <v>28000</v>
      </c>
      <c r="F45" s="3164"/>
      <c r="G45" s="3164">
        <v>18940</v>
      </c>
      <c r="I45" s="972"/>
      <c r="O45" s="3158" t="s">
        <v>2859</v>
      </c>
      <c r="P45" s="3158" t="s">
        <v>2909</v>
      </c>
      <c r="R45" s="3158" t="s">
        <v>2966</v>
      </c>
    </row>
    <row r="46" spans="1:18" ht="14.25" customHeight="1">
      <c r="A46" s="3158" t="s">
        <v>1145</v>
      </c>
      <c r="B46" s="1217" t="s">
        <v>1093</v>
      </c>
      <c r="C46" s="3158">
        <v>23240</v>
      </c>
      <c r="D46" s="3158">
        <v>23000</v>
      </c>
      <c r="E46" s="3158">
        <v>24980</v>
      </c>
      <c r="F46" s="3164"/>
      <c r="G46" s="3164">
        <v>16100</v>
      </c>
      <c r="I46" s="972"/>
      <c r="O46" s="3158" t="s">
        <v>2860</v>
      </c>
      <c r="P46" s="3158"/>
      <c r="R46" s="3158" t="s">
        <v>2967</v>
      </c>
    </row>
    <row r="47" spans="1:18" ht="14.25" customHeight="1">
      <c r="A47" s="3158" t="s">
        <v>1145</v>
      </c>
      <c r="B47" s="2407" t="s">
        <v>1100</v>
      </c>
      <c r="C47" s="1215">
        <v>27150</v>
      </c>
      <c r="D47" s="1215">
        <v>23310</v>
      </c>
      <c r="E47" s="1215">
        <v>25150</v>
      </c>
      <c r="F47" s="3169"/>
      <c r="G47" s="3169">
        <v>16310</v>
      </c>
      <c r="I47" s="972"/>
      <c r="O47" s="3158" t="s">
        <v>2861</v>
      </c>
      <c r="P47" s="3158"/>
      <c r="R47" s="3167" t="s">
        <v>2968</v>
      </c>
    </row>
    <row r="48" spans="1:18" ht="14.25" customHeight="1">
      <c r="A48" s="3158" t="s">
        <v>1145</v>
      </c>
      <c r="B48" s="3158" t="s">
        <v>1108</v>
      </c>
      <c r="C48" s="3158">
        <v>23100</v>
      </c>
      <c r="D48" s="3158">
        <v>21110</v>
      </c>
      <c r="E48" s="3158">
        <v>23080</v>
      </c>
      <c r="F48" s="3164"/>
      <c r="G48" s="3171">
        <v>14780</v>
      </c>
      <c r="I48" s="972"/>
      <c r="O48" s="3158" t="s">
        <v>2862</v>
      </c>
      <c r="P48" s="3158"/>
      <c r="R48" s="3167" t="s">
        <v>2969</v>
      </c>
    </row>
    <row r="49" spans="1:18" ht="14.25" customHeight="1">
      <c r="A49" s="3158" t="s">
        <v>1145</v>
      </c>
      <c r="B49" s="1217" t="s">
        <v>1115</v>
      </c>
      <c r="C49" s="1217">
        <v>23400</v>
      </c>
      <c r="D49" s="1217">
        <v>22920</v>
      </c>
      <c r="E49" s="1217">
        <v>24900</v>
      </c>
      <c r="F49" s="3159"/>
      <c r="G49" s="3159">
        <v>16040</v>
      </c>
      <c r="I49" s="972"/>
      <c r="O49" s="3158" t="s">
        <v>2863</v>
      </c>
      <c r="P49" s="3158"/>
      <c r="R49" s="3167" t="s">
        <v>2970</v>
      </c>
    </row>
    <row r="50" spans="1:18" ht="14.25" customHeight="1">
      <c r="A50" s="3158" t="s">
        <v>1145</v>
      </c>
      <c r="B50" s="3158" t="s">
        <v>2812</v>
      </c>
      <c r="C50" s="3158">
        <v>21200</v>
      </c>
      <c r="D50" s="3158">
        <v>26540</v>
      </c>
      <c r="E50" s="3158">
        <v>23200</v>
      </c>
      <c r="F50" s="3164"/>
      <c r="G50" s="3164">
        <v>18580</v>
      </c>
      <c r="I50" s="972"/>
      <c r="O50" s="3167" t="s">
        <v>2864</v>
      </c>
      <c r="R50" s="3167" t="s">
        <v>2971</v>
      </c>
    </row>
    <row r="51" spans="1:18" ht="14.25" customHeight="1">
      <c r="A51" s="3158" t="s">
        <v>1145</v>
      </c>
      <c r="B51" s="3158" t="s">
        <v>2813</v>
      </c>
      <c r="C51" s="3158">
        <v>23000</v>
      </c>
      <c r="D51" s="3158">
        <v>23460</v>
      </c>
      <c r="E51" s="3158">
        <v>25290</v>
      </c>
      <c r="F51" s="3164"/>
      <c r="G51" s="3164">
        <v>16420</v>
      </c>
      <c r="I51" s="972"/>
      <c r="O51" s="3167" t="s">
        <v>2865</v>
      </c>
      <c r="R51" s="3167" t="s">
        <v>2972</v>
      </c>
    </row>
    <row r="52" spans="1:18" ht="14.25" customHeight="1">
      <c r="A52" s="3158" t="s">
        <v>1145</v>
      </c>
      <c r="B52" s="3158" t="s">
        <v>2814</v>
      </c>
      <c r="C52" s="3158">
        <v>26660</v>
      </c>
      <c r="D52" s="3158">
        <v>22350</v>
      </c>
      <c r="E52" s="3158">
        <v>22920</v>
      </c>
      <c r="F52" s="3164"/>
      <c r="G52" s="3164">
        <v>15640</v>
      </c>
      <c r="I52" s="972"/>
      <c r="O52" s="3167" t="s">
        <v>2866</v>
      </c>
    </row>
    <row r="53" spans="1:18" ht="14.25" customHeight="1">
      <c r="A53" s="3158" t="s">
        <v>1145</v>
      </c>
      <c r="B53" s="3158" t="s">
        <v>2815</v>
      </c>
      <c r="C53" s="3158">
        <v>23580</v>
      </c>
      <c r="D53" s="3158"/>
      <c r="E53" s="3158">
        <v>24280</v>
      </c>
      <c r="F53" s="3164"/>
      <c r="G53" s="3164"/>
      <c r="I53" s="972"/>
      <c r="O53" s="3167" t="s">
        <v>2867</v>
      </c>
    </row>
    <row r="54" spans="1:18" ht="14.25" customHeight="1" thickBot="1">
      <c r="A54" s="3173" t="s">
        <v>1145</v>
      </c>
      <c r="B54" s="3161" t="s">
        <v>2816</v>
      </c>
      <c r="C54" s="3161">
        <v>22460</v>
      </c>
      <c r="D54" s="3161"/>
      <c r="E54" s="3161"/>
      <c r="F54" s="3162"/>
      <c r="G54" s="3174"/>
      <c r="I54" s="972"/>
      <c r="O54" s="3167" t="s">
        <v>2868</v>
      </c>
    </row>
    <row r="55" spans="1:18" ht="14.25" customHeight="1">
      <c r="A55" s="3172" t="s">
        <v>853</v>
      </c>
      <c r="B55" s="1217" t="s">
        <v>2817</v>
      </c>
      <c r="C55" s="1217">
        <v>21970</v>
      </c>
      <c r="D55" s="1217">
        <v>20370</v>
      </c>
      <c r="E55" s="1217">
        <v>20180</v>
      </c>
      <c r="F55" s="3159">
        <v>5730</v>
      </c>
      <c r="G55" s="3159">
        <v>13820</v>
      </c>
      <c r="I55" s="972"/>
      <c r="O55" s="3167" t="s">
        <v>2869</v>
      </c>
    </row>
    <row r="56" spans="1:18" ht="14.25" customHeight="1">
      <c r="A56" s="3158" t="s">
        <v>853</v>
      </c>
      <c r="B56" s="3158" t="s">
        <v>975</v>
      </c>
      <c r="C56" s="3158">
        <v>20470</v>
      </c>
      <c r="D56" s="3158">
        <v>20700</v>
      </c>
      <c r="E56" s="3158">
        <v>20380</v>
      </c>
      <c r="F56" s="3164">
        <v>4760</v>
      </c>
      <c r="G56" s="3164">
        <v>14050</v>
      </c>
      <c r="I56" s="972"/>
      <c r="O56" s="3167" t="s">
        <v>2870</v>
      </c>
    </row>
    <row r="57" spans="1:18" ht="14.25" customHeight="1">
      <c r="A57" s="3158" t="s">
        <v>853</v>
      </c>
      <c r="B57" s="3158" t="s">
        <v>985</v>
      </c>
      <c r="C57" s="3158">
        <v>20790</v>
      </c>
      <c r="D57" s="3158">
        <v>21370</v>
      </c>
      <c r="E57" s="3158">
        <v>20890</v>
      </c>
      <c r="F57" s="3164">
        <v>4910</v>
      </c>
      <c r="G57" s="3164">
        <v>14510</v>
      </c>
      <c r="I57" s="972"/>
      <c r="O57" s="3167" t="s">
        <v>2871</v>
      </c>
    </row>
    <row r="58" spans="1:18" ht="14.25" customHeight="1">
      <c r="A58" s="3158" t="s">
        <v>853</v>
      </c>
      <c r="B58" s="3158" t="s">
        <v>994</v>
      </c>
      <c r="C58" s="3158">
        <v>21460</v>
      </c>
      <c r="D58" s="3158">
        <v>20920</v>
      </c>
      <c r="E58" s="3158">
        <v>23410</v>
      </c>
      <c r="F58" s="3164">
        <v>5100</v>
      </c>
      <c r="G58" s="3164">
        <v>14200</v>
      </c>
      <c r="I58" s="972"/>
      <c r="O58" s="3167" t="s">
        <v>2872</v>
      </c>
    </row>
    <row r="59" spans="1:18" ht="14.25" customHeight="1">
      <c r="A59" s="3158" t="s">
        <v>853</v>
      </c>
      <c r="B59" s="3158" t="s">
        <v>1004</v>
      </c>
      <c r="C59" s="3158">
        <v>21000</v>
      </c>
      <c r="D59" s="3158">
        <v>21550</v>
      </c>
      <c r="E59" s="3158">
        <v>21150</v>
      </c>
      <c r="F59" s="3164">
        <v>5250</v>
      </c>
      <c r="G59" s="3164">
        <v>14630</v>
      </c>
      <c r="I59" s="972"/>
      <c r="O59" s="3167" t="s">
        <v>2873</v>
      </c>
    </row>
    <row r="60" spans="1:18" ht="14.25" customHeight="1">
      <c r="A60" s="3158" t="s">
        <v>853</v>
      </c>
      <c r="B60" s="3158" t="s">
        <v>1011</v>
      </c>
      <c r="C60" s="3158">
        <v>21640</v>
      </c>
      <c r="D60" s="3158">
        <v>21260</v>
      </c>
      <c r="E60" s="3158">
        <v>24040</v>
      </c>
      <c r="F60" s="3164">
        <v>4470</v>
      </c>
      <c r="G60" s="3164">
        <v>14430</v>
      </c>
      <c r="I60" s="972"/>
      <c r="O60" s="3167" t="s">
        <v>2874</v>
      </c>
    </row>
    <row r="61" spans="1:18" ht="14.25" customHeight="1">
      <c r="A61" s="3158" t="s">
        <v>853</v>
      </c>
      <c r="B61" s="3158" t="s">
        <v>1017</v>
      </c>
      <c r="C61" s="3158">
        <v>21330</v>
      </c>
      <c r="D61" s="3158">
        <v>18640</v>
      </c>
      <c r="E61" s="3158">
        <v>21190</v>
      </c>
      <c r="F61" s="3164">
        <v>4180</v>
      </c>
      <c r="G61" s="3166">
        <v>12650</v>
      </c>
      <c r="I61" s="972"/>
      <c r="O61" s="3167" t="s">
        <v>2875</v>
      </c>
    </row>
    <row r="62" spans="1:18" ht="14.25" customHeight="1">
      <c r="A62" s="3158" t="s">
        <v>853</v>
      </c>
      <c r="B62" s="3158" t="s">
        <v>1024</v>
      </c>
      <c r="C62" s="3158">
        <v>18710</v>
      </c>
      <c r="D62" s="3158">
        <v>19400</v>
      </c>
      <c r="E62" s="3158">
        <v>23750</v>
      </c>
      <c r="F62" s="3164">
        <v>4860</v>
      </c>
      <c r="G62" s="3166">
        <v>13170</v>
      </c>
      <c r="I62" s="972"/>
      <c r="O62" s="3167" t="s">
        <v>2876</v>
      </c>
    </row>
    <row r="63" spans="1:18" ht="14.25" customHeight="1">
      <c r="A63" s="3158" t="s">
        <v>853</v>
      </c>
      <c r="B63" s="3158" t="s">
        <v>1034</v>
      </c>
      <c r="C63" s="3158">
        <v>19480</v>
      </c>
      <c r="D63" s="3158">
        <v>16830</v>
      </c>
      <c r="E63" s="3158">
        <v>21590</v>
      </c>
      <c r="F63" s="3164">
        <v>4560</v>
      </c>
      <c r="G63" s="3166">
        <v>11420</v>
      </c>
      <c r="I63" s="972"/>
      <c r="O63" s="3167" t="s">
        <v>2877</v>
      </c>
    </row>
    <row r="64" spans="1:18" ht="14.25" customHeight="1">
      <c r="A64" s="3158" t="s">
        <v>853</v>
      </c>
      <c r="B64" s="3158" t="s">
        <v>1043</v>
      </c>
      <c r="C64" s="3158">
        <v>16920</v>
      </c>
      <c r="D64" s="3158">
        <v>19190</v>
      </c>
      <c r="E64" s="3158">
        <v>22200</v>
      </c>
      <c r="F64" s="3164">
        <v>4390</v>
      </c>
      <c r="G64" s="3166">
        <v>13030</v>
      </c>
      <c r="I64" s="972"/>
      <c r="O64" s="3167" t="s">
        <v>2878</v>
      </c>
    </row>
    <row r="65" spans="1:21" s="961" customFormat="1" ht="14.25" customHeight="1">
      <c r="A65" s="3158" t="s">
        <v>853</v>
      </c>
      <c r="B65" s="3158" t="s">
        <v>1050</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853</v>
      </c>
      <c r="B66" s="3158" t="s">
        <v>1057</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853</v>
      </c>
      <c r="B67" s="3158" t="s">
        <v>1064</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853</v>
      </c>
      <c r="B68" s="3158" t="s">
        <v>1072</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853</v>
      </c>
      <c r="B69" s="3158" t="s">
        <v>1080</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853</v>
      </c>
      <c r="B70" s="3158" t="s">
        <v>1085</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853</v>
      </c>
      <c r="B71" s="3158" t="s">
        <v>1094</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853</v>
      </c>
      <c r="B72" s="3158" t="s">
        <v>1101</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853</v>
      </c>
      <c r="B73" s="3158" t="s">
        <v>1109</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853</v>
      </c>
      <c r="B74" s="3158" t="s">
        <v>1116</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853</v>
      </c>
      <c r="B75" s="3158" t="s">
        <v>1120</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853</v>
      </c>
      <c r="B76" s="1217" t="s">
        <v>1127</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853</v>
      </c>
      <c r="B77" s="3158" t="s">
        <v>1130</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853</v>
      </c>
      <c r="B78" s="3158" t="s">
        <v>2818</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853</v>
      </c>
      <c r="B79" s="3158" t="s">
        <v>2819</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853</v>
      </c>
      <c r="B80" s="3158" t="s">
        <v>2820</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853</v>
      </c>
      <c r="B81" s="3158" t="s">
        <v>2821</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853</v>
      </c>
      <c r="B82" s="3158" t="s">
        <v>2822</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853</v>
      </c>
      <c r="B83" s="3158" t="s">
        <v>2823</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853</v>
      </c>
      <c r="B84" s="3158" t="s">
        <v>2824</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853</v>
      </c>
      <c r="B85" s="1215" t="s">
        <v>2825</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853</v>
      </c>
      <c r="B86" s="3161" t="s">
        <v>2826</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1152</v>
      </c>
      <c r="B87" s="1217" t="s">
        <v>2827</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1152</v>
      </c>
      <c r="B88" s="3158" t="s">
        <v>976</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1152</v>
      </c>
      <c r="B89" s="3158" t="s">
        <v>986</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1152</v>
      </c>
      <c r="B90" s="3158" t="s">
        <v>995</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1152</v>
      </c>
      <c r="B91" s="3158" t="s">
        <v>1005</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1152</v>
      </c>
      <c r="B92" s="3158" t="s">
        <v>1012</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1152</v>
      </c>
      <c r="B93" s="3158" t="s">
        <v>1018</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1152</v>
      </c>
      <c r="B94" s="3158" t="s">
        <v>1025</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1152</v>
      </c>
      <c r="B95" s="3158" t="s">
        <v>1035</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1152</v>
      </c>
      <c r="B96" s="3158" t="s">
        <v>1044</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1152</v>
      </c>
      <c r="B97" s="3158" t="s">
        <v>1051</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1152</v>
      </c>
      <c r="B98" s="3158" t="s">
        <v>1058</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1152</v>
      </c>
      <c r="B99" s="3158" t="s">
        <v>1065</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1152</v>
      </c>
      <c r="B100" s="3158" t="s">
        <v>1073</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1152</v>
      </c>
      <c r="B101" s="3158" t="s">
        <v>1081</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1152</v>
      </c>
      <c r="B102" s="3158" t="s">
        <v>1086</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1152</v>
      </c>
      <c r="B103" s="3158" t="s">
        <v>1095</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1152</v>
      </c>
      <c r="B104" s="3158" t="s">
        <v>1102</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1152</v>
      </c>
      <c r="B105" s="3158" t="s">
        <v>1110</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1152</v>
      </c>
      <c r="B106" s="3158" t="s">
        <v>1117</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1152</v>
      </c>
      <c r="B107" s="3158" t="s">
        <v>1121</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1152</v>
      </c>
      <c r="B108" s="3158" t="s">
        <v>1128</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1152</v>
      </c>
      <c r="B109" s="3158" t="s">
        <v>1131</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1152</v>
      </c>
      <c r="B110" s="1217" t="s">
        <v>1133</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1152</v>
      </c>
      <c r="B111" s="3158" t="s">
        <v>1136</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1152</v>
      </c>
      <c r="B112" s="3158" t="s">
        <v>1140</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1152</v>
      </c>
      <c r="B113" s="3158" t="s">
        <v>2828</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1152</v>
      </c>
      <c r="B114" s="3158" t="s">
        <v>2829</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1152</v>
      </c>
      <c r="B115" s="3158" t="s">
        <v>2830</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1152</v>
      </c>
      <c r="B116" s="3158" t="s">
        <v>2831</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1152</v>
      </c>
      <c r="B117" s="3158" t="s">
        <v>2832</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1152</v>
      </c>
      <c r="B118" s="3158" t="s">
        <v>2833</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1152</v>
      </c>
      <c r="B119" s="3158" t="s">
        <v>2834</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1152</v>
      </c>
      <c r="B120" s="3158" t="s">
        <v>2835</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1152</v>
      </c>
      <c r="B121" s="3158" t="s">
        <v>2836</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1152</v>
      </c>
      <c r="B122" s="3158" t="s">
        <v>2837</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1152</v>
      </c>
      <c r="B123" s="3158" t="s">
        <v>2838</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1152</v>
      </c>
      <c r="B124" s="3158" t="s">
        <v>2839</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1152</v>
      </c>
      <c r="B125" s="1215" t="s">
        <v>2840</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1152</v>
      </c>
      <c r="B126" s="3161" t="s">
        <v>2841</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1153</v>
      </c>
      <c r="B127" s="1217" t="s">
        <v>2842</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1153</v>
      </c>
      <c r="B128" s="3158" t="s">
        <v>977</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1153</v>
      </c>
      <c r="B129" s="3158" t="s">
        <v>987</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1153</v>
      </c>
      <c r="B130" s="3158" t="s">
        <v>996</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1153</v>
      </c>
      <c r="B131" s="3158" t="s">
        <v>1006</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1153</v>
      </c>
      <c r="B132" s="3158" t="s">
        <v>1013</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1153</v>
      </c>
      <c r="B133" s="3158" t="s">
        <v>1019</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1153</v>
      </c>
      <c r="B134" s="3158" t="s">
        <v>1026</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1153</v>
      </c>
      <c r="B135" s="3158" t="s">
        <v>1036</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1153</v>
      </c>
      <c r="B136" s="3158" t="s">
        <v>1045</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1153</v>
      </c>
      <c r="B137" s="3158" t="s">
        <v>1052</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1153</v>
      </c>
      <c r="B138" s="3158" t="s">
        <v>1059</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1153</v>
      </c>
      <c r="B139" s="3158" t="s">
        <v>1066</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1153</v>
      </c>
      <c r="B140" s="3158" t="s">
        <v>1074</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1153</v>
      </c>
      <c r="B141" s="3158" t="s">
        <v>1082</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1153</v>
      </c>
      <c r="B142" s="3158" t="s">
        <v>1087</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1153</v>
      </c>
      <c r="B143" s="3158" t="s">
        <v>1096</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1153</v>
      </c>
      <c r="B144" s="3158" t="s">
        <v>1103</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1153</v>
      </c>
      <c r="B145" s="3158" t="s">
        <v>1111</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1153</v>
      </c>
      <c r="B146" s="3158" t="s">
        <v>1118</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1153</v>
      </c>
      <c r="B147" s="3158" t="s">
        <v>1122</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1153</v>
      </c>
      <c r="B148" s="3158" t="s">
        <v>2843</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1153</v>
      </c>
      <c r="B149" s="3158" t="s">
        <v>2844</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1153</v>
      </c>
      <c r="B150" s="3158" t="s">
        <v>1141</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1153</v>
      </c>
      <c r="B151" s="3158" t="s">
        <v>1143</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1153</v>
      </c>
      <c r="B152" s="3158" t="s">
        <v>1146</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1153</v>
      </c>
      <c r="B153" s="3158" t="s">
        <v>2845</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1153</v>
      </c>
      <c r="B154" s="3158" t="s">
        <v>2846</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1153</v>
      </c>
      <c r="B155" s="3158" t="s">
        <v>2847</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1153</v>
      </c>
      <c r="B156" s="3158" t="s">
        <v>2848</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1153</v>
      </c>
      <c r="B157" s="3158" t="s">
        <v>1149</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1153</v>
      </c>
      <c r="B158" s="1217" t="s">
        <v>1150</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1153</v>
      </c>
      <c r="B159" s="3158" t="s">
        <v>1151</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1153</v>
      </c>
      <c r="B160" s="3158" t="s">
        <v>2849</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1153</v>
      </c>
      <c r="B161" s="3158" t="s">
        <v>2850</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1153</v>
      </c>
      <c r="B162" s="3158" t="s">
        <v>2851</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1153</v>
      </c>
      <c r="B163" s="3158" t="s">
        <v>2852</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1153</v>
      </c>
      <c r="B164" s="3158" t="s">
        <v>2853</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1153</v>
      </c>
      <c r="B165" s="3158" t="s">
        <v>2854</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1153</v>
      </c>
      <c r="B166" s="3158" t="s">
        <v>2855</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1153</v>
      </c>
      <c r="B167" s="3158" t="s">
        <v>2856</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1153</v>
      </c>
      <c r="B168" s="3158" t="s">
        <v>2857</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1153</v>
      </c>
      <c r="B169" s="3158" t="s">
        <v>2858</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1153</v>
      </c>
      <c r="B170" s="3158" t="s">
        <v>2859</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1153</v>
      </c>
      <c r="B171" s="3158" t="s">
        <v>2860</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1153</v>
      </c>
      <c r="B172" s="3158" t="s">
        <v>2861</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1153</v>
      </c>
      <c r="B173" s="3158" t="s">
        <v>2862</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1153</v>
      </c>
      <c r="B174" s="3158" t="s">
        <v>2863</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1153</v>
      </c>
      <c r="B175" s="3158" t="s">
        <v>2864</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1153</v>
      </c>
      <c r="B176" s="3158" t="s">
        <v>2865</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1153</v>
      </c>
      <c r="B177" s="3158" t="s">
        <v>2866</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1153</v>
      </c>
      <c r="B178" s="3158" t="s">
        <v>2867</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1153</v>
      </c>
      <c r="B179" s="3158" t="s">
        <v>2868</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1153</v>
      </c>
      <c r="B180" s="3158" t="s">
        <v>2869</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1153</v>
      </c>
      <c r="B181" s="3158" t="s">
        <v>2870</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1153</v>
      </c>
      <c r="B182" s="3158" t="s">
        <v>2871</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1153</v>
      </c>
      <c r="B183" s="3158" t="s">
        <v>2872</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1153</v>
      </c>
      <c r="B184" s="3158" t="s">
        <v>2873</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1153</v>
      </c>
      <c r="B185" s="3158" t="s">
        <v>2874</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1153</v>
      </c>
      <c r="B186" s="3158" t="s">
        <v>2875</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1153</v>
      </c>
      <c r="B187" s="3158" t="s">
        <v>2876</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1153</v>
      </c>
      <c r="B188" s="3158" t="s">
        <v>2877</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1153</v>
      </c>
      <c r="B189" s="3161" t="s">
        <v>2878</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1154</v>
      </c>
      <c r="B190" s="1217" t="s">
        <v>2879</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1154</v>
      </c>
      <c r="B191" s="3158" t="s">
        <v>978</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1154</v>
      </c>
      <c r="B192" s="3158" t="s">
        <v>988</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1154</v>
      </c>
      <c r="B193" s="3158" t="s">
        <v>997</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1154</v>
      </c>
      <c r="B194" s="3158" t="s">
        <v>1007</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1154</v>
      </c>
      <c r="B195" s="3158" t="s">
        <v>1014</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1154</v>
      </c>
      <c r="B196" s="3158" t="s">
        <v>1020</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1154</v>
      </c>
      <c r="B197" s="3158" t="s">
        <v>1027</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1154</v>
      </c>
      <c r="B198" s="3158" t="s">
        <v>1037</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1154</v>
      </c>
      <c r="B199" s="3158" t="s">
        <v>2880</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1154</v>
      </c>
      <c r="B200" s="3158" t="s">
        <v>2881</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1154</v>
      </c>
      <c r="B201" s="3158" t="s">
        <v>2882</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1154</v>
      </c>
      <c r="B202" s="3158" t="s">
        <v>1088</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1154</v>
      </c>
      <c r="B203" s="3158" t="s">
        <v>2883</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1154</v>
      </c>
      <c r="B204" s="3158" t="s">
        <v>2884</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1154</v>
      </c>
      <c r="B205" s="3158" t="s">
        <v>2885</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1154</v>
      </c>
      <c r="B206" s="1217" t="s">
        <v>2886</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1154</v>
      </c>
      <c r="B207" s="3158" t="s">
        <v>2887</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1154</v>
      </c>
      <c r="B208" s="3158" t="s">
        <v>2888</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1154</v>
      </c>
      <c r="B209" s="3158" t="s">
        <v>1112</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1154</v>
      </c>
      <c r="B210" s="3158" t="s">
        <v>2889</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1154</v>
      </c>
      <c r="B211" s="3158" t="s">
        <v>2890</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1154</v>
      </c>
      <c r="B212" s="3158" t="s">
        <v>1134</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1154</v>
      </c>
      <c r="B213" s="3158" t="s">
        <v>1137</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1154</v>
      </c>
      <c r="B214" s="3158" t="s">
        <v>2891</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1154</v>
      </c>
      <c r="B215" s="3158" t="s">
        <v>1123</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1154</v>
      </c>
      <c r="B216" s="3158" t="s">
        <v>2892</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1154</v>
      </c>
      <c r="B217" s="3158" t="s">
        <v>2893</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1154</v>
      </c>
      <c r="B218" s="3158" t="s">
        <v>2894</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1154</v>
      </c>
      <c r="B219" s="3158" t="s">
        <v>2895</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1154</v>
      </c>
      <c r="B220" s="3158" t="s">
        <v>2896</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1154</v>
      </c>
      <c r="B221" s="3158" t="s">
        <v>2897</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1154</v>
      </c>
      <c r="B222" s="3158" t="s">
        <v>2898</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1154</v>
      </c>
      <c r="B223" s="3158" t="s">
        <v>2899</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1154</v>
      </c>
      <c r="B224" s="3158" t="s">
        <v>2900</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1154</v>
      </c>
      <c r="B225" s="3158" t="s">
        <v>2901</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1154</v>
      </c>
      <c r="B226" s="3158" t="s">
        <v>2902</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1154</v>
      </c>
      <c r="B227" s="3158" t="s">
        <v>2903</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1154</v>
      </c>
      <c r="B228" s="3158" t="s">
        <v>2904</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1154</v>
      </c>
      <c r="B229" s="3158" t="s">
        <v>2905</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1154</v>
      </c>
      <c r="B230" s="3158" t="s">
        <v>2906</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1154</v>
      </c>
      <c r="B231" s="3158" t="s">
        <v>2907</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1154</v>
      </c>
      <c r="B232" s="3158" t="s">
        <v>2908</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1154</v>
      </c>
      <c r="B233" s="3161" t="s">
        <v>2909</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1155</v>
      </c>
      <c r="B234" s="1217" t="s">
        <v>2910</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1155</v>
      </c>
      <c r="B235" s="3158" t="s">
        <v>979</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1155</v>
      </c>
      <c r="B236" s="3158" t="s">
        <v>989</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1155</v>
      </c>
      <c r="B237" s="3158" t="s">
        <v>998</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1155</v>
      </c>
      <c r="B238" s="3158" t="s">
        <v>2911</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1155</v>
      </c>
      <c r="B239" s="3158" t="s">
        <v>2912</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1155</v>
      </c>
      <c r="B240" s="3158" t="s">
        <v>2913</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1155</v>
      </c>
      <c r="B241" s="3158" t="s">
        <v>2914</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1155</v>
      </c>
      <c r="B242" s="3158" t="s">
        <v>1028</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1155</v>
      </c>
      <c r="B243" s="3158" t="s">
        <v>1038</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1155</v>
      </c>
      <c r="B244" s="3158" t="s">
        <v>2915</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1155</v>
      </c>
      <c r="B245" s="1217" t="s">
        <v>1053</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1155</v>
      </c>
      <c r="B246" s="3158" t="s">
        <v>1060</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1155</v>
      </c>
      <c r="B247" s="3158" t="s">
        <v>2916</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1155</v>
      </c>
      <c r="B248" s="3158" t="s">
        <v>1075</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1155</v>
      </c>
      <c r="B249" s="3158" t="s">
        <v>2917</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1155</v>
      </c>
      <c r="B250" s="3158" t="s">
        <v>1089</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1155</v>
      </c>
      <c r="B251" s="3158" t="s">
        <v>1097</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1155</v>
      </c>
      <c r="B252" s="3158" t="s">
        <v>2918</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1155</v>
      </c>
      <c r="B253" s="3158" t="s">
        <v>1132</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1155</v>
      </c>
      <c r="B254" s="3158" t="s">
        <v>1135</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1155</v>
      </c>
      <c r="B255" s="3158" t="s">
        <v>1138</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1155</v>
      </c>
      <c r="B256" s="3158" t="s">
        <v>2919</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1155</v>
      </c>
      <c r="B257" s="3158" t="s">
        <v>1124</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1155</v>
      </c>
      <c r="B258" s="3158" t="s">
        <v>2920</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1155</v>
      </c>
      <c r="B259" s="3158" t="s">
        <v>2921</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1155</v>
      </c>
      <c r="B260" s="3158" t="s">
        <v>2922</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1155</v>
      </c>
      <c r="B261" s="3158" t="s">
        <v>2923</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1155</v>
      </c>
      <c r="B262" s="3158" t="s">
        <v>2924</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1155</v>
      </c>
      <c r="B263" s="3158" t="s">
        <v>2925</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1155</v>
      </c>
      <c r="B264" s="3158" t="s">
        <v>1148</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1155</v>
      </c>
      <c r="B265" s="3158" t="s">
        <v>2926</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1155</v>
      </c>
      <c r="B266" s="3158" t="s">
        <v>2927</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1155</v>
      </c>
      <c r="B267" s="3158" t="s">
        <v>2928</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1155</v>
      </c>
      <c r="B268" s="3158" t="s">
        <v>2929</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1155</v>
      </c>
      <c r="B269" s="3158" t="s">
        <v>2930</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1155</v>
      </c>
      <c r="B270" s="3158" t="s">
        <v>2931</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1155</v>
      </c>
      <c r="B271" s="3158" t="s">
        <v>2932</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1155</v>
      </c>
      <c r="B272" s="3158" t="s">
        <v>2933</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1155</v>
      </c>
      <c r="B273" s="3158" t="s">
        <v>2934</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1155</v>
      </c>
      <c r="B274" s="3158" t="s">
        <v>2935</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1155</v>
      </c>
      <c r="B275" s="3158" t="s">
        <v>2936</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1155</v>
      </c>
      <c r="B276" s="3161" t="s">
        <v>2937</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1156</v>
      </c>
      <c r="B277" s="1217" t="s">
        <v>2938</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1156</v>
      </c>
      <c r="B278" s="3158" t="s">
        <v>980</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1156</v>
      </c>
      <c r="B279" s="3158" t="s">
        <v>2939</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1156</v>
      </c>
      <c r="B280" s="3158" t="s">
        <v>2940</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1156</v>
      </c>
      <c r="B281" s="3158" t="s">
        <v>2941</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1156</v>
      </c>
      <c r="B282" s="3158" t="s">
        <v>2942</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1156</v>
      </c>
      <c r="B283" s="3158" t="s">
        <v>1021</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1156</v>
      </c>
      <c r="B284" s="3158" t="s">
        <v>1029</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1156</v>
      </c>
      <c r="B285" s="3158" t="s">
        <v>1039</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1156</v>
      </c>
      <c r="B286" s="3158" t="s">
        <v>1046</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1156</v>
      </c>
      <c r="B287" s="3158" t="s">
        <v>2943</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1156</v>
      </c>
      <c r="B288" s="3158" t="s">
        <v>1067</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1156</v>
      </c>
      <c r="B289" s="3158" t="s">
        <v>2944</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1156</v>
      </c>
      <c r="B290" s="1217" t="s">
        <v>1090</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1156</v>
      </c>
      <c r="B291" s="3158" t="s">
        <v>1098</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1156</v>
      </c>
      <c r="B292" s="3158" t="s">
        <v>1104</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1156</v>
      </c>
      <c r="B293" s="3158" t="s">
        <v>2945</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1156</v>
      </c>
      <c r="B294" s="3158" t="s">
        <v>2946</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1156</v>
      </c>
      <c r="B295" s="3158" t="s">
        <v>1139</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1156</v>
      </c>
      <c r="B296" s="3158" t="s">
        <v>1142</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1156</v>
      </c>
      <c r="B297" s="3158" t="s">
        <v>1144</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1156</v>
      </c>
      <c r="B298" s="3158" t="s">
        <v>1147</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1156</v>
      </c>
      <c r="B299" s="3158" t="s">
        <v>2947</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1156</v>
      </c>
      <c r="B300" s="3158" t="s">
        <v>1119</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1156</v>
      </c>
      <c r="B301" s="3158" t="s">
        <v>1125</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1156</v>
      </c>
      <c r="B302" s="3158" t="s">
        <v>2948</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1156</v>
      </c>
      <c r="B303" s="3158" t="s">
        <v>2949</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1156</v>
      </c>
      <c r="B304" s="3158" t="s">
        <v>2950</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1156</v>
      </c>
      <c r="B305" s="3158" t="s">
        <v>2951</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1156</v>
      </c>
      <c r="B306" s="3158" t="s">
        <v>2952</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1156</v>
      </c>
      <c r="B307" s="3158" t="s">
        <v>2953</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1156</v>
      </c>
      <c r="B308" s="3158" t="s">
        <v>2954</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1156</v>
      </c>
      <c r="B309" s="3158" t="s">
        <v>2955</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1156</v>
      </c>
      <c r="B310" s="3158" t="s">
        <v>2956</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1156</v>
      </c>
      <c r="B311" s="3158" t="s">
        <v>2957</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1156</v>
      </c>
      <c r="B312" s="3158" t="s">
        <v>2958</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1156</v>
      </c>
      <c r="B313" s="3158" t="s">
        <v>2959</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1156</v>
      </c>
      <c r="B314" s="3158" t="s">
        <v>2960</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1156</v>
      </c>
      <c r="B315" s="3158" t="s">
        <v>2961</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1156</v>
      </c>
      <c r="B316" s="3158" t="s">
        <v>2962</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1156</v>
      </c>
      <c r="B317" s="1217" t="s">
        <v>2963</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1156</v>
      </c>
      <c r="B318" s="3158" t="s">
        <v>2964</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1156</v>
      </c>
      <c r="B319" s="3158" t="s">
        <v>2965</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1156</v>
      </c>
      <c r="B320" s="3158" t="s">
        <v>2966</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1156</v>
      </c>
      <c r="B321" s="3158" t="s">
        <v>2967</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1156</v>
      </c>
      <c r="B322" s="3158" t="s">
        <v>2968</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1156</v>
      </c>
      <c r="B323" s="3158" t="s">
        <v>2969</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1156</v>
      </c>
      <c r="B324" s="3158" t="s">
        <v>2970</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1156</v>
      </c>
      <c r="B325" s="3158" t="s">
        <v>2971</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1156</v>
      </c>
      <c r="B326" s="3161" t="s">
        <v>2972</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1157</v>
      </c>
      <c r="B327" s="2407" t="s">
        <v>2973</v>
      </c>
      <c r="C327" s="2407">
        <v>3750</v>
      </c>
      <c r="D327" s="2407">
        <v>3710</v>
      </c>
      <c r="E327" s="2407">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1157</v>
      </c>
      <c r="B328" s="3158" t="s">
        <v>981</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1157</v>
      </c>
      <c r="B329" s="3158" t="s">
        <v>2974</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1157</v>
      </c>
      <c r="B330" s="3158" t="s">
        <v>2975</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1157</v>
      </c>
      <c r="B331" s="3158" t="s">
        <v>1008</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1157</v>
      </c>
      <c r="B332" s="3158" t="s">
        <v>2976</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1157</v>
      </c>
      <c r="B333" s="3158" t="s">
        <v>2977</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1157</v>
      </c>
      <c r="B334" s="3158" t="s">
        <v>1030</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1157</v>
      </c>
      <c r="B335" s="3158" t="s">
        <v>1040</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1157</v>
      </c>
      <c r="B336" s="3158" t="s">
        <v>2978</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1157</v>
      </c>
      <c r="B337" s="3158" t="s">
        <v>2979</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1157</v>
      </c>
      <c r="B338" s="3158" t="s">
        <v>1068</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1157</v>
      </c>
      <c r="B339" s="3158" t="s">
        <v>1076</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1157</v>
      </c>
      <c r="B340" s="3158" t="s">
        <v>2980</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1157</v>
      </c>
      <c r="B341" s="3158" t="s">
        <v>1054</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1157</v>
      </c>
      <c r="B342" s="3158" t="s">
        <v>2981</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1157</v>
      </c>
      <c r="B343" s="3158" t="s">
        <v>1105</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1157</v>
      </c>
      <c r="B344" s="3158" t="s">
        <v>1113</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1157</v>
      </c>
      <c r="B345" s="3167" t="s">
        <v>2982</v>
      </c>
      <c r="C345" s="3167">
        <v>3190</v>
      </c>
      <c r="D345" s="3167">
        <v>3140</v>
      </c>
      <c r="E345" s="3167">
        <v>3450</v>
      </c>
      <c r="F345" s="3167">
        <v>720</v>
      </c>
      <c r="G345" s="3167">
        <v>1880</v>
      </c>
      <c r="H345" s="958"/>
    </row>
    <row r="346" spans="1:21">
      <c r="A346" s="3167" t="s">
        <v>1157</v>
      </c>
      <c r="B346" s="3167" t="s">
        <v>2983</v>
      </c>
      <c r="C346" s="3167">
        <v>3630</v>
      </c>
      <c r="D346" s="3167">
        <v>3590</v>
      </c>
      <c r="E346" s="3167">
        <v>3940</v>
      </c>
      <c r="F346" s="3167">
        <v>730</v>
      </c>
      <c r="G346" s="3167">
        <v>2150</v>
      </c>
      <c r="H346" s="958"/>
    </row>
    <row r="347" spans="1:21">
      <c r="A347" s="3167" t="s">
        <v>1157</v>
      </c>
      <c r="B347" s="3167" t="s">
        <v>1091</v>
      </c>
      <c r="C347" s="3167">
        <v>3860</v>
      </c>
      <c r="D347" s="3167">
        <v>3820</v>
      </c>
      <c r="E347" s="3167">
        <v>4220</v>
      </c>
      <c r="F347" s="3167">
        <v>750</v>
      </c>
      <c r="G347" s="3167">
        <v>2280</v>
      </c>
      <c r="H347" s="958"/>
    </row>
    <row r="348" spans="1:21">
      <c r="A348" s="3167" t="s">
        <v>1157</v>
      </c>
      <c r="B348" s="3167" t="s">
        <v>2984</v>
      </c>
      <c r="C348" s="3167">
        <v>4000</v>
      </c>
      <c r="D348" s="3167">
        <v>3950</v>
      </c>
      <c r="E348" s="3167">
        <v>4430</v>
      </c>
      <c r="F348" s="3167">
        <v>760</v>
      </c>
      <c r="G348" s="3167">
        <v>2360</v>
      </c>
      <c r="H348" s="958"/>
    </row>
    <row r="349" spans="1:21">
      <c r="A349" s="3167" t="s">
        <v>1157</v>
      </c>
      <c r="B349" s="3167" t="s">
        <v>2985</v>
      </c>
      <c r="C349" s="3167">
        <v>3820</v>
      </c>
      <c r="D349" s="3167">
        <v>3780</v>
      </c>
      <c r="E349" s="3167">
        <v>4170</v>
      </c>
      <c r="F349" s="3167">
        <v>710</v>
      </c>
      <c r="G349" s="3167">
        <v>2260</v>
      </c>
      <c r="H349" s="958"/>
    </row>
    <row r="350" spans="1:21">
      <c r="A350" s="3167" t="s">
        <v>1157</v>
      </c>
      <c r="B350" s="3167" t="s">
        <v>2986</v>
      </c>
      <c r="C350" s="3167">
        <v>3760</v>
      </c>
      <c r="D350" s="3167">
        <v>3730</v>
      </c>
      <c r="E350" s="3167">
        <v>4100</v>
      </c>
      <c r="F350" s="3167">
        <v>800</v>
      </c>
      <c r="G350" s="3167">
        <v>2230</v>
      </c>
      <c r="H350" s="958"/>
    </row>
    <row r="351" spans="1:21">
      <c r="A351" s="3167" t="s">
        <v>1157</v>
      </c>
      <c r="B351" s="3167" t="s">
        <v>2987</v>
      </c>
      <c r="C351" s="3167">
        <v>3610</v>
      </c>
      <c r="D351" s="3167">
        <v>3580</v>
      </c>
      <c r="E351" s="3167">
        <v>3930</v>
      </c>
      <c r="F351" s="3167">
        <v>700</v>
      </c>
      <c r="G351" s="3167">
        <v>2140</v>
      </c>
      <c r="H351" s="958"/>
    </row>
    <row r="352" spans="1:21">
      <c r="A352" s="3167" t="s">
        <v>1157</v>
      </c>
      <c r="B352" s="3167" t="s">
        <v>2988</v>
      </c>
      <c r="C352" s="3167">
        <v>3670</v>
      </c>
      <c r="D352" s="3167">
        <v>3630</v>
      </c>
      <c r="E352" s="3167">
        <v>4000</v>
      </c>
      <c r="F352" s="3167">
        <v>750</v>
      </c>
      <c r="G352" s="3167">
        <v>2180</v>
      </c>
      <c r="H352" s="958"/>
    </row>
    <row r="353" spans="1:8">
      <c r="A353" s="3167" t="s">
        <v>1157</v>
      </c>
      <c r="B353" s="3167" t="s">
        <v>2989</v>
      </c>
      <c r="C353" s="3167">
        <v>3190</v>
      </c>
      <c r="D353" s="3167">
        <v>3150</v>
      </c>
      <c r="E353" s="3167">
        <v>3640</v>
      </c>
      <c r="F353" s="3167">
        <v>630</v>
      </c>
      <c r="G353" s="3167">
        <v>1890</v>
      </c>
      <c r="H353" s="958"/>
    </row>
    <row r="354" spans="1:8">
      <c r="A354" s="3167" t="s">
        <v>1157</v>
      </c>
      <c r="B354" s="3167" t="s">
        <v>1129</v>
      </c>
      <c r="C354" s="3167">
        <v>3450</v>
      </c>
      <c r="D354" s="3167">
        <v>3420</v>
      </c>
      <c r="E354" s="3167">
        <v>3960</v>
      </c>
      <c r="F354" s="3167">
        <v>660</v>
      </c>
      <c r="G354" s="3167">
        <v>2050</v>
      </c>
      <c r="H354" s="958"/>
    </row>
    <row r="355" spans="1:8">
      <c r="A355" s="3167" t="s">
        <v>1157</v>
      </c>
      <c r="B355" s="3167" t="s">
        <v>2990</v>
      </c>
      <c r="C355" s="3167">
        <v>3650</v>
      </c>
      <c r="D355" s="3167">
        <v>3610</v>
      </c>
      <c r="E355" s="3167">
        <v>4200</v>
      </c>
      <c r="F355" s="3167">
        <v>640</v>
      </c>
      <c r="G355" s="3167">
        <v>2160</v>
      </c>
      <c r="H355" s="958"/>
    </row>
    <row r="356" spans="1:8">
      <c r="A356" s="3167" t="s">
        <v>1157</v>
      </c>
      <c r="B356" s="3167" t="s">
        <v>2991</v>
      </c>
      <c r="C356" s="3167">
        <v>3260</v>
      </c>
      <c r="D356" s="3167">
        <v>3230</v>
      </c>
      <c r="E356" s="3167">
        <v>3740</v>
      </c>
      <c r="F356" s="3167">
        <v>600</v>
      </c>
      <c r="G356" s="3167">
        <v>1930</v>
      </c>
      <c r="H356" s="958"/>
    </row>
    <row r="357" spans="1:8" ht="14.25" thickBot="1">
      <c r="A357" s="3182" t="s">
        <v>1157</v>
      </c>
      <c r="B357" s="3182" t="s">
        <v>2992</v>
      </c>
      <c r="C357" s="3182">
        <v>3690</v>
      </c>
      <c r="D357" s="3182">
        <v>3650</v>
      </c>
      <c r="E357" s="3182">
        <v>4020</v>
      </c>
      <c r="F357" s="3182">
        <v>700</v>
      </c>
      <c r="G357" s="3182">
        <v>2190</v>
      </c>
      <c r="H357" s="958"/>
    </row>
    <row r="358" spans="1:8">
      <c r="A358" s="3183" t="s">
        <v>2750</v>
      </c>
      <c r="B358" s="3184" t="s">
        <v>2993</v>
      </c>
      <c r="C358" s="3184">
        <v>2080</v>
      </c>
      <c r="D358" s="3184">
        <v>2040</v>
      </c>
      <c r="E358" s="3184">
        <v>2010</v>
      </c>
      <c r="F358" s="3184">
        <v>530</v>
      </c>
      <c r="G358" s="3185">
        <v>1230</v>
      </c>
      <c r="H358" s="958"/>
    </row>
    <row r="359" spans="1:8">
      <c r="A359" s="3186" t="s">
        <v>2750</v>
      </c>
      <c r="B359" s="3167" t="s">
        <v>2994</v>
      </c>
      <c r="C359" s="3167">
        <v>1850</v>
      </c>
      <c r="D359" s="3167">
        <v>1820</v>
      </c>
      <c r="E359" s="3167">
        <v>1780</v>
      </c>
      <c r="F359" s="3167">
        <v>520</v>
      </c>
      <c r="G359" s="3179">
        <v>1100</v>
      </c>
      <c r="H359" s="958"/>
    </row>
    <row r="360" spans="1:8">
      <c r="A360" s="3186" t="s">
        <v>2750</v>
      </c>
      <c r="B360" s="3167" t="s">
        <v>2995</v>
      </c>
      <c r="C360" s="3167">
        <v>2020</v>
      </c>
      <c r="D360" s="3167">
        <v>1990</v>
      </c>
      <c r="E360" s="3167">
        <v>1950</v>
      </c>
      <c r="F360" s="3167">
        <v>500</v>
      </c>
      <c r="G360" s="3179">
        <v>1200</v>
      </c>
      <c r="H360" s="958"/>
    </row>
    <row r="361" spans="1:8">
      <c r="A361" s="3186" t="s">
        <v>2750</v>
      </c>
      <c r="B361" s="3167" t="s">
        <v>999</v>
      </c>
      <c r="C361" s="3167">
        <v>2260</v>
      </c>
      <c r="D361" s="3167">
        <v>2220</v>
      </c>
      <c r="E361" s="3167">
        <v>2180</v>
      </c>
      <c r="F361" s="3167">
        <v>580</v>
      </c>
      <c r="G361" s="3179">
        <v>1340</v>
      </c>
      <c r="H361" s="958"/>
    </row>
    <row r="362" spans="1:8">
      <c r="A362" s="3186" t="s">
        <v>2750</v>
      </c>
      <c r="B362" s="3167" t="s">
        <v>2996</v>
      </c>
      <c r="C362" s="3167">
        <v>2650</v>
      </c>
      <c r="D362" s="3167">
        <v>2610</v>
      </c>
      <c r="E362" s="3167">
        <v>2570</v>
      </c>
      <c r="F362" s="3167">
        <v>630</v>
      </c>
      <c r="G362" s="3179">
        <v>1570</v>
      </c>
      <c r="H362" s="958"/>
    </row>
    <row r="363" spans="1:8">
      <c r="A363" s="3186" t="s">
        <v>2750</v>
      </c>
      <c r="B363" s="3167" t="s">
        <v>2997</v>
      </c>
      <c r="C363" s="3167">
        <v>2390</v>
      </c>
      <c r="D363" s="3167">
        <v>2360</v>
      </c>
      <c r="E363" s="3167">
        <v>2320</v>
      </c>
      <c r="F363" s="3167">
        <v>600</v>
      </c>
      <c r="G363" s="3179">
        <v>1420</v>
      </c>
      <c r="H363" s="958"/>
    </row>
    <row r="364" spans="1:8">
      <c r="A364" s="3186" t="s">
        <v>2750</v>
      </c>
      <c r="B364" s="3167" t="s">
        <v>2998</v>
      </c>
      <c r="C364" s="3167">
        <v>2050</v>
      </c>
      <c r="D364" s="3167">
        <v>2030</v>
      </c>
      <c r="E364" s="3167">
        <v>1990</v>
      </c>
      <c r="F364" s="3167">
        <v>550</v>
      </c>
      <c r="G364" s="3179">
        <v>1220</v>
      </c>
      <c r="H364" s="958"/>
    </row>
    <row r="365" spans="1:8">
      <c r="A365" s="3186" t="s">
        <v>2750</v>
      </c>
      <c r="B365" s="3167" t="s">
        <v>1047</v>
      </c>
      <c r="C365" s="3167">
        <v>2140</v>
      </c>
      <c r="D365" s="3167">
        <v>2100</v>
      </c>
      <c r="E365" s="3167">
        <v>2060</v>
      </c>
      <c r="F365" s="3167">
        <v>540</v>
      </c>
      <c r="G365" s="3179">
        <v>1270</v>
      </c>
      <c r="H365" s="958"/>
    </row>
    <row r="366" spans="1:8">
      <c r="A366" s="3186" t="s">
        <v>2750</v>
      </c>
      <c r="B366" s="3167" t="s">
        <v>2999</v>
      </c>
      <c r="C366" s="3167">
        <v>2410</v>
      </c>
      <c r="D366" s="3167">
        <v>2370</v>
      </c>
      <c r="E366" s="3167">
        <v>2330</v>
      </c>
      <c r="F366" s="3167">
        <v>570</v>
      </c>
      <c r="G366" s="3179">
        <v>1440</v>
      </c>
      <c r="H366" s="958"/>
    </row>
    <row r="367" spans="1:8">
      <c r="A367" s="3186" t="s">
        <v>2750</v>
      </c>
      <c r="B367" s="3167" t="s">
        <v>3000</v>
      </c>
      <c r="C367" s="3167">
        <v>2300</v>
      </c>
      <c r="D367" s="3167">
        <v>2260</v>
      </c>
      <c r="E367" s="3167">
        <v>2220</v>
      </c>
      <c r="F367" s="3167">
        <v>560</v>
      </c>
      <c r="G367" s="3179">
        <v>1370</v>
      </c>
      <c r="H367" s="958"/>
    </row>
    <row r="368" spans="1:8">
      <c r="A368" s="3186" t="s">
        <v>2750</v>
      </c>
      <c r="B368" s="3167" t="s">
        <v>3001</v>
      </c>
      <c r="C368" s="3167">
        <v>2430</v>
      </c>
      <c r="D368" s="3167">
        <v>2390</v>
      </c>
      <c r="E368" s="3167">
        <v>2350</v>
      </c>
      <c r="F368" s="3167">
        <v>570</v>
      </c>
      <c r="G368" s="3179">
        <v>1450</v>
      </c>
      <c r="H368" s="958"/>
    </row>
    <row r="369" spans="1:8">
      <c r="A369" s="3186" t="s">
        <v>2750</v>
      </c>
      <c r="B369" s="3167" t="s">
        <v>1061</v>
      </c>
      <c r="C369" s="3167">
        <v>2320</v>
      </c>
      <c r="D369" s="3167">
        <v>2290</v>
      </c>
      <c r="E369" s="3167">
        <v>2250</v>
      </c>
      <c r="F369" s="3167">
        <v>550</v>
      </c>
      <c r="G369" s="3179">
        <v>1380</v>
      </c>
      <c r="H369" s="958"/>
    </row>
    <row r="370" spans="1:8">
      <c r="A370" s="3186" t="s">
        <v>2750</v>
      </c>
      <c r="B370" s="3167" t="s">
        <v>1069</v>
      </c>
      <c r="C370" s="3167">
        <v>2190</v>
      </c>
      <c r="D370" s="3167">
        <v>2170</v>
      </c>
      <c r="E370" s="3167">
        <v>2130</v>
      </c>
      <c r="F370" s="3167">
        <v>530</v>
      </c>
      <c r="G370" s="3179">
        <v>1310</v>
      </c>
      <c r="H370" s="958"/>
    </row>
    <row r="371" spans="1:8">
      <c r="A371" s="3186" t="s">
        <v>2750</v>
      </c>
      <c r="B371" s="3167" t="s">
        <v>1077</v>
      </c>
      <c r="C371" s="3167">
        <v>2460</v>
      </c>
      <c r="D371" s="3167">
        <v>2420</v>
      </c>
      <c r="E371" s="3167">
        <v>2370</v>
      </c>
      <c r="F371" s="3167">
        <v>560</v>
      </c>
      <c r="G371" s="3179">
        <v>1470</v>
      </c>
      <c r="H371" s="958"/>
    </row>
    <row r="372" spans="1:8">
      <c r="A372" s="3186" t="s">
        <v>2750</v>
      </c>
      <c r="B372" s="3167" t="s">
        <v>3002</v>
      </c>
      <c r="C372" s="3167">
        <v>2250</v>
      </c>
      <c r="D372" s="3167">
        <v>2210</v>
      </c>
      <c r="E372" s="3167">
        <v>2180</v>
      </c>
      <c r="F372" s="3167">
        <v>550</v>
      </c>
      <c r="G372" s="3179">
        <v>1340</v>
      </c>
      <c r="H372" s="958"/>
    </row>
    <row r="373" spans="1:8">
      <c r="A373" s="3186" t="s">
        <v>2750</v>
      </c>
      <c r="B373" s="3167" t="s">
        <v>1106</v>
      </c>
      <c r="C373" s="3167">
        <v>2210</v>
      </c>
      <c r="D373" s="3167">
        <v>2190</v>
      </c>
      <c r="E373" s="3167">
        <v>2150</v>
      </c>
      <c r="F373" s="3167">
        <v>530</v>
      </c>
      <c r="G373" s="3179">
        <v>1320</v>
      </c>
      <c r="H373" s="958"/>
    </row>
    <row r="374" spans="1:8">
      <c r="A374" s="3186" t="s">
        <v>2750</v>
      </c>
      <c r="B374" s="3167" t="s">
        <v>1114</v>
      </c>
      <c r="C374" s="3167">
        <v>2320</v>
      </c>
      <c r="D374" s="3167">
        <v>2280</v>
      </c>
      <c r="E374" s="3167">
        <v>2230</v>
      </c>
      <c r="F374" s="3167">
        <v>580</v>
      </c>
      <c r="G374" s="3179">
        <v>1380</v>
      </c>
      <c r="H374" s="958"/>
    </row>
    <row r="375" spans="1:8">
      <c r="A375" s="3186" t="s">
        <v>2750</v>
      </c>
      <c r="B375" s="3167" t="s">
        <v>3003</v>
      </c>
      <c r="C375" s="3167">
        <v>2090</v>
      </c>
      <c r="D375" s="3167">
        <v>2050</v>
      </c>
      <c r="E375" s="3167">
        <v>2020</v>
      </c>
      <c r="F375" s="3167">
        <v>520</v>
      </c>
      <c r="G375" s="3179">
        <v>1240</v>
      </c>
      <c r="H375" s="958"/>
    </row>
    <row r="376" spans="1:8">
      <c r="A376" s="3186" t="s">
        <v>2750</v>
      </c>
      <c r="B376" s="3167" t="s">
        <v>1126</v>
      </c>
      <c r="C376" s="3167">
        <v>2010</v>
      </c>
      <c r="D376" s="3167">
        <v>1980</v>
      </c>
      <c r="E376" s="3167">
        <v>1940</v>
      </c>
      <c r="F376" s="3167">
        <v>540</v>
      </c>
      <c r="G376" s="3179">
        <v>1190</v>
      </c>
      <c r="H376" s="958"/>
    </row>
    <row r="377" spans="1:8" ht="14.25" thickBot="1">
      <c r="A377" s="3188" t="s">
        <v>2750</v>
      </c>
      <c r="B377" s="3182" t="s">
        <v>3004</v>
      </c>
      <c r="C377" s="3182">
        <v>1930</v>
      </c>
      <c r="D377" s="3182">
        <v>1890</v>
      </c>
      <c r="E377" s="3182">
        <v>1860</v>
      </c>
      <c r="F377" s="3182">
        <v>530</v>
      </c>
      <c r="G377" s="3189">
        <v>1150</v>
      </c>
      <c r="H377" s="958"/>
    </row>
    <row r="378" spans="1:8">
      <c r="A378" s="3183" t="s">
        <v>2751</v>
      </c>
      <c r="B378" s="3184" t="s">
        <v>3005</v>
      </c>
      <c r="C378" s="3184">
        <v>1520</v>
      </c>
      <c r="D378" s="3184">
        <v>1490</v>
      </c>
      <c r="E378" s="3184">
        <v>1460</v>
      </c>
      <c r="F378" s="3184">
        <v>460</v>
      </c>
      <c r="G378" s="3185">
        <v>940</v>
      </c>
      <c r="H378" s="958"/>
    </row>
    <row r="379" spans="1:8">
      <c r="A379" s="3186" t="s">
        <v>2751</v>
      </c>
      <c r="B379" s="3167" t="s">
        <v>3006</v>
      </c>
      <c r="C379" s="3167">
        <v>1500</v>
      </c>
      <c r="D379" s="3167">
        <v>1470</v>
      </c>
      <c r="E379" s="3167">
        <v>1430</v>
      </c>
      <c r="F379" s="3167">
        <v>460</v>
      </c>
      <c r="G379" s="3179">
        <v>920</v>
      </c>
      <c r="H379" s="958"/>
    </row>
    <row r="380" spans="1:8">
      <c r="A380" s="3186" t="s">
        <v>2751</v>
      </c>
      <c r="B380" s="3167" t="s">
        <v>3007</v>
      </c>
      <c r="C380" s="3167">
        <v>1620</v>
      </c>
      <c r="D380" s="3167">
        <v>1590</v>
      </c>
      <c r="E380" s="3167">
        <v>1560</v>
      </c>
      <c r="F380" s="3167">
        <v>480</v>
      </c>
      <c r="G380" s="3179">
        <v>1000</v>
      </c>
      <c r="H380" s="958"/>
    </row>
    <row r="381" spans="1:8">
      <c r="A381" s="3186" t="s">
        <v>2751</v>
      </c>
      <c r="B381" s="3167" t="s">
        <v>3008</v>
      </c>
      <c r="C381" s="3167">
        <v>1460</v>
      </c>
      <c r="D381" s="3167">
        <v>1430</v>
      </c>
      <c r="E381" s="3167">
        <v>1390</v>
      </c>
      <c r="F381" s="3167">
        <v>450</v>
      </c>
      <c r="G381" s="3179">
        <v>900</v>
      </c>
      <c r="H381" s="958"/>
    </row>
    <row r="382" spans="1:8">
      <c r="A382" s="3186" t="s">
        <v>2751</v>
      </c>
      <c r="B382" s="3167" t="s">
        <v>3009</v>
      </c>
      <c r="C382" s="3167">
        <v>1310</v>
      </c>
      <c r="D382" s="3167">
        <v>1280</v>
      </c>
      <c r="E382" s="3167">
        <v>1250</v>
      </c>
      <c r="F382" s="3167">
        <v>440</v>
      </c>
      <c r="G382" s="3179">
        <v>800</v>
      </c>
      <c r="H382" s="958"/>
    </row>
    <row r="383" spans="1:8">
      <c r="A383" s="3186" t="s">
        <v>2751</v>
      </c>
      <c r="B383" s="3167" t="s">
        <v>3010</v>
      </c>
      <c r="C383" s="3167">
        <v>1260</v>
      </c>
      <c r="D383" s="3167">
        <v>1230</v>
      </c>
      <c r="E383" s="3167">
        <v>1200</v>
      </c>
      <c r="F383" s="3167">
        <v>420</v>
      </c>
      <c r="G383" s="3179">
        <v>770</v>
      </c>
      <c r="H383" s="958"/>
    </row>
    <row r="384" spans="1:8" ht="14.25" thickBot="1">
      <c r="A384" s="3187" t="s">
        <v>2751</v>
      </c>
      <c r="B384" s="3181" t="s">
        <v>3011</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721" t="s">
        <v>3174</v>
      </c>
      <c r="B1" s="3721"/>
      <c r="C1" s="3721"/>
      <c r="D1" s="3721"/>
      <c r="E1" s="3721"/>
      <c r="F1" s="3722"/>
    </row>
    <row r="2" spans="1:6">
      <c r="A2" s="3232" t="s">
        <v>3175</v>
      </c>
      <c r="B2" s="1491"/>
      <c r="C2" s="1491"/>
      <c r="D2" s="1491"/>
      <c r="E2" s="1491"/>
      <c r="F2" s="1491"/>
    </row>
    <row r="3" spans="1:6">
      <c r="A3" s="3232" t="s">
        <v>3176</v>
      </c>
      <c r="B3" s="1491"/>
      <c r="C3" s="1491"/>
      <c r="D3" s="1491"/>
      <c r="E3" s="1491"/>
      <c r="F3" s="3233" t="s">
        <v>3177</v>
      </c>
    </row>
    <row r="4" spans="1:6">
      <c r="A4" s="3234" t="s">
        <v>3172</v>
      </c>
      <c r="B4" s="3234" t="s">
        <v>2726</v>
      </c>
      <c r="C4" s="3234" t="s">
        <v>1212</v>
      </c>
      <c r="D4" s="3234" t="s">
        <v>3173</v>
      </c>
      <c r="E4" s="3234" t="s">
        <v>905</v>
      </c>
      <c r="F4" s="3234" t="s">
        <v>3178</v>
      </c>
    </row>
    <row r="5" spans="1:6">
      <c r="A5" s="3235" t="s">
        <v>2749</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2750</v>
      </c>
      <c r="B16" s="3237">
        <v>2230</v>
      </c>
      <c r="C16" s="3237">
        <v>2200</v>
      </c>
      <c r="D16" s="3237">
        <v>2180</v>
      </c>
      <c r="E16" s="3237">
        <v>570</v>
      </c>
      <c r="F16" s="3237">
        <v>1330</v>
      </c>
    </row>
    <row r="17" spans="1:6">
      <c r="A17" s="3235" t="s">
        <v>2751</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5" t="s">
        <v>2763</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2750</v>
      </c>
      <c r="M2" s="926" t="s">
        <v>2751</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5" t="s">
        <v>2764</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2750</v>
      </c>
      <c r="M94" s="932" t="s">
        <v>2751</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5" t="s">
        <v>2765</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2750</v>
      </c>
      <c r="M186" s="932" t="s">
        <v>2751</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5" t="s">
        <v>2766</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2750</v>
      </c>
      <c r="M278" s="932" t="s">
        <v>2751</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5" t="s">
        <v>2767</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2750</v>
      </c>
      <c r="M370" s="932" t="s">
        <v>2751</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1"/>
  </cols>
  <sheetData>
    <row r="1" spans="1:7">
      <c r="A1" s="3723" t="s">
        <v>3012</v>
      </c>
      <c r="B1" s="3723"/>
    </row>
    <row r="2" spans="1:7" ht="14.25" thickBot="1">
      <c r="A2" s="3198"/>
      <c r="B2" s="3198"/>
    </row>
    <row r="3" spans="1:7" ht="14.25" thickBot="1">
      <c r="A3" s="3198"/>
      <c r="B3" s="3198"/>
      <c r="C3" s="3199" t="s">
        <v>3013</v>
      </c>
      <c r="D3" s="3199" t="s">
        <v>3014</v>
      </c>
      <c r="E3" s="3199" t="s">
        <v>3015</v>
      </c>
      <c r="F3" s="3199" t="s">
        <v>3016</v>
      </c>
      <c r="G3" s="3199" t="s">
        <v>3017</v>
      </c>
    </row>
    <row r="4" spans="1:7" ht="14.25" thickBot="1">
      <c r="A4" s="3200" t="s">
        <v>3018</v>
      </c>
      <c r="B4" s="3201" t="s">
        <v>3019</v>
      </c>
      <c r="C4" s="3199"/>
      <c r="D4" s="3199"/>
      <c r="E4" s="3199"/>
      <c r="F4" s="3199"/>
      <c r="G4" s="3199"/>
    </row>
    <row r="5" spans="1:7">
      <c r="A5" s="3202" t="s">
        <v>3020</v>
      </c>
      <c r="B5" s="3203" t="s">
        <v>3021</v>
      </c>
      <c r="C5" s="3204">
        <v>9.8000000000000004E-2</v>
      </c>
      <c r="D5" s="3204">
        <v>8.6999999999999994E-2</v>
      </c>
      <c r="E5" s="3204">
        <v>8.6999999999999994E-2</v>
      </c>
      <c r="F5" s="3204">
        <v>9.8000000000000004E-2</v>
      </c>
      <c r="G5" s="3205">
        <v>9.5000000000000001E-2</v>
      </c>
    </row>
    <row r="6" spans="1:7">
      <c r="A6" s="3206" t="s">
        <v>990</v>
      </c>
      <c r="B6" s="3207" t="s">
        <v>3022</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3023</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3024</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2810</v>
      </c>
      <c r="C29" s="3216"/>
      <c r="D29" s="3212">
        <v>5.1999999999999998E-2</v>
      </c>
      <c r="E29" s="3212">
        <v>7.0000000000000007E-2</v>
      </c>
      <c r="F29" s="3216"/>
      <c r="G29" s="3214">
        <v>7.0999999999999994E-2</v>
      </c>
    </row>
    <row r="30" spans="1:7">
      <c r="A30" s="3217" t="s">
        <v>1145</v>
      </c>
      <c r="B30" s="3203" t="s">
        <v>3025</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3026</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2812</v>
      </c>
      <c r="C50" s="3208">
        <v>9.8000000000000004E-2</v>
      </c>
      <c r="D50" s="3208">
        <v>7.2999999999999995E-2</v>
      </c>
      <c r="E50" s="3208">
        <v>7.0999999999999994E-2</v>
      </c>
      <c r="F50" s="3219"/>
      <c r="G50" s="3209">
        <v>7.2999999999999995E-2</v>
      </c>
    </row>
    <row r="51" spans="1:7">
      <c r="A51" s="3218" t="s">
        <v>1145</v>
      </c>
      <c r="B51" s="3207" t="s">
        <v>2813</v>
      </c>
      <c r="C51" s="3208">
        <v>9.9000000000000005E-2</v>
      </c>
      <c r="D51" s="3208">
        <v>8.5000000000000006E-2</v>
      </c>
      <c r="E51" s="3208">
        <v>6.3E-2</v>
      </c>
      <c r="F51" s="3219"/>
      <c r="G51" s="3209">
        <v>9.6000000000000002E-2</v>
      </c>
    </row>
    <row r="52" spans="1:7">
      <c r="A52" s="3218" t="s">
        <v>1145</v>
      </c>
      <c r="B52" s="3207" t="s">
        <v>2814</v>
      </c>
      <c r="C52" s="3208">
        <v>7.3999999999999996E-2</v>
      </c>
      <c r="D52" s="3208">
        <v>9.6000000000000002E-2</v>
      </c>
      <c r="E52" s="3208">
        <v>0.05</v>
      </c>
      <c r="F52" s="3219"/>
      <c r="G52" s="3209">
        <v>9.8000000000000004E-2</v>
      </c>
    </row>
    <row r="53" spans="1:7">
      <c r="A53" s="3218" t="s">
        <v>1145</v>
      </c>
      <c r="B53" s="3207" t="s">
        <v>2815</v>
      </c>
      <c r="C53" s="3208">
        <v>8.5999999999999993E-2</v>
      </c>
      <c r="D53" s="3219"/>
      <c r="E53" s="3208">
        <v>9.1999999999999998E-2</v>
      </c>
      <c r="F53" s="3219"/>
      <c r="G53" s="3220"/>
    </row>
    <row r="54" spans="1:7" ht="14.25" thickBot="1">
      <c r="A54" s="3221" t="s">
        <v>1145</v>
      </c>
      <c r="B54" s="3211" t="s">
        <v>2816</v>
      </c>
      <c r="C54" s="3212">
        <v>9.6000000000000002E-2</v>
      </c>
      <c r="D54" s="3213"/>
      <c r="E54" s="3222"/>
      <c r="F54" s="3213"/>
      <c r="G54" s="3223"/>
    </row>
    <row r="55" spans="1:7">
      <c r="A55" s="3217" t="s">
        <v>853</v>
      </c>
      <c r="B55" s="3203" t="s">
        <v>3027</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2818</v>
      </c>
      <c r="C78" s="3208">
        <v>0.1</v>
      </c>
      <c r="D78" s="3208">
        <v>8.5000000000000006E-2</v>
      </c>
      <c r="E78" s="3208">
        <v>9.6000000000000002E-2</v>
      </c>
      <c r="F78" s="3219"/>
      <c r="G78" s="3209">
        <v>9.6000000000000002E-2</v>
      </c>
    </row>
    <row r="79" spans="1:7">
      <c r="A79" s="3218" t="s">
        <v>853</v>
      </c>
      <c r="B79" s="3207" t="s">
        <v>2819</v>
      </c>
      <c r="C79" s="3208">
        <v>0.05</v>
      </c>
      <c r="D79" s="3208">
        <v>9.6000000000000002E-2</v>
      </c>
      <c r="E79" s="3208">
        <v>9.5000000000000001E-2</v>
      </c>
      <c r="F79" s="3219"/>
      <c r="G79" s="3209">
        <v>9.8000000000000004E-2</v>
      </c>
    </row>
    <row r="80" spans="1:7">
      <c r="A80" s="3218" t="s">
        <v>853</v>
      </c>
      <c r="B80" s="3207" t="s">
        <v>2820</v>
      </c>
      <c r="C80" s="3208">
        <v>8.5999999999999993E-2</v>
      </c>
      <c r="D80" s="3224"/>
      <c r="E80" s="3208">
        <v>0.1</v>
      </c>
      <c r="F80" s="3219"/>
      <c r="G80" s="3220"/>
    </row>
    <row r="81" spans="1:7">
      <c r="A81" s="3218" t="s">
        <v>853</v>
      </c>
      <c r="B81" s="3207" t="s">
        <v>2821</v>
      </c>
      <c r="C81" s="3208">
        <v>9.6000000000000002E-2</v>
      </c>
      <c r="D81" s="3219"/>
      <c r="E81" s="3208">
        <v>9.8000000000000004E-2</v>
      </c>
      <c r="F81" s="3219"/>
      <c r="G81" s="3220"/>
    </row>
    <row r="82" spans="1:7">
      <c r="A82" s="3218" t="s">
        <v>853</v>
      </c>
      <c r="B82" s="3207" t="s">
        <v>2822</v>
      </c>
      <c r="C82" s="3224"/>
      <c r="D82" s="3219"/>
      <c r="E82" s="3208">
        <v>7.6999999999999999E-2</v>
      </c>
      <c r="F82" s="3219"/>
      <c r="G82" s="3220"/>
    </row>
    <row r="83" spans="1:7">
      <c r="A83" s="3218" t="s">
        <v>853</v>
      </c>
      <c r="B83" s="3207" t="s">
        <v>3028</v>
      </c>
      <c r="C83" s="3219"/>
      <c r="D83" s="3219"/>
      <c r="E83" s="3219"/>
      <c r="F83" s="3208">
        <v>0.1</v>
      </c>
      <c r="G83" s="3225"/>
    </row>
    <row r="84" spans="1:7">
      <c r="A84" s="3218" t="s">
        <v>853</v>
      </c>
      <c r="B84" s="3207" t="s">
        <v>3029</v>
      </c>
      <c r="C84" s="3219"/>
      <c r="D84" s="3219"/>
      <c r="E84" s="3219"/>
      <c r="F84" s="3208">
        <v>0.1</v>
      </c>
      <c r="G84" s="3225"/>
    </row>
    <row r="85" spans="1:7">
      <c r="A85" s="3218" t="s">
        <v>853</v>
      </c>
      <c r="B85" s="3207" t="s">
        <v>3030</v>
      </c>
      <c r="C85" s="3219"/>
      <c r="D85" s="3219"/>
      <c r="E85" s="3219"/>
      <c r="F85" s="3208">
        <v>0.1</v>
      </c>
      <c r="G85" s="3225"/>
    </row>
    <row r="86" spans="1:7" ht="14.25" thickBot="1">
      <c r="A86" s="3221" t="s">
        <v>853</v>
      </c>
      <c r="B86" s="3211" t="s">
        <v>3031</v>
      </c>
      <c r="C86" s="3212">
        <v>9.8000000000000004E-2</v>
      </c>
      <c r="D86" s="3212">
        <v>9.8000000000000004E-2</v>
      </c>
      <c r="E86" s="3212">
        <v>9.6000000000000002E-2</v>
      </c>
      <c r="F86" s="3222"/>
      <c r="G86" s="3214">
        <v>0.1</v>
      </c>
    </row>
    <row r="87" spans="1:7">
      <c r="A87" s="3217" t="s">
        <v>1152</v>
      </c>
      <c r="B87" s="3203" t="s">
        <v>3032</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2828</v>
      </c>
      <c r="C113" s="3208">
        <v>0.1</v>
      </c>
      <c r="D113" s="3208">
        <v>0.1</v>
      </c>
      <c r="E113" s="3219"/>
      <c r="F113" s="3219"/>
      <c r="G113" s="3209">
        <v>0.1</v>
      </c>
    </row>
    <row r="114" spans="1:7">
      <c r="A114" s="3218" t="s">
        <v>1152</v>
      </c>
      <c r="B114" s="3207" t="s">
        <v>2829</v>
      </c>
      <c r="C114" s="3208">
        <v>9.7000000000000003E-2</v>
      </c>
      <c r="D114" s="3208">
        <v>9.7000000000000003E-2</v>
      </c>
      <c r="E114" s="3219"/>
      <c r="F114" s="3219"/>
      <c r="G114" s="3209">
        <v>9.9000000000000005E-2</v>
      </c>
    </row>
    <row r="115" spans="1:7">
      <c r="A115" s="3218" t="s">
        <v>1152</v>
      </c>
      <c r="B115" s="3207" t="s">
        <v>2830</v>
      </c>
      <c r="C115" s="3208">
        <v>0.1</v>
      </c>
      <c r="D115" s="3208">
        <v>0.1</v>
      </c>
      <c r="E115" s="3219"/>
      <c r="F115" s="3219"/>
      <c r="G115" s="3209">
        <v>0.1</v>
      </c>
    </row>
    <row r="116" spans="1:7">
      <c r="A116" s="3218" t="s">
        <v>1152</v>
      </c>
      <c r="B116" s="3207" t="s">
        <v>2831</v>
      </c>
      <c r="C116" s="3208">
        <v>0.1</v>
      </c>
      <c r="D116" s="3208">
        <v>0.1</v>
      </c>
      <c r="E116" s="3219"/>
      <c r="F116" s="3219"/>
      <c r="G116" s="3209">
        <v>0.1</v>
      </c>
    </row>
    <row r="117" spans="1:7">
      <c r="A117" s="3218" t="s">
        <v>1152</v>
      </c>
      <c r="B117" s="3207" t="s">
        <v>2832</v>
      </c>
      <c r="C117" s="3208">
        <v>9.7000000000000003E-2</v>
      </c>
      <c r="D117" s="3208">
        <v>9.7000000000000003E-2</v>
      </c>
      <c r="E117" s="3219"/>
      <c r="F117" s="3219"/>
      <c r="G117" s="3209">
        <v>9.7000000000000003E-2</v>
      </c>
    </row>
    <row r="118" spans="1:7">
      <c r="A118" s="3218" t="s">
        <v>1152</v>
      </c>
      <c r="B118" s="3207" t="s">
        <v>2833</v>
      </c>
      <c r="C118" s="3208">
        <v>0.1</v>
      </c>
      <c r="D118" s="3208">
        <v>0.1</v>
      </c>
      <c r="E118" s="3219"/>
      <c r="F118" s="3219"/>
      <c r="G118" s="3209">
        <v>0.1</v>
      </c>
    </row>
    <row r="119" spans="1:7">
      <c r="A119" s="3218" t="s">
        <v>1152</v>
      </c>
      <c r="B119" s="3207" t="s">
        <v>2834</v>
      </c>
      <c r="C119" s="3208">
        <v>5.0999999999999997E-2</v>
      </c>
      <c r="D119" s="3208">
        <v>5.1999999999999998E-2</v>
      </c>
      <c r="E119" s="3219"/>
      <c r="F119" s="3224"/>
      <c r="G119" s="3209">
        <v>0.06</v>
      </c>
    </row>
    <row r="120" spans="1:7">
      <c r="A120" s="3218" t="s">
        <v>1152</v>
      </c>
      <c r="B120" s="3207" t="s">
        <v>3033</v>
      </c>
      <c r="C120" s="3219"/>
      <c r="D120" s="3219"/>
      <c r="E120" s="3219"/>
      <c r="F120" s="3208">
        <v>0.1</v>
      </c>
      <c r="G120" s="3225"/>
    </row>
    <row r="121" spans="1:7">
      <c r="A121" s="3218" t="s">
        <v>1152</v>
      </c>
      <c r="B121" s="3207" t="s">
        <v>3034</v>
      </c>
      <c r="C121" s="3219"/>
      <c r="D121" s="3219"/>
      <c r="E121" s="3219"/>
      <c r="F121" s="3208">
        <v>0.1</v>
      </c>
      <c r="G121" s="3225"/>
    </row>
    <row r="122" spans="1:7">
      <c r="A122" s="3218" t="s">
        <v>1152</v>
      </c>
      <c r="B122" s="3207" t="s">
        <v>3035</v>
      </c>
      <c r="C122" s="3208">
        <v>0.1</v>
      </c>
      <c r="D122" s="3208">
        <v>0.1</v>
      </c>
      <c r="E122" s="3208">
        <v>9.8000000000000004E-2</v>
      </c>
      <c r="F122" s="3208">
        <v>0.1</v>
      </c>
      <c r="G122" s="3209">
        <v>0.1</v>
      </c>
    </row>
    <row r="123" spans="1:7">
      <c r="A123" s="3218" t="s">
        <v>1152</v>
      </c>
      <c r="B123" s="3207" t="s">
        <v>2838</v>
      </c>
      <c r="C123" s="3208">
        <v>0.1</v>
      </c>
      <c r="D123" s="3208">
        <v>0.1</v>
      </c>
      <c r="E123" s="3208">
        <v>9.8000000000000004E-2</v>
      </c>
      <c r="F123" s="3208">
        <v>0.1</v>
      </c>
      <c r="G123" s="3209">
        <v>0.1</v>
      </c>
    </row>
    <row r="124" spans="1:7">
      <c r="A124" s="3218" t="s">
        <v>1152</v>
      </c>
      <c r="B124" s="3207" t="s">
        <v>2839</v>
      </c>
      <c r="C124" s="3208">
        <v>0.1</v>
      </c>
      <c r="D124" s="3208">
        <v>0.1</v>
      </c>
      <c r="E124" s="3208">
        <v>9.8000000000000004E-2</v>
      </c>
      <c r="F124" s="3224"/>
      <c r="G124" s="3209">
        <v>0.1</v>
      </c>
    </row>
    <row r="125" spans="1:7">
      <c r="A125" s="3218" t="s">
        <v>1152</v>
      </c>
      <c r="B125" s="3207" t="s">
        <v>2840</v>
      </c>
      <c r="C125" s="3208">
        <v>9.8000000000000004E-2</v>
      </c>
      <c r="D125" s="3208">
        <v>9.8000000000000004E-2</v>
      </c>
      <c r="E125" s="3208">
        <v>9.6000000000000002E-2</v>
      </c>
      <c r="F125" s="3224"/>
      <c r="G125" s="3209">
        <v>0.1</v>
      </c>
    </row>
    <row r="126" spans="1:7" ht="14.25" thickBot="1">
      <c r="A126" s="3221" t="s">
        <v>1152</v>
      </c>
      <c r="B126" s="3211" t="s">
        <v>3036</v>
      </c>
      <c r="C126" s="3212">
        <v>0.1</v>
      </c>
      <c r="D126" s="3212">
        <v>0.1</v>
      </c>
      <c r="E126" s="3212">
        <v>9.8000000000000004E-2</v>
      </c>
      <c r="F126" s="3212">
        <v>0.1</v>
      </c>
      <c r="G126" s="3214">
        <v>0.1</v>
      </c>
    </row>
    <row r="127" spans="1:7">
      <c r="A127" s="3217" t="s">
        <v>1153</v>
      </c>
      <c r="B127" s="3203" t="s">
        <v>3037</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3038</v>
      </c>
      <c r="C148" s="3208">
        <v>0.13</v>
      </c>
      <c r="D148" s="3208">
        <v>0.13</v>
      </c>
      <c r="E148" s="3208">
        <v>0.13</v>
      </c>
      <c r="F148" s="3219"/>
      <c r="G148" s="3209">
        <v>0.13</v>
      </c>
    </row>
    <row r="149" spans="1:7">
      <c r="A149" s="3218" t="s">
        <v>1153</v>
      </c>
      <c r="B149" s="3207" t="s">
        <v>3039</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2845</v>
      </c>
      <c r="C153" s="3208">
        <v>0.13</v>
      </c>
      <c r="D153" s="3208">
        <v>0.13</v>
      </c>
      <c r="E153" s="3208">
        <v>0.13</v>
      </c>
      <c r="F153" s="3208">
        <v>0.13</v>
      </c>
      <c r="G153" s="3209">
        <v>0.13</v>
      </c>
    </row>
    <row r="154" spans="1:7">
      <c r="A154" s="3218" t="s">
        <v>1153</v>
      </c>
      <c r="B154" s="3207" t="s">
        <v>3040</v>
      </c>
      <c r="C154" s="3208">
        <v>0.121</v>
      </c>
      <c r="D154" s="3208">
        <v>0.121</v>
      </c>
      <c r="E154" s="3208">
        <v>0.105</v>
      </c>
      <c r="F154" s="3208">
        <v>0.121</v>
      </c>
      <c r="G154" s="3209">
        <v>0.123</v>
      </c>
    </row>
    <row r="155" spans="1:7">
      <c r="A155" s="3218" t="s">
        <v>1153</v>
      </c>
      <c r="B155" s="3207" t="s">
        <v>2847</v>
      </c>
      <c r="C155" s="3208">
        <v>0.1</v>
      </c>
      <c r="D155" s="3208">
        <v>0.1</v>
      </c>
      <c r="E155" s="3208">
        <v>0.1</v>
      </c>
      <c r="F155" s="3208">
        <v>0.1</v>
      </c>
      <c r="G155" s="3209">
        <v>0.1</v>
      </c>
    </row>
    <row r="156" spans="1:7">
      <c r="A156" s="3218" t="s">
        <v>1153</v>
      </c>
      <c r="B156" s="3207" t="s">
        <v>3041</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3042</v>
      </c>
      <c r="C160" s="3208">
        <v>0.13</v>
      </c>
      <c r="D160" s="3208">
        <v>0.13</v>
      </c>
      <c r="E160" s="3208">
        <v>0.124</v>
      </c>
      <c r="F160" s="3208">
        <v>0.126</v>
      </c>
      <c r="G160" s="3209">
        <v>0.13</v>
      </c>
    </row>
    <row r="161" spans="1:7">
      <c r="A161" s="3218" t="s">
        <v>1153</v>
      </c>
      <c r="B161" s="3207" t="s">
        <v>2850</v>
      </c>
      <c r="C161" s="3208">
        <v>0.13</v>
      </c>
      <c r="D161" s="3208">
        <v>0.13</v>
      </c>
      <c r="E161" s="3208">
        <v>0.124</v>
      </c>
      <c r="F161" s="3208">
        <v>0.127</v>
      </c>
      <c r="G161" s="3209">
        <v>0.13</v>
      </c>
    </row>
    <row r="162" spans="1:7">
      <c r="A162" s="3218" t="s">
        <v>1153</v>
      </c>
      <c r="B162" s="3207" t="s">
        <v>2851</v>
      </c>
      <c r="C162" s="3208">
        <v>0.1</v>
      </c>
      <c r="D162" s="3208">
        <v>0.1</v>
      </c>
      <c r="E162" s="3208">
        <v>0.1</v>
      </c>
      <c r="F162" s="3208">
        <v>0.121</v>
      </c>
      <c r="G162" s="3209">
        <v>0.105</v>
      </c>
    </row>
    <row r="163" spans="1:7">
      <c r="A163" s="3218" t="s">
        <v>1153</v>
      </c>
      <c r="B163" s="3207" t="s">
        <v>2852</v>
      </c>
      <c r="C163" s="3208">
        <v>0.1</v>
      </c>
      <c r="D163" s="3208">
        <v>0.1</v>
      </c>
      <c r="E163" s="3208">
        <v>0.1</v>
      </c>
      <c r="F163" s="3208">
        <v>0.1</v>
      </c>
      <c r="G163" s="3209">
        <v>0.1</v>
      </c>
    </row>
    <row r="164" spans="1:7">
      <c r="A164" s="3218" t="s">
        <v>1153</v>
      </c>
      <c r="B164" s="3207" t="s">
        <v>2853</v>
      </c>
      <c r="C164" s="3224"/>
      <c r="D164" s="3224"/>
      <c r="E164" s="3224"/>
      <c r="F164" s="3208">
        <v>0.1</v>
      </c>
      <c r="G164" s="3220"/>
    </row>
    <row r="165" spans="1:7">
      <c r="A165" s="3218" t="s">
        <v>1153</v>
      </c>
      <c r="B165" s="3207" t="s">
        <v>3043</v>
      </c>
      <c r="C165" s="3208">
        <v>0.126</v>
      </c>
      <c r="D165" s="3208">
        <v>0.126</v>
      </c>
      <c r="E165" s="3208">
        <v>0.11899999999999999</v>
      </c>
      <c r="F165" s="3208">
        <v>0.13</v>
      </c>
      <c r="G165" s="3209">
        <v>0.128</v>
      </c>
    </row>
    <row r="166" spans="1:7">
      <c r="A166" s="3218" t="s">
        <v>1153</v>
      </c>
      <c r="B166" s="3207" t="s">
        <v>2855</v>
      </c>
      <c r="C166" s="3208">
        <v>0.129</v>
      </c>
      <c r="D166" s="3208">
        <v>0.129</v>
      </c>
      <c r="E166" s="3208">
        <v>0.123</v>
      </c>
      <c r="F166" s="3208">
        <v>0.128</v>
      </c>
      <c r="G166" s="3209">
        <v>0.13</v>
      </c>
    </row>
    <row r="167" spans="1:7">
      <c r="A167" s="3218" t="s">
        <v>1153</v>
      </c>
      <c r="B167" s="3207" t="s">
        <v>2856</v>
      </c>
      <c r="C167" s="3208">
        <v>0.125</v>
      </c>
      <c r="D167" s="3208">
        <v>0.125</v>
      </c>
      <c r="E167" s="3208">
        <v>0.11700000000000001</v>
      </c>
      <c r="F167" s="3208">
        <v>0.13</v>
      </c>
      <c r="G167" s="3209">
        <v>0.126</v>
      </c>
    </row>
    <row r="168" spans="1:7">
      <c r="A168" s="3218" t="s">
        <v>1153</v>
      </c>
      <c r="B168" s="3207" t="s">
        <v>2857</v>
      </c>
      <c r="C168" s="3208">
        <v>0.128</v>
      </c>
      <c r="D168" s="3208">
        <v>0.128</v>
      </c>
      <c r="E168" s="3208">
        <v>0.123</v>
      </c>
      <c r="F168" s="3219"/>
      <c r="G168" s="3209">
        <v>0.13</v>
      </c>
    </row>
    <row r="169" spans="1:7">
      <c r="A169" s="3218" t="s">
        <v>1153</v>
      </c>
      <c r="B169" s="3207" t="s">
        <v>3044</v>
      </c>
      <c r="C169" s="3224"/>
      <c r="D169" s="3224"/>
      <c r="E169" s="3224"/>
      <c r="F169" s="3208">
        <v>0.05</v>
      </c>
      <c r="G169" s="3220"/>
    </row>
    <row r="170" spans="1:7">
      <c r="A170" s="3218" t="s">
        <v>1153</v>
      </c>
      <c r="B170" s="3207" t="s">
        <v>3045</v>
      </c>
      <c r="C170" s="3224"/>
      <c r="D170" s="3224"/>
      <c r="E170" s="3224"/>
      <c r="F170" s="3208">
        <v>0.05</v>
      </c>
      <c r="G170" s="3220"/>
    </row>
    <row r="171" spans="1:7">
      <c r="A171" s="3218" t="s">
        <v>1153</v>
      </c>
      <c r="B171" s="3207" t="s">
        <v>3046</v>
      </c>
      <c r="C171" s="3224"/>
      <c r="D171" s="3224"/>
      <c r="E171" s="3224"/>
      <c r="F171" s="3208">
        <v>0.05</v>
      </c>
      <c r="G171" s="3225"/>
    </row>
    <row r="172" spans="1:7">
      <c r="A172" s="3218" t="s">
        <v>1153</v>
      </c>
      <c r="B172" s="3207" t="s">
        <v>3047</v>
      </c>
      <c r="C172" s="3224"/>
      <c r="D172" s="3224"/>
      <c r="E172" s="3224"/>
      <c r="F172" s="3208">
        <v>0.05</v>
      </c>
      <c r="G172" s="3225"/>
    </row>
    <row r="173" spans="1:7">
      <c r="A173" s="3218" t="s">
        <v>1153</v>
      </c>
      <c r="B173" s="3207" t="s">
        <v>3048</v>
      </c>
      <c r="C173" s="3224"/>
      <c r="D173" s="3224"/>
      <c r="E173" s="3224"/>
      <c r="F173" s="3208">
        <v>0.05</v>
      </c>
      <c r="G173" s="3220"/>
    </row>
    <row r="174" spans="1:7">
      <c r="A174" s="3218" t="s">
        <v>1153</v>
      </c>
      <c r="B174" s="3207" t="s">
        <v>3049</v>
      </c>
      <c r="C174" s="3224"/>
      <c r="D174" s="3224"/>
      <c r="E174" s="3224"/>
      <c r="F174" s="3208">
        <v>0.05</v>
      </c>
      <c r="G174" s="3220"/>
    </row>
    <row r="175" spans="1:7">
      <c r="A175" s="3218" t="s">
        <v>1153</v>
      </c>
      <c r="B175" s="3207" t="s">
        <v>3050</v>
      </c>
      <c r="C175" s="3224"/>
      <c r="D175" s="3224"/>
      <c r="E175" s="3224"/>
      <c r="F175" s="3208">
        <v>0.05</v>
      </c>
      <c r="G175" s="3220"/>
    </row>
    <row r="176" spans="1:7">
      <c r="A176" s="3218" t="s">
        <v>1153</v>
      </c>
      <c r="B176" s="3207" t="s">
        <v>3051</v>
      </c>
      <c r="C176" s="3224"/>
      <c r="D176" s="3224"/>
      <c r="E176" s="3224"/>
      <c r="F176" s="3208">
        <v>0.05</v>
      </c>
      <c r="G176" s="3220"/>
    </row>
    <row r="177" spans="1:7">
      <c r="A177" s="3218" t="s">
        <v>1153</v>
      </c>
      <c r="B177" s="3207" t="s">
        <v>3052</v>
      </c>
      <c r="C177" s="3219"/>
      <c r="D177" s="3219"/>
      <c r="E177" s="3219"/>
      <c r="F177" s="3208">
        <v>0.05</v>
      </c>
      <c r="G177" s="3225"/>
    </row>
    <row r="178" spans="1:7">
      <c r="A178" s="3218" t="s">
        <v>1153</v>
      </c>
      <c r="B178" s="3207" t="s">
        <v>3053</v>
      </c>
      <c r="C178" s="3219"/>
      <c r="D178" s="3219"/>
      <c r="E178" s="3219"/>
      <c r="F178" s="3208">
        <v>0.05</v>
      </c>
      <c r="G178" s="3225"/>
    </row>
    <row r="179" spans="1:7">
      <c r="A179" s="3218" t="s">
        <v>1153</v>
      </c>
      <c r="B179" s="3207" t="s">
        <v>3054</v>
      </c>
      <c r="C179" s="3219"/>
      <c r="D179" s="3219"/>
      <c r="E179" s="3219"/>
      <c r="F179" s="3208">
        <v>0.05</v>
      </c>
      <c r="G179" s="3225"/>
    </row>
    <row r="180" spans="1:7">
      <c r="A180" s="3218" t="s">
        <v>1153</v>
      </c>
      <c r="B180" s="3207" t="s">
        <v>3055</v>
      </c>
      <c r="C180" s="3219"/>
      <c r="D180" s="3219"/>
      <c r="E180" s="3219"/>
      <c r="F180" s="3208">
        <v>0.05</v>
      </c>
      <c r="G180" s="3225"/>
    </row>
    <row r="181" spans="1:7">
      <c r="A181" s="3218" t="s">
        <v>1153</v>
      </c>
      <c r="B181" s="3207" t="s">
        <v>3056</v>
      </c>
      <c r="C181" s="3219"/>
      <c r="D181" s="3219"/>
      <c r="E181" s="3219"/>
      <c r="F181" s="3208">
        <v>0.05</v>
      </c>
      <c r="G181" s="3225"/>
    </row>
    <row r="182" spans="1:7">
      <c r="A182" s="3218" t="s">
        <v>1153</v>
      </c>
      <c r="B182" s="3207" t="s">
        <v>3057</v>
      </c>
      <c r="C182" s="3219"/>
      <c r="D182" s="3219"/>
      <c r="E182" s="3219"/>
      <c r="F182" s="3208">
        <v>0.05</v>
      </c>
      <c r="G182" s="3225"/>
    </row>
    <row r="183" spans="1:7">
      <c r="A183" s="3218" t="s">
        <v>1153</v>
      </c>
      <c r="B183" s="3207" t="s">
        <v>3058</v>
      </c>
      <c r="C183" s="3219"/>
      <c r="D183" s="3219"/>
      <c r="E183" s="3219"/>
      <c r="F183" s="3208">
        <v>0.05</v>
      </c>
      <c r="G183" s="3225"/>
    </row>
    <row r="184" spans="1:7">
      <c r="A184" s="3218" t="s">
        <v>1153</v>
      </c>
      <c r="B184" s="3207" t="s">
        <v>3059</v>
      </c>
      <c r="C184" s="3219"/>
      <c r="D184" s="3219"/>
      <c r="E184" s="3219"/>
      <c r="F184" s="3208">
        <v>0.05</v>
      </c>
      <c r="G184" s="3225"/>
    </row>
    <row r="185" spans="1:7">
      <c r="A185" s="3218" t="s">
        <v>1153</v>
      </c>
      <c r="B185" s="3207" t="s">
        <v>3060</v>
      </c>
      <c r="C185" s="3219"/>
      <c r="D185" s="3219"/>
      <c r="E185" s="3219"/>
      <c r="F185" s="3208">
        <v>0.05</v>
      </c>
      <c r="G185" s="3225"/>
    </row>
    <row r="186" spans="1:7">
      <c r="A186" s="3218" t="s">
        <v>1153</v>
      </c>
      <c r="B186" s="3207" t="s">
        <v>3061</v>
      </c>
      <c r="C186" s="3219"/>
      <c r="D186" s="3219"/>
      <c r="E186" s="3219"/>
      <c r="F186" s="3208">
        <v>0.05</v>
      </c>
      <c r="G186" s="3225"/>
    </row>
    <row r="187" spans="1:7">
      <c r="A187" s="3218" t="s">
        <v>1153</v>
      </c>
      <c r="B187" s="3207" t="s">
        <v>3062</v>
      </c>
      <c r="C187" s="3219"/>
      <c r="D187" s="3219"/>
      <c r="E187" s="3219"/>
      <c r="F187" s="3208">
        <v>0.05</v>
      </c>
      <c r="G187" s="3225"/>
    </row>
    <row r="188" spans="1:7">
      <c r="A188" s="3218" t="s">
        <v>1153</v>
      </c>
      <c r="B188" s="3207" t="s">
        <v>3063</v>
      </c>
      <c r="C188" s="3219"/>
      <c r="D188" s="3219"/>
      <c r="E188" s="3219"/>
      <c r="F188" s="3208">
        <v>0.05</v>
      </c>
      <c r="G188" s="3225"/>
    </row>
    <row r="189" spans="1:7" ht="14.25" thickBot="1">
      <c r="A189" s="3221" t="s">
        <v>1153</v>
      </c>
      <c r="B189" s="3211" t="s">
        <v>3064</v>
      </c>
      <c r="C189" s="3213"/>
      <c r="D189" s="3213"/>
      <c r="E189" s="3213"/>
      <c r="F189" s="3212">
        <v>0.05</v>
      </c>
      <c r="G189" s="3226"/>
    </row>
    <row r="190" spans="1:7">
      <c r="A190" s="3217" t="s">
        <v>1154</v>
      </c>
      <c r="B190" s="3203" t="s">
        <v>3065</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3066</v>
      </c>
      <c r="C199" s="3208">
        <v>0.13</v>
      </c>
      <c r="D199" s="3208">
        <v>0.13</v>
      </c>
      <c r="E199" s="3208">
        <v>0.13</v>
      </c>
      <c r="F199" s="3208">
        <v>0.13</v>
      </c>
      <c r="G199" s="3209">
        <v>0.13</v>
      </c>
    </row>
    <row r="200" spans="1:7">
      <c r="A200" s="3218" t="s">
        <v>1154</v>
      </c>
      <c r="B200" s="3207" t="s">
        <v>2881</v>
      </c>
      <c r="C200" s="3224"/>
      <c r="D200" s="3224"/>
      <c r="E200" s="3224"/>
      <c r="F200" s="3208">
        <v>0.13</v>
      </c>
      <c r="G200" s="3220"/>
    </row>
    <row r="201" spans="1:7">
      <c r="A201" s="3218" t="s">
        <v>1154</v>
      </c>
      <c r="B201" s="3207" t="s">
        <v>3067</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3068</v>
      </c>
      <c r="C203" s="3208">
        <v>0.129</v>
      </c>
      <c r="D203" s="3208">
        <v>0.129</v>
      </c>
      <c r="E203" s="3208">
        <v>0.13</v>
      </c>
      <c r="F203" s="3208">
        <v>0.13</v>
      </c>
      <c r="G203" s="3209">
        <v>0.13</v>
      </c>
    </row>
    <row r="204" spans="1:7">
      <c r="A204" s="3218" t="s">
        <v>1154</v>
      </c>
      <c r="B204" s="3207" t="s">
        <v>2884</v>
      </c>
      <c r="C204" s="3208">
        <v>0.129</v>
      </c>
      <c r="D204" s="3208">
        <v>0.129</v>
      </c>
      <c r="E204" s="3208">
        <v>0.123</v>
      </c>
      <c r="F204" s="3208">
        <v>0.13</v>
      </c>
      <c r="G204" s="3209">
        <v>0.13</v>
      </c>
    </row>
    <row r="205" spans="1:7">
      <c r="A205" s="3218" t="s">
        <v>1154</v>
      </c>
      <c r="B205" s="3207" t="s">
        <v>2885</v>
      </c>
      <c r="C205" s="3208">
        <v>0.13</v>
      </c>
      <c r="D205" s="3208">
        <v>0.13</v>
      </c>
      <c r="E205" s="3208">
        <v>0.13</v>
      </c>
      <c r="F205" s="3208">
        <v>0.13</v>
      </c>
      <c r="G205" s="3209">
        <v>0.13</v>
      </c>
    </row>
    <row r="206" spans="1:7">
      <c r="A206" s="3218" t="s">
        <v>1154</v>
      </c>
      <c r="B206" s="3207" t="s">
        <v>2886</v>
      </c>
      <c r="C206" s="3208">
        <v>0.13</v>
      </c>
      <c r="D206" s="3208">
        <v>0.13</v>
      </c>
      <c r="E206" s="3208">
        <v>0.13</v>
      </c>
      <c r="F206" s="3208">
        <v>0.128</v>
      </c>
      <c r="G206" s="3209">
        <v>0.13</v>
      </c>
    </row>
    <row r="207" spans="1:7">
      <c r="A207" s="3218" t="s">
        <v>1154</v>
      </c>
      <c r="B207" s="3207" t="s">
        <v>2887</v>
      </c>
      <c r="C207" s="3208">
        <v>0.13</v>
      </c>
      <c r="D207" s="3208">
        <v>0.13</v>
      </c>
      <c r="E207" s="3208">
        <v>0.13</v>
      </c>
      <c r="F207" s="3208">
        <v>0.13</v>
      </c>
      <c r="G207" s="3209">
        <v>0.13</v>
      </c>
    </row>
    <row r="208" spans="1:7">
      <c r="A208" s="3218" t="s">
        <v>1154</v>
      </c>
      <c r="B208" s="3207" t="s">
        <v>3069</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2889</v>
      </c>
      <c r="C210" s="3208">
        <v>0.121</v>
      </c>
      <c r="D210" s="3208">
        <v>0.121</v>
      </c>
      <c r="E210" s="3208">
        <v>0.125</v>
      </c>
      <c r="F210" s="3208">
        <v>0.13</v>
      </c>
      <c r="G210" s="3209">
        <v>0.123</v>
      </c>
    </row>
    <row r="211" spans="1:7">
      <c r="A211" s="3218" t="s">
        <v>1154</v>
      </c>
      <c r="B211" s="3207" t="s">
        <v>3070</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3071</v>
      </c>
      <c r="C214" s="3208">
        <v>0.128</v>
      </c>
      <c r="D214" s="3208">
        <v>0.128</v>
      </c>
      <c r="E214" s="3208">
        <v>0.13</v>
      </c>
      <c r="F214" s="3208">
        <v>0.13</v>
      </c>
      <c r="G214" s="3209">
        <v>0.13</v>
      </c>
    </row>
    <row r="215" spans="1:7">
      <c r="A215" s="3218" t="s">
        <v>1154</v>
      </c>
      <c r="B215" s="3207" t="s">
        <v>3072</v>
      </c>
      <c r="C215" s="3208">
        <v>0.13</v>
      </c>
      <c r="D215" s="3208">
        <v>0.13</v>
      </c>
      <c r="E215" s="3208">
        <v>0.13</v>
      </c>
      <c r="F215" s="3208">
        <v>0.129</v>
      </c>
      <c r="G215" s="3209">
        <v>0.13</v>
      </c>
    </row>
    <row r="216" spans="1:7">
      <c r="A216" s="3218" t="s">
        <v>1154</v>
      </c>
      <c r="B216" s="3207" t="s">
        <v>3073</v>
      </c>
      <c r="C216" s="3208">
        <v>0.13</v>
      </c>
      <c r="D216" s="3208">
        <v>0.13</v>
      </c>
      <c r="E216" s="3208">
        <v>0.13</v>
      </c>
      <c r="F216" s="3208">
        <v>0.13</v>
      </c>
      <c r="G216" s="3209">
        <v>0.13</v>
      </c>
    </row>
    <row r="217" spans="1:7">
      <c r="A217" s="3218" t="s">
        <v>1154</v>
      </c>
      <c r="B217" s="3207" t="s">
        <v>2893</v>
      </c>
      <c r="C217" s="3208">
        <v>0.129</v>
      </c>
      <c r="D217" s="3208">
        <v>0.129</v>
      </c>
      <c r="E217" s="3208">
        <v>0.13</v>
      </c>
      <c r="F217" s="3208">
        <v>0.13</v>
      </c>
      <c r="G217" s="3209">
        <v>0.13</v>
      </c>
    </row>
    <row r="218" spans="1:7">
      <c r="A218" s="3218" t="s">
        <v>1154</v>
      </c>
      <c r="B218" s="3207" t="s">
        <v>3074</v>
      </c>
      <c r="C218" s="3219"/>
      <c r="D218" s="3219"/>
      <c r="E218" s="3219"/>
      <c r="F218" s="3208">
        <v>0.05</v>
      </c>
      <c r="G218" s="3225"/>
    </row>
    <row r="219" spans="1:7">
      <c r="A219" s="3218" t="s">
        <v>1154</v>
      </c>
      <c r="B219" s="3207" t="s">
        <v>3075</v>
      </c>
      <c r="C219" s="3219"/>
      <c r="D219" s="3219"/>
      <c r="E219" s="3219"/>
      <c r="F219" s="3208">
        <v>0.05</v>
      </c>
      <c r="G219" s="3225"/>
    </row>
    <row r="220" spans="1:7">
      <c r="A220" s="3218" t="s">
        <v>1154</v>
      </c>
      <c r="B220" s="3207" t="s">
        <v>3076</v>
      </c>
      <c r="C220" s="3219"/>
      <c r="D220" s="3219"/>
      <c r="E220" s="3219"/>
      <c r="F220" s="3208">
        <v>0.05</v>
      </c>
      <c r="G220" s="3225"/>
    </row>
    <row r="221" spans="1:7">
      <c r="A221" s="3218" t="s">
        <v>1154</v>
      </c>
      <c r="B221" s="3207" t="s">
        <v>3077</v>
      </c>
      <c r="C221" s="3219"/>
      <c r="D221" s="3219"/>
      <c r="E221" s="3219"/>
      <c r="F221" s="3208">
        <v>0.05</v>
      </c>
      <c r="G221" s="3225"/>
    </row>
    <row r="222" spans="1:7">
      <c r="A222" s="3218" t="s">
        <v>1154</v>
      </c>
      <c r="B222" s="3207" t="s">
        <v>3078</v>
      </c>
      <c r="C222" s="3219"/>
      <c r="D222" s="3219"/>
      <c r="E222" s="3219"/>
      <c r="F222" s="3208">
        <v>0.05</v>
      </c>
      <c r="G222" s="3225"/>
    </row>
    <row r="223" spans="1:7">
      <c r="A223" s="3218" t="s">
        <v>1154</v>
      </c>
      <c r="B223" s="3207" t="s">
        <v>3079</v>
      </c>
      <c r="C223" s="3219"/>
      <c r="D223" s="3219"/>
      <c r="E223" s="3219"/>
      <c r="F223" s="3208">
        <v>0.05</v>
      </c>
      <c r="G223" s="3225"/>
    </row>
    <row r="224" spans="1:7">
      <c r="A224" s="3218" t="s">
        <v>1154</v>
      </c>
      <c r="B224" s="3207" t="s">
        <v>3080</v>
      </c>
      <c r="C224" s="3219"/>
      <c r="D224" s="3219"/>
      <c r="E224" s="3219"/>
      <c r="F224" s="3208">
        <v>0.05</v>
      </c>
      <c r="G224" s="3225"/>
    </row>
    <row r="225" spans="1:7">
      <c r="A225" s="3218" t="s">
        <v>1154</v>
      </c>
      <c r="B225" s="3207" t="s">
        <v>3081</v>
      </c>
      <c r="C225" s="3219"/>
      <c r="D225" s="3219"/>
      <c r="E225" s="3219"/>
      <c r="F225" s="3208">
        <v>0.05</v>
      </c>
      <c r="G225" s="3225"/>
    </row>
    <row r="226" spans="1:7">
      <c r="A226" s="3218" t="s">
        <v>1154</v>
      </c>
      <c r="B226" s="3207" t="s">
        <v>3082</v>
      </c>
      <c r="C226" s="3219"/>
      <c r="D226" s="3219"/>
      <c r="E226" s="3219"/>
      <c r="F226" s="3208">
        <v>0.05</v>
      </c>
      <c r="G226" s="3225"/>
    </row>
    <row r="227" spans="1:7">
      <c r="A227" s="3218" t="s">
        <v>1154</v>
      </c>
      <c r="B227" s="3207" t="s">
        <v>3083</v>
      </c>
      <c r="C227" s="3219"/>
      <c r="D227" s="3219"/>
      <c r="E227" s="3219"/>
      <c r="F227" s="3208">
        <v>0.05</v>
      </c>
      <c r="G227" s="3225"/>
    </row>
    <row r="228" spans="1:7">
      <c r="A228" s="3218" t="s">
        <v>1154</v>
      </c>
      <c r="B228" s="3207" t="s">
        <v>3084</v>
      </c>
      <c r="C228" s="3219"/>
      <c r="D228" s="3219"/>
      <c r="E228" s="3219"/>
      <c r="F228" s="3208">
        <v>0.05</v>
      </c>
      <c r="G228" s="3225"/>
    </row>
    <row r="229" spans="1:7">
      <c r="A229" s="3218" t="s">
        <v>1154</v>
      </c>
      <c r="B229" s="3207" t="s">
        <v>3085</v>
      </c>
      <c r="C229" s="3219"/>
      <c r="D229" s="3219"/>
      <c r="E229" s="3219"/>
      <c r="F229" s="3208">
        <v>0.05</v>
      </c>
      <c r="G229" s="3225"/>
    </row>
    <row r="230" spans="1:7">
      <c r="A230" s="3218" t="s">
        <v>1154</v>
      </c>
      <c r="B230" s="3207" t="s">
        <v>3086</v>
      </c>
      <c r="C230" s="3219"/>
      <c r="D230" s="3219"/>
      <c r="E230" s="3219"/>
      <c r="F230" s="3208">
        <v>0.05</v>
      </c>
      <c r="G230" s="3225"/>
    </row>
    <row r="231" spans="1:7">
      <c r="A231" s="3218" t="s">
        <v>1154</v>
      </c>
      <c r="B231" s="3207" t="s">
        <v>3087</v>
      </c>
      <c r="C231" s="3219"/>
      <c r="D231" s="3219"/>
      <c r="E231" s="3219"/>
      <c r="F231" s="3208">
        <v>0.05</v>
      </c>
      <c r="G231" s="3225"/>
    </row>
    <row r="232" spans="1:7">
      <c r="A232" s="3218" t="s">
        <v>1154</v>
      </c>
      <c r="B232" s="3207" t="s">
        <v>3088</v>
      </c>
      <c r="C232" s="3219"/>
      <c r="D232" s="3219"/>
      <c r="E232" s="3219"/>
      <c r="F232" s="3208">
        <v>0.05</v>
      </c>
      <c r="G232" s="3225"/>
    </row>
    <row r="233" spans="1:7" ht="14.25" thickBot="1">
      <c r="A233" s="3221" t="s">
        <v>1154</v>
      </c>
      <c r="B233" s="3211" t="s">
        <v>3089</v>
      </c>
      <c r="C233" s="3213"/>
      <c r="D233" s="3213"/>
      <c r="E233" s="3213"/>
      <c r="F233" s="3212">
        <v>0.05</v>
      </c>
      <c r="G233" s="3226"/>
    </row>
    <row r="234" spans="1:7">
      <c r="A234" s="3217" t="s">
        <v>1155</v>
      </c>
      <c r="B234" s="3203" t="s">
        <v>3090</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2911</v>
      </c>
      <c r="C238" s="3208">
        <v>0.14899999999999999</v>
      </c>
      <c r="D238" s="3208">
        <v>0.14899999999999999</v>
      </c>
      <c r="E238" s="3208">
        <v>0.15</v>
      </c>
      <c r="F238" s="3208">
        <v>0.15</v>
      </c>
      <c r="G238" s="3209">
        <v>0.15</v>
      </c>
    </row>
    <row r="239" spans="1:7">
      <c r="A239" s="3218" t="s">
        <v>1155</v>
      </c>
      <c r="B239" s="3207" t="s">
        <v>3091</v>
      </c>
      <c r="C239" s="3208">
        <v>0.15</v>
      </c>
      <c r="D239" s="3208">
        <v>0.15</v>
      </c>
      <c r="E239" s="3208">
        <v>0.15</v>
      </c>
      <c r="F239" s="3208">
        <v>0.15</v>
      </c>
      <c r="G239" s="3209">
        <v>0.15</v>
      </c>
    </row>
    <row r="240" spans="1:7">
      <c r="A240" s="3218" t="s">
        <v>1155</v>
      </c>
      <c r="B240" s="3207" t="s">
        <v>3092</v>
      </c>
      <c r="C240" s="3208">
        <v>0.15</v>
      </c>
      <c r="D240" s="3208">
        <v>0.15</v>
      </c>
      <c r="E240" s="3208">
        <v>0.15</v>
      </c>
      <c r="F240" s="3208">
        <v>0.15</v>
      </c>
      <c r="G240" s="3209">
        <v>0.15</v>
      </c>
    </row>
    <row r="241" spans="1:7">
      <c r="A241" s="3218" t="s">
        <v>1155</v>
      </c>
      <c r="B241" s="3207" t="s">
        <v>3093</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3094</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3095</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3096</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3097</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3098</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2920</v>
      </c>
      <c r="C258" s="3208">
        <v>0.14299999999999999</v>
      </c>
      <c r="D258" s="3208">
        <v>0.14299999999999999</v>
      </c>
      <c r="E258" s="3208">
        <v>0.15</v>
      </c>
      <c r="F258" s="3208">
        <v>0.14799999999999999</v>
      </c>
      <c r="G258" s="3209">
        <v>0.14599999999999999</v>
      </c>
    </row>
    <row r="259" spans="1:7">
      <c r="A259" s="3218" t="s">
        <v>1155</v>
      </c>
      <c r="B259" s="3207" t="s">
        <v>3099</v>
      </c>
      <c r="C259" s="3208">
        <v>0.14399999999999999</v>
      </c>
      <c r="D259" s="3208">
        <v>0.14399999999999999</v>
      </c>
      <c r="E259" s="3208">
        <v>0.14899999999999999</v>
      </c>
      <c r="F259" s="3208">
        <v>0.14699999999999999</v>
      </c>
      <c r="G259" s="3209">
        <v>0.14599999999999999</v>
      </c>
    </row>
    <row r="260" spans="1:7">
      <c r="A260" s="3218" t="s">
        <v>1155</v>
      </c>
      <c r="B260" s="3207" t="s">
        <v>3100</v>
      </c>
      <c r="C260" s="3208">
        <v>0.109</v>
      </c>
      <c r="D260" s="3208">
        <v>0.111</v>
      </c>
      <c r="E260" s="3208">
        <v>0.13100000000000001</v>
      </c>
      <c r="F260" s="3208">
        <v>0.126</v>
      </c>
      <c r="G260" s="3209">
        <v>0.11899999999999999</v>
      </c>
    </row>
    <row r="261" spans="1:7">
      <c r="A261" s="3218" t="s">
        <v>1155</v>
      </c>
      <c r="B261" s="3207" t="s">
        <v>3101</v>
      </c>
      <c r="C261" s="3208">
        <v>0.1</v>
      </c>
      <c r="D261" s="3208">
        <v>0.1</v>
      </c>
      <c r="E261" s="3208">
        <v>0.11799999999999999</v>
      </c>
      <c r="F261" s="3208">
        <v>0.108</v>
      </c>
      <c r="G261" s="3209">
        <v>0.107</v>
      </c>
    </row>
    <row r="262" spans="1:7">
      <c r="A262" s="3218" t="s">
        <v>1155</v>
      </c>
      <c r="B262" s="3207" t="s">
        <v>3102</v>
      </c>
      <c r="C262" s="3208">
        <v>0.1</v>
      </c>
      <c r="D262" s="3208">
        <v>0.1</v>
      </c>
      <c r="E262" s="3208">
        <v>0.1</v>
      </c>
      <c r="F262" s="3208">
        <v>0.14099999999999999</v>
      </c>
      <c r="G262" s="3209">
        <v>0.1</v>
      </c>
    </row>
    <row r="263" spans="1:7">
      <c r="A263" s="3218" t="s">
        <v>1155</v>
      </c>
      <c r="B263" s="3207" t="s">
        <v>3103</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3104</v>
      </c>
      <c r="C265" s="3219"/>
      <c r="D265" s="3219"/>
      <c r="E265" s="3219"/>
      <c r="F265" s="3208">
        <v>0.05</v>
      </c>
      <c r="G265" s="3225"/>
    </row>
    <row r="266" spans="1:7">
      <c r="A266" s="3218" t="s">
        <v>1155</v>
      </c>
      <c r="B266" s="3207" t="s">
        <v>3105</v>
      </c>
      <c r="C266" s="3219"/>
      <c r="D266" s="3219"/>
      <c r="E266" s="3219"/>
      <c r="F266" s="3208">
        <v>0.05</v>
      </c>
      <c r="G266" s="3225"/>
    </row>
    <row r="267" spans="1:7">
      <c r="A267" s="3218" t="s">
        <v>1155</v>
      </c>
      <c r="B267" s="3207" t="s">
        <v>3106</v>
      </c>
      <c r="C267" s="3219"/>
      <c r="D267" s="3219"/>
      <c r="E267" s="3219"/>
      <c r="F267" s="3208">
        <v>0.05</v>
      </c>
      <c r="G267" s="3225"/>
    </row>
    <row r="268" spans="1:7">
      <c r="A268" s="3218" t="s">
        <v>1155</v>
      </c>
      <c r="B268" s="3207" t="s">
        <v>3107</v>
      </c>
      <c r="C268" s="3219"/>
      <c r="D268" s="3219"/>
      <c r="E268" s="3219"/>
      <c r="F268" s="3208">
        <v>0.05</v>
      </c>
      <c r="G268" s="3225"/>
    </row>
    <row r="269" spans="1:7">
      <c r="A269" s="3218" t="s">
        <v>1155</v>
      </c>
      <c r="B269" s="3207" t="s">
        <v>3108</v>
      </c>
      <c r="C269" s="3219"/>
      <c r="D269" s="3219"/>
      <c r="E269" s="3219"/>
      <c r="F269" s="3208">
        <v>0.05</v>
      </c>
      <c r="G269" s="3225"/>
    </row>
    <row r="270" spans="1:7">
      <c r="A270" s="3218" t="s">
        <v>1155</v>
      </c>
      <c r="B270" s="3207" t="s">
        <v>3109</v>
      </c>
      <c r="C270" s="3219"/>
      <c r="D270" s="3219"/>
      <c r="E270" s="3219"/>
      <c r="F270" s="3208">
        <v>0.05</v>
      </c>
      <c r="G270" s="3225"/>
    </row>
    <row r="271" spans="1:7">
      <c r="A271" s="3218" t="s">
        <v>1155</v>
      </c>
      <c r="B271" s="3207" t="s">
        <v>3110</v>
      </c>
      <c r="C271" s="3219"/>
      <c r="D271" s="3219"/>
      <c r="E271" s="3219"/>
      <c r="F271" s="3208">
        <v>0.05</v>
      </c>
      <c r="G271" s="3225"/>
    </row>
    <row r="272" spans="1:7">
      <c r="A272" s="3218" t="s">
        <v>1155</v>
      </c>
      <c r="B272" s="3207" t="s">
        <v>3111</v>
      </c>
      <c r="C272" s="3219"/>
      <c r="D272" s="3219"/>
      <c r="E272" s="3219"/>
      <c r="F272" s="3208">
        <v>0.05</v>
      </c>
      <c r="G272" s="3225"/>
    </row>
    <row r="273" spans="1:7">
      <c r="A273" s="3218" t="s">
        <v>1155</v>
      </c>
      <c r="B273" s="3207" t="s">
        <v>3112</v>
      </c>
      <c r="C273" s="3219"/>
      <c r="D273" s="3219"/>
      <c r="E273" s="3219"/>
      <c r="F273" s="3208">
        <v>0.05</v>
      </c>
      <c r="G273" s="3225"/>
    </row>
    <row r="274" spans="1:7">
      <c r="A274" s="3218" t="s">
        <v>1155</v>
      </c>
      <c r="B274" s="3207" t="s">
        <v>3113</v>
      </c>
      <c r="C274" s="3219"/>
      <c r="D274" s="3219"/>
      <c r="E274" s="3219"/>
      <c r="F274" s="3208">
        <v>0.05</v>
      </c>
      <c r="G274" s="3225"/>
    </row>
    <row r="275" spans="1:7">
      <c r="A275" s="3218" t="s">
        <v>1155</v>
      </c>
      <c r="B275" s="3207" t="s">
        <v>3114</v>
      </c>
      <c r="C275" s="3219"/>
      <c r="D275" s="3219"/>
      <c r="E275" s="3219"/>
      <c r="F275" s="3208">
        <v>0.05</v>
      </c>
      <c r="G275" s="3225"/>
    </row>
    <row r="276" spans="1:7" ht="14.25" thickBot="1">
      <c r="A276" s="3221" t="s">
        <v>1155</v>
      </c>
      <c r="B276" s="3211" t="s">
        <v>3115</v>
      </c>
      <c r="C276" s="3213"/>
      <c r="D276" s="3213"/>
      <c r="E276" s="3213"/>
      <c r="F276" s="3212">
        <v>0.05</v>
      </c>
      <c r="G276" s="3226"/>
    </row>
    <row r="277" spans="1:7">
      <c r="A277" s="3217" t="s">
        <v>1156</v>
      </c>
      <c r="B277" s="3203" t="s">
        <v>3116</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3117</v>
      </c>
      <c r="C279" s="3208">
        <v>0.15</v>
      </c>
      <c r="D279" s="3208">
        <v>0.15</v>
      </c>
      <c r="E279" s="3208">
        <v>0.15</v>
      </c>
      <c r="F279" s="3208">
        <v>0.15</v>
      </c>
      <c r="G279" s="3209">
        <v>0.15</v>
      </c>
    </row>
    <row r="280" spans="1:7">
      <c r="A280" s="3218" t="s">
        <v>1156</v>
      </c>
      <c r="B280" s="3207" t="s">
        <v>3118</v>
      </c>
      <c r="C280" s="3208">
        <v>0.15</v>
      </c>
      <c r="D280" s="3208">
        <v>0.15</v>
      </c>
      <c r="E280" s="3208">
        <v>0.15</v>
      </c>
      <c r="F280" s="3208">
        <v>0.15</v>
      </c>
      <c r="G280" s="3209">
        <v>0.15</v>
      </c>
    </row>
    <row r="281" spans="1:7">
      <c r="A281" s="3218" t="s">
        <v>1156</v>
      </c>
      <c r="B281" s="3207" t="s">
        <v>3119</v>
      </c>
      <c r="C281" s="3208">
        <v>0.15</v>
      </c>
      <c r="D281" s="3208">
        <v>0.15</v>
      </c>
      <c r="E281" s="3208">
        <v>0.15</v>
      </c>
      <c r="F281" s="3208">
        <v>0.15</v>
      </c>
      <c r="G281" s="3209">
        <v>0.15</v>
      </c>
    </row>
    <row r="282" spans="1:7">
      <c r="A282" s="3218" t="s">
        <v>1156</v>
      </c>
      <c r="B282" s="3207" t="s">
        <v>3120</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3121</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3122</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2945</v>
      </c>
      <c r="C293" s="3208">
        <v>0.15</v>
      </c>
      <c r="D293" s="3208">
        <v>0.15</v>
      </c>
      <c r="E293" s="3208">
        <v>0.15</v>
      </c>
      <c r="F293" s="3208">
        <v>0.14499999999999999</v>
      </c>
      <c r="G293" s="3209">
        <v>0.15</v>
      </c>
    </row>
    <row r="294" spans="1:7">
      <c r="A294" s="3218" t="s">
        <v>1156</v>
      </c>
      <c r="B294" s="3207" t="s">
        <v>3123</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2947</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3124</v>
      </c>
      <c r="C302" s="3208">
        <v>0.15</v>
      </c>
      <c r="D302" s="3208">
        <v>0.15</v>
      </c>
      <c r="E302" s="3208">
        <v>0.15</v>
      </c>
      <c r="F302" s="3208">
        <v>0.14699999999999999</v>
      </c>
      <c r="G302" s="3209">
        <v>0.15</v>
      </c>
    </row>
    <row r="303" spans="1:7">
      <c r="A303" s="3218" t="s">
        <v>1156</v>
      </c>
      <c r="B303" s="3207" t="s">
        <v>2949</v>
      </c>
      <c r="C303" s="3208">
        <v>0.15</v>
      </c>
      <c r="D303" s="3208">
        <v>0.15</v>
      </c>
      <c r="E303" s="3208">
        <v>0.15</v>
      </c>
      <c r="F303" s="3208">
        <v>0.14199999999999999</v>
      </c>
      <c r="G303" s="3209">
        <v>0.15</v>
      </c>
    </row>
    <row r="304" spans="1:7">
      <c r="A304" s="3218" t="s">
        <v>1156</v>
      </c>
      <c r="B304" s="3207" t="s">
        <v>2950</v>
      </c>
      <c r="C304" s="3208">
        <v>0.15</v>
      </c>
      <c r="D304" s="3208">
        <v>0.15</v>
      </c>
      <c r="E304" s="3208">
        <v>0.15</v>
      </c>
      <c r="F304" s="3208">
        <v>0.14499999999999999</v>
      </c>
      <c r="G304" s="3209">
        <v>0.15</v>
      </c>
    </row>
    <row r="305" spans="1:7">
      <c r="A305" s="3218" t="s">
        <v>1156</v>
      </c>
      <c r="B305" s="3207" t="s">
        <v>2951</v>
      </c>
      <c r="C305" s="3208">
        <v>0.15</v>
      </c>
      <c r="D305" s="3208">
        <v>0.15</v>
      </c>
      <c r="E305" s="3208">
        <v>0.15</v>
      </c>
      <c r="F305" s="3208">
        <v>0.111</v>
      </c>
      <c r="G305" s="3209">
        <v>0.15</v>
      </c>
    </row>
    <row r="306" spans="1:7">
      <c r="A306" s="3218" t="s">
        <v>1156</v>
      </c>
      <c r="B306" s="3207" t="s">
        <v>3125</v>
      </c>
      <c r="C306" s="3208">
        <v>0.15</v>
      </c>
      <c r="D306" s="3208">
        <v>0.15</v>
      </c>
      <c r="E306" s="3208">
        <v>0.15</v>
      </c>
      <c r="F306" s="3208">
        <v>0.126</v>
      </c>
      <c r="G306" s="3209">
        <v>0.15</v>
      </c>
    </row>
    <row r="307" spans="1:7">
      <c r="A307" s="3218" t="s">
        <v>1156</v>
      </c>
      <c r="B307" s="3207" t="s">
        <v>2953</v>
      </c>
      <c r="C307" s="3208">
        <v>0.15</v>
      </c>
      <c r="D307" s="3208">
        <v>0.15</v>
      </c>
      <c r="E307" s="3208">
        <v>0.15</v>
      </c>
      <c r="F307" s="3208">
        <v>0.12</v>
      </c>
      <c r="G307" s="3209">
        <v>0.15</v>
      </c>
    </row>
    <row r="308" spans="1:7">
      <c r="A308" s="3218" t="s">
        <v>1156</v>
      </c>
      <c r="B308" s="3207" t="s">
        <v>3126</v>
      </c>
      <c r="C308" s="3208">
        <v>0.15</v>
      </c>
      <c r="D308" s="3208">
        <v>0.15</v>
      </c>
      <c r="E308" s="3208">
        <v>0.15</v>
      </c>
      <c r="F308" s="3208">
        <v>0.13</v>
      </c>
      <c r="G308" s="3209">
        <v>0.15</v>
      </c>
    </row>
    <row r="309" spans="1:7">
      <c r="A309" s="3218" t="s">
        <v>1156</v>
      </c>
      <c r="B309" s="3207" t="s">
        <v>3127</v>
      </c>
      <c r="C309" s="3208">
        <v>0.15</v>
      </c>
      <c r="D309" s="3208">
        <v>0.15</v>
      </c>
      <c r="E309" s="3208">
        <v>0.15</v>
      </c>
      <c r="F309" s="3208">
        <v>0.14099999999999999</v>
      </c>
      <c r="G309" s="3209">
        <v>0.15</v>
      </c>
    </row>
    <row r="310" spans="1:7">
      <c r="A310" s="3218" t="s">
        <v>1156</v>
      </c>
      <c r="B310" s="3207" t="s">
        <v>2956</v>
      </c>
      <c r="C310" s="3208">
        <v>0.15</v>
      </c>
      <c r="D310" s="3208">
        <v>0.15</v>
      </c>
      <c r="E310" s="3208">
        <v>0.15</v>
      </c>
      <c r="F310" s="3208">
        <v>0.15</v>
      </c>
      <c r="G310" s="3209">
        <v>0.15</v>
      </c>
    </row>
    <row r="311" spans="1:7">
      <c r="A311" s="3218" t="s">
        <v>1156</v>
      </c>
      <c r="B311" s="3207" t="s">
        <v>3128</v>
      </c>
      <c r="C311" s="3208">
        <v>0.13200000000000001</v>
      </c>
      <c r="D311" s="3208">
        <v>0.13300000000000001</v>
      </c>
      <c r="E311" s="3208">
        <v>0.14499999999999999</v>
      </c>
      <c r="F311" s="3208">
        <v>0.14199999999999999</v>
      </c>
      <c r="G311" s="3209">
        <v>0.14000000000000001</v>
      </c>
    </row>
    <row r="312" spans="1:7">
      <c r="A312" s="3218" t="s">
        <v>1156</v>
      </c>
      <c r="B312" s="3207" t="s">
        <v>2958</v>
      </c>
      <c r="C312" s="3208">
        <v>0.13800000000000001</v>
      </c>
      <c r="D312" s="3208">
        <v>0.14000000000000001</v>
      </c>
      <c r="E312" s="3208">
        <v>0.14599999999999999</v>
      </c>
      <c r="F312" s="3208">
        <v>0.14899999999999999</v>
      </c>
      <c r="G312" s="3209">
        <v>0.14199999999999999</v>
      </c>
    </row>
    <row r="313" spans="1:7">
      <c r="A313" s="3218" t="s">
        <v>1156</v>
      </c>
      <c r="B313" s="3207" t="s">
        <v>2959</v>
      </c>
      <c r="C313" s="3208">
        <v>0.125</v>
      </c>
      <c r="D313" s="3208">
        <v>0.127</v>
      </c>
      <c r="E313" s="3208">
        <v>0.14399999999999999</v>
      </c>
      <c r="F313" s="3208">
        <v>0.115</v>
      </c>
      <c r="G313" s="3209">
        <v>0.13600000000000001</v>
      </c>
    </row>
    <row r="314" spans="1:7">
      <c r="A314" s="3218" t="s">
        <v>1156</v>
      </c>
      <c r="B314" s="3207" t="s">
        <v>3129</v>
      </c>
      <c r="C314" s="3224"/>
      <c r="D314" s="3224"/>
      <c r="E314" s="3224"/>
      <c r="F314" s="3208">
        <v>0.05</v>
      </c>
      <c r="G314" s="3225"/>
    </row>
    <row r="315" spans="1:7">
      <c r="A315" s="3218" t="s">
        <v>1156</v>
      </c>
      <c r="B315" s="3207" t="s">
        <v>3130</v>
      </c>
      <c r="C315" s="3224"/>
      <c r="D315" s="3224"/>
      <c r="E315" s="3224"/>
      <c r="F315" s="3208">
        <v>0.05</v>
      </c>
      <c r="G315" s="3225"/>
    </row>
    <row r="316" spans="1:7">
      <c r="A316" s="3218" t="s">
        <v>1156</v>
      </c>
      <c r="B316" s="3207" t="s">
        <v>3131</v>
      </c>
      <c r="C316" s="3219"/>
      <c r="D316" s="3219"/>
      <c r="E316" s="3219"/>
      <c r="F316" s="3208">
        <v>0.05</v>
      </c>
      <c r="G316" s="3225"/>
    </row>
    <row r="317" spans="1:7">
      <c r="A317" s="3218" t="s">
        <v>1156</v>
      </c>
      <c r="B317" s="3207" t="s">
        <v>3132</v>
      </c>
      <c r="C317" s="3219"/>
      <c r="D317" s="3219"/>
      <c r="E317" s="3219"/>
      <c r="F317" s="3208">
        <v>0.05</v>
      </c>
      <c r="G317" s="3225"/>
    </row>
    <row r="318" spans="1:7">
      <c r="A318" s="3218" t="s">
        <v>1156</v>
      </c>
      <c r="B318" s="3207" t="s">
        <v>3133</v>
      </c>
      <c r="C318" s="3219"/>
      <c r="D318" s="3219"/>
      <c r="E318" s="3219"/>
      <c r="F318" s="3208">
        <v>0.05</v>
      </c>
      <c r="G318" s="3225"/>
    </row>
    <row r="319" spans="1:7">
      <c r="A319" s="3218" t="s">
        <v>1156</v>
      </c>
      <c r="B319" s="3207" t="s">
        <v>3134</v>
      </c>
      <c r="C319" s="3219"/>
      <c r="D319" s="3219"/>
      <c r="E319" s="3219"/>
      <c r="F319" s="3208">
        <v>0.05</v>
      </c>
      <c r="G319" s="3225"/>
    </row>
    <row r="320" spans="1:7">
      <c r="A320" s="3218" t="s">
        <v>1156</v>
      </c>
      <c r="B320" s="3207" t="s">
        <v>3135</v>
      </c>
      <c r="C320" s="3219"/>
      <c r="D320" s="3219"/>
      <c r="E320" s="3219"/>
      <c r="F320" s="3208">
        <v>0.05</v>
      </c>
      <c r="G320" s="3225"/>
    </row>
    <row r="321" spans="1:7">
      <c r="A321" s="3218" t="s">
        <v>1156</v>
      </c>
      <c r="B321" s="3207" t="s">
        <v>3136</v>
      </c>
      <c r="C321" s="3219"/>
      <c r="D321" s="3219"/>
      <c r="E321" s="3219"/>
      <c r="F321" s="3208">
        <v>0.05</v>
      </c>
      <c r="G321" s="3225"/>
    </row>
    <row r="322" spans="1:7">
      <c r="A322" s="3218" t="s">
        <v>1156</v>
      </c>
      <c r="B322" s="3207" t="s">
        <v>3137</v>
      </c>
      <c r="C322" s="3219"/>
      <c r="D322" s="3219"/>
      <c r="E322" s="3219"/>
      <c r="F322" s="3208">
        <v>0.05</v>
      </c>
      <c r="G322" s="3225"/>
    </row>
    <row r="323" spans="1:7">
      <c r="A323" s="3218" t="s">
        <v>1156</v>
      </c>
      <c r="B323" s="3207" t="s">
        <v>3138</v>
      </c>
      <c r="C323" s="3219"/>
      <c r="D323" s="3219"/>
      <c r="E323" s="3219"/>
      <c r="F323" s="3208">
        <v>0.05</v>
      </c>
      <c r="G323" s="3225"/>
    </row>
    <row r="324" spans="1:7">
      <c r="A324" s="3218" t="s">
        <v>1156</v>
      </c>
      <c r="B324" s="3207" t="s">
        <v>3139</v>
      </c>
      <c r="C324" s="3219"/>
      <c r="D324" s="3219"/>
      <c r="E324" s="3219"/>
      <c r="F324" s="3208">
        <v>0.05</v>
      </c>
      <c r="G324" s="3225"/>
    </row>
    <row r="325" spans="1:7">
      <c r="A325" s="3218" t="s">
        <v>1156</v>
      </c>
      <c r="B325" s="3207" t="s">
        <v>3140</v>
      </c>
      <c r="C325" s="3219"/>
      <c r="D325" s="3219"/>
      <c r="E325" s="3219"/>
      <c r="F325" s="3208">
        <v>0.05</v>
      </c>
      <c r="G325" s="3225"/>
    </row>
    <row r="326" spans="1:7" ht="14.25" thickBot="1">
      <c r="A326" s="3221" t="s">
        <v>1156</v>
      </c>
      <c r="B326" s="3211" t="s">
        <v>3141</v>
      </c>
      <c r="C326" s="3213"/>
      <c r="D326" s="3213"/>
      <c r="E326" s="3213"/>
      <c r="F326" s="3212">
        <v>0.05</v>
      </c>
      <c r="G326" s="3226"/>
    </row>
    <row r="327" spans="1:7">
      <c r="A327" s="3217" t="s">
        <v>1157</v>
      </c>
      <c r="B327" s="3203" t="s">
        <v>3142</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3143</v>
      </c>
      <c r="C329" s="3208">
        <v>0.15</v>
      </c>
      <c r="D329" s="3208">
        <v>0.15</v>
      </c>
      <c r="E329" s="3208">
        <v>0.15</v>
      </c>
      <c r="F329" s="3208">
        <v>0.15</v>
      </c>
      <c r="G329" s="3209">
        <v>0.15</v>
      </c>
    </row>
    <row r="330" spans="1:7">
      <c r="A330" s="3218" t="s">
        <v>1157</v>
      </c>
      <c r="B330" s="3207" t="s">
        <v>3144</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2976</v>
      </c>
      <c r="C332" s="3208">
        <v>0.15</v>
      </c>
      <c r="D332" s="3208">
        <v>0.15</v>
      </c>
      <c r="E332" s="3208">
        <v>0.15</v>
      </c>
      <c r="F332" s="3208">
        <v>0.15</v>
      </c>
      <c r="G332" s="3209">
        <v>0.15</v>
      </c>
    </row>
    <row r="333" spans="1:7">
      <c r="A333" s="3218" t="s">
        <v>1157</v>
      </c>
      <c r="B333" s="3207" t="s">
        <v>3145</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2978</v>
      </c>
      <c r="C336" s="3208">
        <v>0.15</v>
      </c>
      <c r="D336" s="3208">
        <v>0.15</v>
      </c>
      <c r="E336" s="3208">
        <v>0.15</v>
      </c>
      <c r="F336" s="3208">
        <v>0.14199999999999999</v>
      </c>
      <c r="G336" s="3209">
        <v>0.15</v>
      </c>
    </row>
    <row r="337" spans="1:7">
      <c r="A337" s="3218" t="s">
        <v>1157</v>
      </c>
      <c r="B337" s="3207" t="s">
        <v>3146</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3147</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3148</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2982</v>
      </c>
      <c r="C345" s="3208">
        <v>0.15</v>
      </c>
      <c r="D345" s="3208">
        <v>0.15</v>
      </c>
      <c r="E345" s="3208">
        <v>0.15</v>
      </c>
      <c r="F345" s="3208">
        <v>0.13800000000000001</v>
      </c>
      <c r="G345" s="3209">
        <v>0.15</v>
      </c>
    </row>
    <row r="346" spans="1:7">
      <c r="A346" s="3218" t="s">
        <v>1157</v>
      </c>
      <c r="B346" s="3207" t="s">
        <v>3149</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2984</v>
      </c>
      <c r="C348" s="3208">
        <v>0.15</v>
      </c>
      <c r="D348" s="3208">
        <v>0.15</v>
      </c>
      <c r="E348" s="3208">
        <v>0.15</v>
      </c>
      <c r="F348" s="3208">
        <v>0.14399999999999999</v>
      </c>
      <c r="G348" s="3209">
        <v>0.15</v>
      </c>
    </row>
    <row r="349" spans="1:7">
      <c r="A349" s="3218" t="s">
        <v>1157</v>
      </c>
      <c r="B349" s="3207" t="s">
        <v>2985</v>
      </c>
      <c r="C349" s="3208">
        <v>0.15</v>
      </c>
      <c r="D349" s="3208">
        <v>0.15</v>
      </c>
      <c r="E349" s="3208">
        <v>0.15</v>
      </c>
      <c r="F349" s="3208">
        <v>0.15</v>
      </c>
      <c r="G349" s="3209">
        <v>0.15</v>
      </c>
    </row>
    <row r="350" spans="1:7">
      <c r="A350" s="3218" t="s">
        <v>1157</v>
      </c>
      <c r="B350" s="3207" t="s">
        <v>3150</v>
      </c>
      <c r="C350" s="3208">
        <v>0.15</v>
      </c>
      <c r="D350" s="3208">
        <v>0.15</v>
      </c>
      <c r="E350" s="3208">
        <v>0.15</v>
      </c>
      <c r="F350" s="3208">
        <v>0.14699999999999999</v>
      </c>
      <c r="G350" s="3209">
        <v>0.15</v>
      </c>
    </row>
    <row r="351" spans="1:7">
      <c r="A351" s="3218" t="s">
        <v>1157</v>
      </c>
      <c r="B351" s="3207" t="s">
        <v>2987</v>
      </c>
      <c r="C351" s="3208">
        <v>0.15</v>
      </c>
      <c r="D351" s="3208">
        <v>0.15</v>
      </c>
      <c r="E351" s="3208">
        <v>0.15</v>
      </c>
      <c r="F351" s="3208">
        <v>0.13</v>
      </c>
      <c r="G351" s="3209">
        <v>0.15</v>
      </c>
    </row>
    <row r="352" spans="1:7">
      <c r="A352" s="3218" t="s">
        <v>1157</v>
      </c>
      <c r="B352" s="3207" t="s">
        <v>2988</v>
      </c>
      <c r="C352" s="3208">
        <v>0.15</v>
      </c>
      <c r="D352" s="3208">
        <v>0.15</v>
      </c>
      <c r="E352" s="3208">
        <v>0.15</v>
      </c>
      <c r="F352" s="3208">
        <v>0.14599999999999999</v>
      </c>
      <c r="G352" s="3209">
        <v>0.15</v>
      </c>
    </row>
    <row r="353" spans="1:7">
      <c r="A353" s="3218" t="s">
        <v>1157</v>
      </c>
      <c r="B353" s="3207" t="s">
        <v>3151</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2990</v>
      </c>
      <c r="C355" s="3208">
        <v>0.15</v>
      </c>
      <c r="D355" s="3208">
        <v>0.15</v>
      </c>
      <c r="E355" s="3208">
        <v>0.15</v>
      </c>
      <c r="F355" s="3208">
        <v>0.15</v>
      </c>
      <c r="G355" s="3209">
        <v>0.15</v>
      </c>
    </row>
    <row r="356" spans="1:7">
      <c r="A356" s="3218" t="s">
        <v>1157</v>
      </c>
      <c r="B356" s="3207" t="s">
        <v>2991</v>
      </c>
      <c r="C356" s="3208">
        <v>0.15</v>
      </c>
      <c r="D356" s="3208">
        <v>0.15</v>
      </c>
      <c r="E356" s="3208">
        <v>0.15</v>
      </c>
      <c r="F356" s="3208">
        <v>0.15</v>
      </c>
      <c r="G356" s="3209">
        <v>0.15</v>
      </c>
    </row>
    <row r="357" spans="1:7" ht="14.25" thickBot="1">
      <c r="A357" s="3221" t="s">
        <v>1157</v>
      </c>
      <c r="B357" s="3211" t="s">
        <v>3152</v>
      </c>
      <c r="C357" s="3212">
        <v>0.126</v>
      </c>
      <c r="D357" s="3212">
        <v>0.127</v>
      </c>
      <c r="E357" s="3212">
        <v>0.14299999999999999</v>
      </c>
      <c r="F357" s="3212">
        <v>0.125</v>
      </c>
      <c r="G357" s="3214">
        <v>0.129</v>
      </c>
    </row>
    <row r="358" spans="1:7">
      <c r="A358" s="3217" t="s">
        <v>3153</v>
      </c>
      <c r="B358" s="3203" t="s">
        <v>3154</v>
      </c>
      <c r="C358" s="3204">
        <v>0.15</v>
      </c>
      <c r="D358" s="3204">
        <v>0.15</v>
      </c>
      <c r="E358" s="3204">
        <v>0.15</v>
      </c>
      <c r="F358" s="3204">
        <v>0.15</v>
      </c>
      <c r="G358" s="3205">
        <v>0.15</v>
      </c>
    </row>
    <row r="359" spans="1:7">
      <c r="A359" s="3218" t="s">
        <v>3153</v>
      </c>
      <c r="B359" s="3207" t="s">
        <v>3155</v>
      </c>
      <c r="C359" s="3208">
        <v>0.1</v>
      </c>
      <c r="D359" s="3208">
        <v>0.1</v>
      </c>
      <c r="E359" s="3208">
        <v>0.1</v>
      </c>
      <c r="F359" s="3208">
        <v>0.1</v>
      </c>
      <c r="G359" s="3209">
        <v>0.1</v>
      </c>
    </row>
    <row r="360" spans="1:7">
      <c r="A360" s="3218" t="s">
        <v>3153</v>
      </c>
      <c r="B360" s="3207" t="s">
        <v>3156</v>
      </c>
      <c r="C360" s="3208">
        <v>0.15</v>
      </c>
      <c r="D360" s="3208">
        <v>0.15</v>
      </c>
      <c r="E360" s="3208">
        <v>0.15</v>
      </c>
      <c r="F360" s="3208">
        <v>0.14899999999999999</v>
      </c>
      <c r="G360" s="3209">
        <v>0.15</v>
      </c>
    </row>
    <row r="361" spans="1:7">
      <c r="A361" s="3218" t="s">
        <v>3153</v>
      </c>
      <c r="B361" s="3207" t="s">
        <v>999</v>
      </c>
      <c r="C361" s="3208">
        <v>0.15</v>
      </c>
      <c r="D361" s="3208">
        <v>0.15</v>
      </c>
      <c r="E361" s="3208">
        <v>0.15</v>
      </c>
      <c r="F361" s="3208">
        <v>0.115</v>
      </c>
      <c r="G361" s="3209">
        <v>0.15</v>
      </c>
    </row>
    <row r="362" spans="1:7">
      <c r="A362" s="3218" t="s">
        <v>3153</v>
      </c>
      <c r="B362" s="3207" t="s">
        <v>3157</v>
      </c>
      <c r="C362" s="3208">
        <v>0.15</v>
      </c>
      <c r="D362" s="3208">
        <v>0.15</v>
      </c>
      <c r="E362" s="3208">
        <v>0.15</v>
      </c>
      <c r="F362" s="3208">
        <v>0.106</v>
      </c>
      <c r="G362" s="3209">
        <v>0.15</v>
      </c>
    </row>
    <row r="363" spans="1:7">
      <c r="A363" s="3218" t="s">
        <v>3153</v>
      </c>
      <c r="B363" s="3207" t="s">
        <v>2997</v>
      </c>
      <c r="C363" s="3208">
        <v>0.15</v>
      </c>
      <c r="D363" s="3208">
        <v>0.15</v>
      </c>
      <c r="E363" s="3208">
        <v>0.15</v>
      </c>
      <c r="F363" s="3208">
        <v>0.14699999999999999</v>
      </c>
      <c r="G363" s="3209">
        <v>0.15</v>
      </c>
    </row>
    <row r="364" spans="1:7">
      <c r="A364" s="3218" t="s">
        <v>3153</v>
      </c>
      <c r="B364" s="3207" t="s">
        <v>3158</v>
      </c>
      <c r="C364" s="3208">
        <v>0.15</v>
      </c>
      <c r="D364" s="3208">
        <v>0.15</v>
      </c>
      <c r="E364" s="3208">
        <v>0.15</v>
      </c>
      <c r="F364" s="3208">
        <v>0.14799999999999999</v>
      </c>
      <c r="G364" s="3209">
        <v>0.15</v>
      </c>
    </row>
    <row r="365" spans="1:7">
      <c r="A365" s="3218" t="s">
        <v>3153</v>
      </c>
      <c r="B365" s="3207" t="s">
        <v>1047</v>
      </c>
      <c r="C365" s="3208">
        <v>0.15</v>
      </c>
      <c r="D365" s="3208">
        <v>0.15</v>
      </c>
      <c r="E365" s="3208">
        <v>0.15</v>
      </c>
      <c r="F365" s="3208">
        <v>0.15</v>
      </c>
      <c r="G365" s="3209">
        <v>0.15</v>
      </c>
    </row>
    <row r="366" spans="1:7">
      <c r="A366" s="3218" t="s">
        <v>3153</v>
      </c>
      <c r="B366" s="3207" t="s">
        <v>2999</v>
      </c>
      <c r="C366" s="3208">
        <v>0.15</v>
      </c>
      <c r="D366" s="3208">
        <v>0.15</v>
      </c>
      <c r="E366" s="3208">
        <v>0.15</v>
      </c>
      <c r="F366" s="3208">
        <v>0.15</v>
      </c>
      <c r="G366" s="3209">
        <v>0.15</v>
      </c>
    </row>
    <row r="367" spans="1:7">
      <c r="A367" s="3218" t="s">
        <v>3153</v>
      </c>
      <c r="B367" s="3207" t="s">
        <v>3159</v>
      </c>
      <c r="C367" s="3208">
        <v>0.15</v>
      </c>
      <c r="D367" s="3208">
        <v>0.15</v>
      </c>
      <c r="E367" s="3208">
        <v>0.15</v>
      </c>
      <c r="F367" s="3208">
        <v>0.14699999999999999</v>
      </c>
      <c r="G367" s="3209">
        <v>0.15</v>
      </c>
    </row>
    <row r="368" spans="1:7">
      <c r="A368" s="3218" t="s">
        <v>3153</v>
      </c>
      <c r="B368" s="3207" t="s">
        <v>3160</v>
      </c>
      <c r="C368" s="3208">
        <v>0.15</v>
      </c>
      <c r="D368" s="3208">
        <v>0.15</v>
      </c>
      <c r="E368" s="3208">
        <v>0.15</v>
      </c>
      <c r="F368" s="3208">
        <v>0.13600000000000001</v>
      </c>
      <c r="G368" s="3209">
        <v>0.15</v>
      </c>
    </row>
    <row r="369" spans="1:7">
      <c r="A369" s="3218" t="s">
        <v>3153</v>
      </c>
      <c r="B369" s="3207" t="s">
        <v>1061</v>
      </c>
      <c r="C369" s="3208">
        <v>0.15</v>
      </c>
      <c r="D369" s="3208">
        <v>0.15</v>
      </c>
      <c r="E369" s="3208">
        <v>0.15</v>
      </c>
      <c r="F369" s="3208">
        <v>0.14399999999999999</v>
      </c>
      <c r="G369" s="3209">
        <v>0.15</v>
      </c>
    </row>
    <row r="370" spans="1:7">
      <c r="A370" s="3218" t="s">
        <v>3153</v>
      </c>
      <c r="B370" s="3207" t="s">
        <v>1069</v>
      </c>
      <c r="C370" s="3208">
        <v>0.15</v>
      </c>
      <c r="D370" s="3208">
        <v>0.15</v>
      </c>
      <c r="E370" s="3208">
        <v>0.15</v>
      </c>
      <c r="F370" s="3208">
        <v>0.14599999999999999</v>
      </c>
      <c r="G370" s="3209">
        <v>0.15</v>
      </c>
    </row>
    <row r="371" spans="1:7">
      <c r="A371" s="3218" t="s">
        <v>3153</v>
      </c>
      <c r="B371" s="3207" t="s">
        <v>1077</v>
      </c>
      <c r="C371" s="3208">
        <v>0.15</v>
      </c>
      <c r="D371" s="3208">
        <v>0.15</v>
      </c>
      <c r="E371" s="3208">
        <v>0.15</v>
      </c>
      <c r="F371" s="3208">
        <v>0.12</v>
      </c>
      <c r="G371" s="3209">
        <v>0.15</v>
      </c>
    </row>
    <row r="372" spans="1:7">
      <c r="A372" s="3218" t="s">
        <v>3153</v>
      </c>
      <c r="B372" s="3207" t="s">
        <v>3161</v>
      </c>
      <c r="C372" s="3208">
        <v>0.15</v>
      </c>
      <c r="D372" s="3208">
        <v>0.15</v>
      </c>
      <c r="E372" s="3208">
        <v>0.15</v>
      </c>
      <c r="F372" s="3208">
        <v>0.14299999999999999</v>
      </c>
      <c r="G372" s="3209">
        <v>0.15</v>
      </c>
    </row>
    <row r="373" spans="1:7">
      <c r="A373" s="3218" t="s">
        <v>3153</v>
      </c>
      <c r="B373" s="3207" t="s">
        <v>1106</v>
      </c>
      <c r="C373" s="3208">
        <v>0.15</v>
      </c>
      <c r="D373" s="3208">
        <v>0.15</v>
      </c>
      <c r="E373" s="3208">
        <v>0.15</v>
      </c>
      <c r="F373" s="3208">
        <v>0.14599999999999999</v>
      </c>
      <c r="G373" s="3209">
        <v>0.15</v>
      </c>
    </row>
    <row r="374" spans="1:7">
      <c r="A374" s="3218" t="s">
        <v>3153</v>
      </c>
      <c r="B374" s="3207" t="s">
        <v>1114</v>
      </c>
      <c r="C374" s="3208">
        <v>0.15</v>
      </c>
      <c r="D374" s="3208">
        <v>0.15</v>
      </c>
      <c r="E374" s="3208">
        <v>0.15</v>
      </c>
      <c r="F374" s="3208">
        <v>0.14399999999999999</v>
      </c>
      <c r="G374" s="3209">
        <v>0.15</v>
      </c>
    </row>
    <row r="375" spans="1:7">
      <c r="A375" s="3218" t="s">
        <v>3153</v>
      </c>
      <c r="B375" s="3207" t="s">
        <v>3162</v>
      </c>
      <c r="C375" s="3208">
        <v>0.15</v>
      </c>
      <c r="D375" s="3208">
        <v>0.15</v>
      </c>
      <c r="E375" s="3208">
        <v>0.15</v>
      </c>
      <c r="F375" s="3208">
        <v>0.13</v>
      </c>
      <c r="G375" s="3209">
        <v>0.15</v>
      </c>
    </row>
    <row r="376" spans="1:7">
      <c r="A376" s="3218" t="s">
        <v>3153</v>
      </c>
      <c r="B376" s="3207" t="s">
        <v>1126</v>
      </c>
      <c r="C376" s="3208">
        <v>0.15</v>
      </c>
      <c r="D376" s="3208">
        <v>0.15</v>
      </c>
      <c r="E376" s="3208">
        <v>0.15</v>
      </c>
      <c r="F376" s="3208">
        <v>0.14199999999999999</v>
      </c>
      <c r="G376" s="3209">
        <v>0.15</v>
      </c>
    </row>
    <row r="377" spans="1:7" ht="14.25" thickBot="1">
      <c r="A377" s="3221" t="s">
        <v>3153</v>
      </c>
      <c r="B377" s="3211" t="s">
        <v>3004</v>
      </c>
      <c r="C377" s="3212">
        <v>0.15</v>
      </c>
      <c r="D377" s="3212">
        <v>0.15</v>
      </c>
      <c r="E377" s="3212">
        <v>0.15</v>
      </c>
      <c r="F377" s="3212">
        <v>0.14000000000000001</v>
      </c>
      <c r="G377" s="3214">
        <v>0.15</v>
      </c>
    </row>
    <row r="378" spans="1:7">
      <c r="A378" s="3217" t="s">
        <v>3163</v>
      </c>
      <c r="B378" s="3203" t="s">
        <v>3164</v>
      </c>
      <c r="C378" s="3204">
        <v>0.15</v>
      </c>
      <c r="D378" s="3204">
        <v>0.15</v>
      </c>
      <c r="E378" s="3204">
        <v>0.15</v>
      </c>
      <c r="F378" s="3204">
        <v>0.107</v>
      </c>
      <c r="G378" s="3205">
        <v>0.15</v>
      </c>
    </row>
    <row r="379" spans="1:7">
      <c r="A379" s="3218" t="s">
        <v>3163</v>
      </c>
      <c r="B379" s="3207" t="s">
        <v>3165</v>
      </c>
      <c r="C379" s="3208">
        <v>0.15</v>
      </c>
      <c r="D379" s="3208">
        <v>0.15</v>
      </c>
      <c r="E379" s="3208">
        <v>0.15</v>
      </c>
      <c r="F379" s="3208">
        <v>0.115</v>
      </c>
      <c r="G379" s="3209">
        <v>0.14899999999999999</v>
      </c>
    </row>
    <row r="380" spans="1:7">
      <c r="A380" s="3218" t="s">
        <v>3166</v>
      </c>
      <c r="B380" s="3207" t="s">
        <v>3167</v>
      </c>
      <c r="C380" s="3208">
        <v>0.15</v>
      </c>
      <c r="D380" s="3208">
        <v>0.15</v>
      </c>
      <c r="E380" s="3208">
        <v>0.15</v>
      </c>
      <c r="F380" s="3208">
        <v>0.1</v>
      </c>
      <c r="G380" s="3209">
        <v>0.14799999999999999</v>
      </c>
    </row>
    <row r="381" spans="1:7">
      <c r="A381" s="3218" t="s">
        <v>3166</v>
      </c>
      <c r="B381" s="3207" t="s">
        <v>3168</v>
      </c>
      <c r="C381" s="3208">
        <v>0.15</v>
      </c>
      <c r="D381" s="3208">
        <v>0.15</v>
      </c>
      <c r="E381" s="3208">
        <v>0.15</v>
      </c>
      <c r="F381" s="3208">
        <v>0.126</v>
      </c>
      <c r="G381" s="3209">
        <v>0.15</v>
      </c>
    </row>
    <row r="382" spans="1:7">
      <c r="A382" s="3218" t="s">
        <v>3166</v>
      </c>
      <c r="B382" s="3207" t="s">
        <v>3169</v>
      </c>
      <c r="C382" s="3208">
        <v>0.15</v>
      </c>
      <c r="D382" s="3208">
        <v>0.15</v>
      </c>
      <c r="E382" s="3208">
        <v>0.15</v>
      </c>
      <c r="F382" s="3208">
        <v>0.15</v>
      </c>
      <c r="G382" s="3209">
        <v>0.15</v>
      </c>
    </row>
    <row r="383" spans="1:7">
      <c r="A383" s="3218" t="s">
        <v>3166</v>
      </c>
      <c r="B383" s="3207" t="s">
        <v>3170</v>
      </c>
      <c r="C383" s="3208">
        <v>0.15</v>
      </c>
      <c r="D383" s="3208">
        <v>0.15</v>
      </c>
      <c r="E383" s="3208">
        <v>0.15</v>
      </c>
      <c r="F383" s="3208">
        <v>0.14699999999999999</v>
      </c>
      <c r="G383" s="3209">
        <v>0.15</v>
      </c>
    </row>
    <row r="384" spans="1:7" ht="14.25" thickBot="1">
      <c r="A384" s="3228" t="s">
        <v>3166</v>
      </c>
      <c r="B384" s="3229" t="s">
        <v>3171</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726" t="s">
        <v>1858</v>
      </c>
      <c r="C1" s="3726"/>
      <c r="D1" s="3726"/>
      <c r="E1" s="3726"/>
      <c r="F1" s="3726"/>
      <c r="G1" s="3725" t="s">
        <v>1859</v>
      </c>
      <c r="H1" s="3725"/>
      <c r="I1" s="3725"/>
      <c r="J1" s="3725"/>
      <c r="K1" s="3725"/>
      <c r="L1" s="3725"/>
      <c r="N1" s="3725" t="s">
        <v>1860</v>
      </c>
      <c r="O1" s="3725"/>
      <c r="P1" s="3725"/>
      <c r="Q1" s="3725"/>
      <c r="S1" s="3725" t="s">
        <v>1861</v>
      </c>
      <c r="T1" s="3725"/>
      <c r="U1" s="3725"/>
      <c r="V1" s="3725"/>
      <c r="X1" s="3724" t="s">
        <v>1921</v>
      </c>
      <c r="Y1" s="3725"/>
      <c r="Z1" s="3725"/>
      <c r="AA1" s="3725"/>
      <c r="AB1" s="3725"/>
      <c r="AD1" s="3724" t="s">
        <v>1925</v>
      </c>
      <c r="AE1" s="3725"/>
      <c r="AF1" s="3725"/>
      <c r="AG1" s="3725"/>
      <c r="AH1" s="3725"/>
    </row>
    <row r="2" spans="1:34" s="2424" customFormat="1" ht="14.25" thickBot="1">
      <c r="B2" s="2425" t="s">
        <v>1862</v>
      </c>
      <c r="C2" s="2425" t="s">
        <v>1923</v>
      </c>
      <c r="D2" s="2426" t="s">
        <v>1179</v>
      </c>
      <c r="E2" s="2426" t="s">
        <v>1469</v>
      </c>
      <c r="F2" s="2425" t="s">
        <v>1924</v>
      </c>
      <c r="G2" s="2427"/>
      <c r="I2" s="2425" t="s">
        <v>2206</v>
      </c>
      <c r="J2" s="2426" t="s">
        <v>2208</v>
      </c>
      <c r="K2" s="2426" t="s">
        <v>2209</v>
      </c>
      <c r="L2" s="2425" t="s">
        <v>2210</v>
      </c>
      <c r="N2" s="2425" t="s">
        <v>1862</v>
      </c>
      <c r="O2" s="2426" t="s">
        <v>2207</v>
      </c>
      <c r="P2" s="2426" t="s">
        <v>1469</v>
      </c>
      <c r="Q2" s="2425" t="s">
        <v>1924</v>
      </c>
      <c r="S2" s="2425" t="s">
        <v>1862</v>
      </c>
      <c r="T2" s="2426" t="s">
        <v>2207</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25">
      <c r="A3" s="2428" t="s">
        <v>2217</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2434</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2433</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2432</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2431</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2430</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2279</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2278</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2277</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2276</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2273</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2272</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2242</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2240</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2238</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2237</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2235</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2234</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2233</v>
      </c>
      <c r="B22" s="2455">
        <f t="shared" si="11"/>
        <v>464.37293017158942</v>
      </c>
      <c r="C22" s="2455">
        <f t="shared" si="12"/>
        <v>344.73679941385956</v>
      </c>
      <c r="D22" s="2455">
        <f t="shared" si="2"/>
        <v>344.73679941385956</v>
      </c>
      <c r="E22" s="2455">
        <f t="shared" si="3"/>
        <v>663.2377795103107</v>
      </c>
      <c r="F22" s="2456">
        <f t="shared" si="4"/>
        <v>304.75936311478398</v>
      </c>
      <c r="G22" s="3728">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2226</v>
      </c>
      <c r="B23" s="2445">
        <f t="shared" si="11"/>
        <v>459.95733971036987</v>
      </c>
      <c r="C23" s="2445">
        <f t="shared" si="12"/>
        <v>341.22221064422405</v>
      </c>
      <c r="D23" s="2445">
        <f t="shared" si="2"/>
        <v>341.22221064422405</v>
      </c>
      <c r="E23" s="2445">
        <f t="shared" si="3"/>
        <v>657.19161663724799</v>
      </c>
      <c r="F23" s="2445">
        <f t="shared" si="4"/>
        <v>300.87803644464805</v>
      </c>
      <c r="G23" s="3728"/>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2227</v>
      </c>
      <c r="B24" s="2445">
        <f t="shared" si="11"/>
        <v>453.11529869999993</v>
      </c>
      <c r="C24" s="2445">
        <f t="shared" si="12"/>
        <v>336.47787264000004</v>
      </c>
      <c r="D24" s="2445">
        <f t="shared" si="2"/>
        <v>336.47787264000004</v>
      </c>
      <c r="E24" s="2445">
        <f t="shared" si="3"/>
        <v>647.35186823999993</v>
      </c>
      <c r="F24" s="2445">
        <f t="shared" si="4"/>
        <v>295.73229452000004</v>
      </c>
      <c r="G24" s="3728"/>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2223</v>
      </c>
      <c r="B25" s="2445">
        <f t="shared" si="11"/>
        <v>446.46299999999997</v>
      </c>
      <c r="C25" s="2445">
        <f t="shared" si="12"/>
        <v>333.27840000000003</v>
      </c>
      <c r="D25" s="2445">
        <f t="shared" ref="D25:D30" si="13">C25</f>
        <v>333.27840000000003</v>
      </c>
      <c r="E25" s="2445">
        <f t="shared" si="3"/>
        <v>637.28279999999995</v>
      </c>
      <c r="F25" s="2445">
        <f t="shared" si="4"/>
        <v>288.68830000000003</v>
      </c>
      <c r="G25" s="3734"/>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2216</v>
      </c>
      <c r="B26" s="2455">
        <v>439</v>
      </c>
      <c r="C26" s="2455">
        <v>327</v>
      </c>
      <c r="D26" s="2455">
        <f t="shared" si="13"/>
        <v>327</v>
      </c>
      <c r="E26" s="2455">
        <v>627</v>
      </c>
      <c r="F26" s="2456">
        <v>283</v>
      </c>
      <c r="G26" s="3733">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2218</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728"/>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728"/>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734"/>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733">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728"/>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728"/>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729"/>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892</v>
      </c>
      <c r="B34" s="2463">
        <v>333</v>
      </c>
      <c r="C34" s="2463">
        <v>277</v>
      </c>
      <c r="D34" s="2463">
        <f t="shared" si="20"/>
        <v>277</v>
      </c>
      <c r="E34" s="2463">
        <v>459</v>
      </c>
      <c r="F34" s="2464">
        <v>249</v>
      </c>
      <c r="G34" s="3727">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728"/>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728"/>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729"/>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888</v>
      </c>
      <c r="B38" s="2470">
        <v>318</v>
      </c>
      <c r="C38" s="2470">
        <v>268</v>
      </c>
      <c r="D38" s="2470">
        <f t="shared" si="20"/>
        <v>268</v>
      </c>
      <c r="E38" s="2470">
        <v>437</v>
      </c>
      <c r="F38" s="2471">
        <v>237</v>
      </c>
      <c r="G38" s="3727">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728"/>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728"/>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729"/>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1865</v>
      </c>
      <c r="B42" s="2463">
        <v>299</v>
      </c>
      <c r="C42" s="2463">
        <v>252</v>
      </c>
      <c r="D42" s="2463">
        <f t="shared" si="20"/>
        <v>252</v>
      </c>
      <c r="E42" s="2463">
        <v>409</v>
      </c>
      <c r="F42" s="2464">
        <v>227</v>
      </c>
      <c r="G42" s="3730">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731"/>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731"/>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732"/>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1869</v>
      </c>
      <c r="B46" s="2489">
        <v>278</v>
      </c>
      <c r="C46" s="2489">
        <v>234</v>
      </c>
      <c r="D46" s="2489">
        <f t="shared" si="20"/>
        <v>234</v>
      </c>
      <c r="E46" s="2489">
        <v>379</v>
      </c>
      <c r="F46" s="2490">
        <v>220</v>
      </c>
      <c r="G46" s="3727">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728"/>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728"/>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1872</v>
      </c>
      <c r="B49" s="2445">
        <f>B48/(1+N48)</f>
        <v>275.19025476197027</v>
      </c>
      <c r="C49" s="2491">
        <v>232</v>
      </c>
      <c r="D49" s="2491">
        <f t="shared" si="20"/>
        <v>232</v>
      </c>
      <c r="E49" s="2445">
        <f t="shared" si="29"/>
        <v>375.65990977608692</v>
      </c>
      <c r="F49" s="2445">
        <f t="shared" si="29"/>
        <v>214.12518283971252</v>
      </c>
      <c r="G49" s="3729"/>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1873</v>
      </c>
      <c r="B50" s="2463">
        <v>275</v>
      </c>
      <c r="C50" s="2463">
        <v>232</v>
      </c>
      <c r="D50" s="2463">
        <f t="shared" si="20"/>
        <v>232</v>
      </c>
      <c r="E50" s="2463">
        <v>376</v>
      </c>
      <c r="F50" s="2464">
        <v>213</v>
      </c>
      <c r="G50" s="3727">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728">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728">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729">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1877</v>
      </c>
      <c r="B54" s="2463">
        <v>269</v>
      </c>
      <c r="C54" s="2463">
        <v>221</v>
      </c>
      <c r="D54" s="2463">
        <f t="shared" si="20"/>
        <v>221</v>
      </c>
      <c r="E54" s="2463">
        <v>373</v>
      </c>
      <c r="F54" s="2464">
        <v>196</v>
      </c>
      <c r="G54" s="3727">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728">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728">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729">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1881</v>
      </c>
      <c r="B58" s="2463">
        <v>220</v>
      </c>
      <c r="C58" s="2463">
        <v>187</v>
      </c>
      <c r="D58" s="2463">
        <f t="shared" si="20"/>
        <v>187</v>
      </c>
      <c r="E58" s="2463">
        <v>301</v>
      </c>
      <c r="F58" s="2464">
        <v>168</v>
      </c>
      <c r="G58" s="3727">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728">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728">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729">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1885</v>
      </c>
      <c r="B62" s="2489">
        <v>214</v>
      </c>
      <c r="C62" s="2489">
        <v>188</v>
      </c>
      <c r="D62" s="2489">
        <f t="shared" si="20"/>
        <v>188</v>
      </c>
      <c r="E62" s="2489">
        <v>289</v>
      </c>
      <c r="F62" s="2490">
        <v>166</v>
      </c>
      <c r="G62" s="3727">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728">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728">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729">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1889</v>
      </c>
      <c r="B66" s="2463">
        <v>188</v>
      </c>
      <c r="C66" s="2463">
        <v>165</v>
      </c>
      <c r="D66" s="2463">
        <f t="shared" si="20"/>
        <v>165</v>
      </c>
      <c r="E66" s="2463">
        <v>254</v>
      </c>
      <c r="F66" s="2464">
        <v>148</v>
      </c>
      <c r="G66" s="3727">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728">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728">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729">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1893</v>
      </c>
      <c r="B70" s="2470">
        <v>159</v>
      </c>
      <c r="C70" s="2470">
        <v>141</v>
      </c>
      <c r="D70" s="2470">
        <f t="shared" si="20"/>
        <v>141</v>
      </c>
      <c r="E70" s="2470">
        <v>195</v>
      </c>
      <c r="F70" s="2471">
        <v>122</v>
      </c>
      <c r="G70" s="3727">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728">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728">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729">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1897</v>
      </c>
      <c r="B74" s="2470">
        <v>138</v>
      </c>
      <c r="C74" s="2470">
        <v>131</v>
      </c>
      <c r="D74" s="2470">
        <f t="shared" si="20"/>
        <v>131</v>
      </c>
      <c r="E74" s="2470">
        <v>155</v>
      </c>
      <c r="F74" s="2471">
        <v>114</v>
      </c>
      <c r="G74" s="3727">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728">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728">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729">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1901</v>
      </c>
      <c r="B78" s="2489">
        <v>121</v>
      </c>
      <c r="C78" s="2489">
        <v>122</v>
      </c>
      <c r="D78" s="2489">
        <f t="shared" si="20"/>
        <v>122</v>
      </c>
      <c r="E78" s="2489">
        <v>124</v>
      </c>
      <c r="F78" s="2490">
        <v>107</v>
      </c>
      <c r="G78" s="3727">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728">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728">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729">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1905</v>
      </c>
      <c r="B82" s="2509">
        <v>111</v>
      </c>
      <c r="C82" s="2509">
        <v>114</v>
      </c>
      <c r="D82" s="2509">
        <f t="shared" si="20"/>
        <v>114</v>
      </c>
      <c r="E82" s="2509">
        <v>108</v>
      </c>
      <c r="F82" s="2510">
        <v>104</v>
      </c>
      <c r="G82" s="3727">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728">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728">
        <v>2003</v>
      </c>
      <c r="H84" s="2459">
        <v>2</v>
      </c>
      <c r="I84" s="2511"/>
      <c r="J84" s="2511"/>
      <c r="K84" s="2511"/>
      <c r="L84" s="2511"/>
      <c r="X84" s="2503"/>
      <c r="Y84" s="2503"/>
      <c r="Z84" s="2503"/>
    </row>
    <row r="85" spans="1:26" ht="13.5" thickBot="1">
      <c r="A85" s="2444" t="s">
        <v>1908</v>
      </c>
      <c r="B85" s="2513">
        <f t="shared" si="54"/>
        <v>107.25</v>
      </c>
      <c r="C85" s="2513">
        <f t="shared" si="54"/>
        <v>108.75</v>
      </c>
      <c r="D85" s="2513">
        <f t="shared" si="20"/>
        <v>108.75</v>
      </c>
      <c r="E85" s="2513">
        <f t="shared" si="55"/>
        <v>105.75</v>
      </c>
      <c r="F85" s="2513">
        <f t="shared" si="55"/>
        <v>102.5</v>
      </c>
      <c r="G85" s="3729">
        <v>2003</v>
      </c>
      <c r="H85" s="2514">
        <v>1</v>
      </c>
      <c r="I85" s="2511"/>
      <c r="J85" s="2511"/>
      <c r="K85" s="2511"/>
      <c r="L85" s="2511"/>
      <c r="S85" s="2447"/>
      <c r="T85" s="2443"/>
      <c r="U85" s="2443"/>
      <c r="X85" s="2503"/>
      <c r="Y85" s="2503"/>
      <c r="Z85" s="2503"/>
    </row>
    <row r="86" spans="1:26" ht="13.5" thickBot="1">
      <c r="A86" s="2444" t="s">
        <v>1909</v>
      </c>
      <c r="B86" s="2515">
        <v>106</v>
      </c>
      <c r="C86" s="2515">
        <v>107</v>
      </c>
      <c r="D86" s="2515">
        <f t="shared" si="20"/>
        <v>107</v>
      </c>
      <c r="E86" s="2515">
        <v>105</v>
      </c>
      <c r="F86" s="2516">
        <v>102</v>
      </c>
      <c r="G86" s="3727">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728">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728">
        <v>2002</v>
      </c>
      <c r="H88" s="2459">
        <v>2</v>
      </c>
      <c r="I88" s="2511"/>
      <c r="J88" s="2511"/>
      <c r="K88" s="2511"/>
      <c r="L88" s="2511"/>
      <c r="X88" s="2503"/>
      <c r="Y88" s="2503"/>
      <c r="Z88" s="2503"/>
    </row>
    <row r="89" spans="1:26" s="2478" customFormat="1" ht="13.5" thickBot="1">
      <c r="A89" s="2474" t="s">
        <v>1912</v>
      </c>
      <c r="B89" s="2481">
        <f t="shared" si="56"/>
        <v>103</v>
      </c>
      <c r="C89" s="2481">
        <f t="shared" si="56"/>
        <v>104</v>
      </c>
      <c r="D89" s="2481">
        <f t="shared" si="20"/>
        <v>104</v>
      </c>
      <c r="E89" s="2481">
        <f t="shared" si="57"/>
        <v>103.5</v>
      </c>
      <c r="F89" s="2481">
        <f t="shared" si="57"/>
        <v>100.5</v>
      </c>
      <c r="G89" s="3729">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5"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受贵公司委托，我公司对出让国有建设用地使用权抵押价格进行了预评估。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56.25">
      <c r="A7" s="1493" t="s">
        <v>2028</v>
      </c>
    </row>
    <row r="8" spans="1:4" ht="18.75">
      <c r="A8" s="1492" t="s">
        <v>1430</v>
      </c>
    </row>
    <row r="9" spans="1:4" ht="75">
      <c r="A9" s="14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2025年12月9日（评估专业人员勘察现场之日）</v>
      </c>
    </row>
    <row r="12" spans="1:4" ht="18.75">
      <c r="A12" s="1494" t="s">
        <v>1543</v>
      </c>
    </row>
    <row r="13" spans="1:4" ht="18.75">
      <c r="A13" s="1489" t="s">
        <v>2193</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18.75">
      <c r="A21" s="1489" t="s">
        <v>1592</v>
      </c>
    </row>
    <row r="22" spans="1:1" ht="93.7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row>
    <row r="26" spans="1:1" ht="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9" t="str">
        <f>IF(项目基本情况!B9="市场价格","——",IF(项目基本情况!E9="——","",定义!C57))</f>
        <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N52" sqref="AN52"/>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4">
        <f>基准地价!G23</f>
        <v>46000</v>
      </c>
      <c r="B1" s="3091" t="s">
        <v>3252</v>
      </c>
      <c r="C1" s="3092"/>
      <c r="D1" s="3092"/>
      <c r="E1" s="3092"/>
      <c r="F1" s="3092"/>
      <c r="G1" s="3092"/>
      <c r="H1" s="3092"/>
      <c r="I1" s="3092"/>
      <c r="J1" s="3093"/>
      <c r="K1" s="3092" t="s">
        <v>2777</v>
      </c>
      <c r="L1" s="3092"/>
      <c r="M1" s="3092"/>
      <c r="N1" s="3092"/>
      <c r="O1" s="3092"/>
      <c r="P1" s="3092"/>
      <c r="Q1" s="3093"/>
      <c r="R1" s="3735" t="s">
        <v>2785</v>
      </c>
      <c r="S1" s="3736"/>
      <c r="T1" s="3736"/>
      <c r="U1" s="3736"/>
      <c r="V1" s="3736"/>
      <c r="W1" s="3736"/>
      <c r="X1" s="3093"/>
      <c r="Y1" s="3735" t="s">
        <v>2796</v>
      </c>
      <c r="Z1" s="3736"/>
      <c r="AA1" s="3736"/>
      <c r="AB1" s="3736"/>
      <c r="AC1" s="3736"/>
      <c r="AD1" s="3736"/>
    </row>
    <row r="2" spans="1:44" ht="14.25" thickBot="1">
      <c r="A2" s="3086"/>
      <c r="B2" s="3094"/>
      <c r="C2" s="3095"/>
      <c r="D2" s="2425" t="s">
        <v>2779</v>
      </c>
      <c r="E2" s="2426" t="s">
        <v>2780</v>
      </c>
      <c r="F2" s="2426" t="s">
        <v>2781</v>
      </c>
      <c r="G2" s="2426" t="s">
        <v>2782</v>
      </c>
      <c r="H2" s="2426" t="s">
        <v>2783</v>
      </c>
      <c r="I2" s="2426" t="s">
        <v>2725</v>
      </c>
      <c r="J2" s="3096"/>
      <c r="K2" s="2425" t="s">
        <v>2779</v>
      </c>
      <c r="L2" s="2426" t="s">
        <v>2780</v>
      </c>
      <c r="M2" s="2426" t="s">
        <v>2781</v>
      </c>
      <c r="N2" s="2426" t="s">
        <v>2782</v>
      </c>
      <c r="O2" s="2426" t="s">
        <v>2783</v>
      </c>
      <c r="P2" s="2426" t="s">
        <v>2725</v>
      </c>
      <c r="Q2" s="3096"/>
      <c r="R2" s="2425" t="s">
        <v>2786</v>
      </c>
      <c r="S2" s="2426" t="s">
        <v>2787</v>
      </c>
      <c r="T2" s="2426" t="s">
        <v>2788</v>
      </c>
      <c r="U2" s="2426" t="s">
        <v>2789</v>
      </c>
      <c r="V2" s="2426" t="s">
        <v>2790</v>
      </c>
      <c r="W2" s="2426" t="s">
        <v>2791</v>
      </c>
      <c r="X2" s="3096"/>
      <c r="Y2" s="2425" t="s">
        <v>2779</v>
      </c>
      <c r="Z2" s="2426" t="s">
        <v>1470</v>
      </c>
      <c r="AA2" s="2426" t="s">
        <v>2797</v>
      </c>
      <c r="AB2" s="2426" t="s">
        <v>1469</v>
      </c>
      <c r="AC2" s="2426" t="s">
        <v>2783</v>
      </c>
      <c r="AD2" s="2426" t="s">
        <v>2442</v>
      </c>
      <c r="AF2" t="s">
        <v>3300</v>
      </c>
      <c r="AG2" t="s">
        <v>2726</v>
      </c>
      <c r="AH2" t="s">
        <v>1212</v>
      </c>
      <c r="AI2" t="s">
        <v>851</v>
      </c>
      <c r="AJ2" t="s">
        <v>905</v>
      </c>
      <c r="AK2" t="s">
        <v>2724</v>
      </c>
      <c r="AM2" t="s">
        <v>3300</v>
      </c>
      <c r="AN2" t="s">
        <v>2726</v>
      </c>
      <c r="AO2" t="s">
        <v>1212</v>
      </c>
      <c r="AP2" t="s">
        <v>851</v>
      </c>
      <c r="AQ2" t="s">
        <v>905</v>
      </c>
      <c r="AR2" t="s">
        <v>2724</v>
      </c>
    </row>
    <row r="3" spans="1:44">
      <c r="A3" s="3087" t="s">
        <v>2768</v>
      </c>
      <c r="B3" s="3097"/>
      <c r="C3" s="3098"/>
      <c r="D3" s="3098">
        <f>ROUND(AVERAGEIF(D4:D24,"&lt;&gt;0"),2)</f>
        <v>0.33</v>
      </c>
      <c r="E3" s="3098">
        <f>ROUND(AVERAGEIF(E4:E24,"&lt;&gt;0"),2)</f>
        <v>0.13</v>
      </c>
      <c r="F3" s="3098">
        <f>ROUND(AVERAGEIF(F4:F24,"&lt;&gt;0"),2)</f>
        <v>-0.16</v>
      </c>
      <c r="G3" s="3098">
        <f>ROUND(AVERAGEIF(G4:G24,"&lt;&gt;0"),2)</f>
        <v>0.39</v>
      </c>
      <c r="H3" s="3098">
        <f>ROUND(AVERAGEIF(H4:H24,"&lt;&gt;0"),2)</f>
        <v>0.47</v>
      </c>
      <c r="I3" s="3098">
        <f>F3</f>
        <v>-0.16</v>
      </c>
      <c r="J3" s="3099"/>
      <c r="K3" s="3100">
        <f>ROUND(AVERAGEIF(K4:K24,"&lt;&gt;0"),4)</f>
        <v>3.3E-3</v>
      </c>
      <c r="L3" s="3101">
        <f>ROUND(AVERAGEIF(L4:L24,"&lt;&gt;0"),4)</f>
        <v>1.2999999999999999E-3</v>
      </c>
      <c r="M3" s="3101">
        <f>ROUND(AVERAGEIF(M4:M24,"&lt;&gt;0"),4)</f>
        <v>-1.6000000000000001E-3</v>
      </c>
      <c r="N3" s="3101">
        <f>ROUND(AVERAGEIF(N4:N24,"&lt;&gt;0"),4)</f>
        <v>3.8999999999999998E-3</v>
      </c>
      <c r="O3" s="3101">
        <f>ROUND(AVERAGEIF(O4:O24,"&lt;&gt;0"),4)</f>
        <v>4.7000000000000002E-3</v>
      </c>
      <c r="P3" s="3101">
        <f>M3</f>
        <v>-1.6000000000000001E-3</v>
      </c>
      <c r="Q3" s="3099"/>
      <c r="R3" s="3114">
        <f>ROUND(SUMPRODUCT(PRODUCT(1+K4:K24)),4)</f>
        <v>1.0631999999999999</v>
      </c>
      <c r="S3" s="3115">
        <f>ROUND(SUMPRODUCT(PRODUCT(1+L4:L24)),4)</f>
        <v>1.0245</v>
      </c>
      <c r="T3" s="3115">
        <f>ROUND(SUMPRODUCT(PRODUCT(1+M4:M24)),4)</f>
        <v>0.97040000000000004</v>
      </c>
      <c r="U3" s="3115">
        <f>ROUND(SUMPRODUCT(PRODUCT(1+N4:N24)),4)</f>
        <v>1.0765</v>
      </c>
      <c r="V3" s="3115">
        <f>ROUND(SUMPRODUCT(PRODUCT(1+O4:O24)),4)</f>
        <v>1.0933999999999999</v>
      </c>
      <c r="W3" s="3114">
        <f>T3</f>
        <v>0.97040000000000004</v>
      </c>
      <c r="X3" s="3099"/>
      <c r="Y3" s="3121">
        <f>ROUND(AVERAGEIF(Y11:Y24,"&lt;&gt;0"),4)</f>
        <v>8.0999999999999996E-3</v>
      </c>
      <c r="Z3" s="3122">
        <f>ROUND(AVERAGEIF(Z11:Z24,"&lt;&gt;0"),4)</f>
        <v>3.7000000000000002E-3</v>
      </c>
      <c r="AA3" s="3123">
        <f>ROUND(AVERAGEIF(AA11:AA24,"&lt;&gt;0"),4)</f>
        <v>1.2999999999999999E-3</v>
      </c>
      <c r="AB3" s="3121">
        <f>ROUND(AVERAGEIF(AB11:AB24,"&lt;&gt;0"),4)</f>
        <v>8.8000000000000005E-3</v>
      </c>
      <c r="AC3" s="3124">
        <f>ROUND(AVERAGEIF(AC11:AC24,"&lt;&gt;0"),4)</f>
        <v>6.1999999999999998E-3</v>
      </c>
      <c r="AD3" s="3121">
        <f>AA3</f>
        <v>1.2999999999999999E-3</v>
      </c>
    </row>
    <row r="4" spans="1:44">
      <c r="A4" s="2441"/>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44">
      <c r="A5" s="3390" t="s">
        <v>3301</v>
      </c>
      <c r="B5" s="3137">
        <v>2025</v>
      </c>
      <c r="C5" s="3138">
        <v>4</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 t="shared" ref="P5:P11" si="6">M5</f>
        <v>0</v>
      </c>
      <c r="Q5" s="3105"/>
      <c r="R5" s="3116">
        <f>ROUND(IF(项目基本情况!$B$8="出让",SUMPRODUCT(PRODUCT(1+K5:$K$24)),SUMPRODUCT(PRODUCT(1+K5:$K$23))),4)</f>
        <v>1.0529999999999999</v>
      </c>
      <c r="S5" s="3116">
        <f>ROUND(IF(项目基本情况!$B$8="出让",SUMPRODUCT(PRODUCT(1+L5:$L$24)),SUMPRODUCT(PRODUCT(1+L5:$L$23))),4)</f>
        <v>1.0228999999999999</v>
      </c>
      <c r="T5" s="3116">
        <f>ROUND(IF(项目基本情况!$B$8="出让",SUMPRODUCT(PRODUCT(1+M5:$M$24)),SUMPRODUCT(PRODUCT(1+M5:$M$23))),4)</f>
        <v>0.97289999999999999</v>
      </c>
      <c r="U5" s="3116">
        <f>ROUND(IF(项目基本情况!$B$8="出让",SUMPRODUCT(PRODUCT(1+N5:$N$24)),SUMPRODUCT(PRODUCT(1+N5:$N$23))),4)</f>
        <v>1.0647</v>
      </c>
      <c r="V5" s="3116">
        <f>ROUND(IF(项目基本情况!$B$8="出让",SUMPRODUCT(PRODUCT(1+O5:$O$24)),SUMPRODUCT(PRODUCT(1+O5:$O$23))),4)</f>
        <v>1.0894999999999999</v>
      </c>
      <c r="W5" s="3116">
        <f t="shared" ref="W5:W11" si="7">T5</f>
        <v>0.97289999999999999</v>
      </c>
      <c r="X5" s="3105"/>
      <c r="Y5" s="3107">
        <f t="shared" ref="Y5" si="8">IF(D5=0,0,ROUND(AVERAGE(D5:D18)/100,4))</f>
        <v>0</v>
      </c>
      <c r="Z5" s="3107">
        <f t="shared" ref="Z5" si="9">IF(E5=0,0,ROUND(AVERAGE(E5:E18)/100,4))</f>
        <v>0</v>
      </c>
      <c r="AA5" s="3107">
        <f t="shared" ref="AA5" si="10">IF(F5=0,0,ROUND(AVERAGE(F5:F18)/100,4))</f>
        <v>0</v>
      </c>
      <c r="AB5" s="3107">
        <f t="shared" ref="AB5" si="11">IF(G5=0,0,ROUND(AVERAGE(G5:G18)/100,4))</f>
        <v>0</v>
      </c>
      <c r="AC5" s="3107">
        <f t="shared" ref="AC5" si="12">IF(H5=0,0,ROUND(AVERAGE(H5:H18)/100,4))</f>
        <v>0</v>
      </c>
      <c r="AD5" s="3107">
        <f t="shared" ref="AD5" si="13">AA5</f>
        <v>0</v>
      </c>
      <c r="AF5" s="3402">
        <f t="shared" ref="AF5" si="14">$AF$24*R5</f>
        <v>105.3</v>
      </c>
      <c r="AG5" s="3402">
        <f t="shared" ref="AG5" si="15">$AG$24*S5</f>
        <v>102.28999999999999</v>
      </c>
      <c r="AH5" s="3402">
        <f t="shared" ref="AH5" si="16">$AH$24*T5</f>
        <v>97.289999999999992</v>
      </c>
      <c r="AI5" s="3402">
        <f t="shared" ref="AI5" si="17">$AI$24*U5</f>
        <v>106.47</v>
      </c>
      <c r="AJ5" s="3402">
        <f t="shared" ref="AJ5" si="18">$AJ$24*V5</f>
        <v>108.94999999999999</v>
      </c>
      <c r="AK5" s="3402">
        <f t="shared" ref="AK5" si="19">$AK$24*W5</f>
        <v>97.289999999999992</v>
      </c>
      <c r="AM5" s="3401">
        <v>100</v>
      </c>
      <c r="AN5" s="3401">
        <v>100</v>
      </c>
      <c r="AO5" s="3401">
        <v>100</v>
      </c>
      <c r="AP5" s="3401">
        <v>100</v>
      </c>
      <c r="AQ5" s="3401">
        <v>100</v>
      </c>
      <c r="AR5" s="3401">
        <v>100</v>
      </c>
    </row>
    <row r="6" spans="1:44">
      <c r="A6" s="3089" t="s">
        <v>3314</v>
      </c>
      <c r="B6" s="3140">
        <v>2025</v>
      </c>
      <c r="C6" s="3141">
        <v>3</v>
      </c>
      <c r="D6" s="3141">
        <v>-0.45</v>
      </c>
      <c r="E6" s="3141">
        <v>-0.45</v>
      </c>
      <c r="F6" s="3141">
        <v>-0.82</v>
      </c>
      <c r="G6" s="3141">
        <v>-0.39</v>
      </c>
      <c r="H6" s="3142">
        <v>0.04</v>
      </c>
      <c r="I6" s="3143">
        <f t="shared" ref="I6" si="20">F6</f>
        <v>-0.82</v>
      </c>
      <c r="J6" s="3108"/>
      <c r="K6" s="3109">
        <f t="shared" ref="K6" si="21">D6/100</f>
        <v>-4.5000000000000005E-3</v>
      </c>
      <c r="L6" s="3110">
        <f t="shared" ref="L6" si="22">E6/100</f>
        <v>-4.5000000000000005E-3</v>
      </c>
      <c r="M6" s="3110">
        <f t="shared" ref="M6" si="23">F6/100</f>
        <v>-8.199999999999999E-3</v>
      </c>
      <c r="N6" s="3110">
        <f t="shared" ref="N6" si="24">G6/100</f>
        <v>-3.9000000000000003E-3</v>
      </c>
      <c r="O6" s="3110">
        <f t="shared" ref="O6" si="25">H6/100</f>
        <v>4.0000000000000002E-4</v>
      </c>
      <c r="P6" s="3110">
        <f t="shared" si="6"/>
        <v>-8.199999999999999E-3</v>
      </c>
      <c r="Q6" s="3108"/>
      <c r="R6" s="3108">
        <f>ROUND(IF(项目基本情况!$B$8="出让",SUMPRODUCT(PRODUCT(1+K6:$K$24)),SUMPRODUCT(PRODUCT(1+K6:$K$23))),4)</f>
        <v>1.0529999999999999</v>
      </c>
      <c r="S6" s="3108">
        <f>ROUND(IF(项目基本情况!$B$8="出让",SUMPRODUCT(PRODUCT(1+L6:$L$24)),SUMPRODUCT(PRODUCT(1+L6:$L$23))),4)</f>
        <v>1.0228999999999999</v>
      </c>
      <c r="T6" s="3108">
        <f>ROUND(IF(项目基本情况!$B$8="出让",SUMPRODUCT(PRODUCT(1+M6:$M$24)),SUMPRODUCT(PRODUCT(1+M6:$M$23))),4)</f>
        <v>0.97289999999999999</v>
      </c>
      <c r="U6" s="3108">
        <f>ROUND(IF(项目基本情况!$B$8="出让",SUMPRODUCT(PRODUCT(1+N6:$N$24)),SUMPRODUCT(PRODUCT(1+N6:$N$23))),4)</f>
        <v>1.0647</v>
      </c>
      <c r="V6" s="3108">
        <f>ROUND(IF(项目基本情况!$B$8="出让",SUMPRODUCT(PRODUCT(1+O6:$O$24)),SUMPRODUCT(PRODUCT(1+O6:$O$23))),4)</f>
        <v>1.0894999999999999</v>
      </c>
      <c r="W6" s="3108">
        <f t="shared" si="7"/>
        <v>0.97289999999999999</v>
      </c>
      <c r="X6" s="3105"/>
      <c r="Y6" s="3107">
        <f t="shared" ref="Y6" si="26">IF(D6=0,0,ROUND(AVERAGE(D6:D19)/100,4))</f>
        <v>1.4E-3</v>
      </c>
      <c r="Z6" s="3107">
        <f t="shared" ref="Z6" si="27">IF(E6=0,0,ROUND(AVERAGE(E6:E19)/100,4))</f>
        <v>2.9999999999999997E-4</v>
      </c>
      <c r="AA6" s="3107">
        <f t="shared" ref="AA6" si="28">IF(F6=0,0,ROUND(AVERAGE(F6:F19)/100,4))</f>
        <v>-2.7000000000000001E-3</v>
      </c>
      <c r="AB6" s="3107">
        <f t="shared" ref="AB6" si="29">IF(G6=0,0,ROUND(AVERAGE(G6:G19)/100,4))</f>
        <v>2E-3</v>
      </c>
      <c r="AC6" s="3107">
        <f t="shared" ref="AC6" si="30">IF(H6=0,0,ROUND(AVERAGE(H6:H19)/100,4))</f>
        <v>4.1999999999999997E-3</v>
      </c>
      <c r="AD6" s="3107">
        <f t="shared" ref="AD6" si="31">AA6</f>
        <v>-2.7000000000000001E-3</v>
      </c>
      <c r="AF6" s="3402">
        <f t="shared" ref="AF6" si="32">$AF$24*R6</f>
        <v>105.3</v>
      </c>
      <c r="AG6" s="3402">
        <f t="shared" ref="AG6" si="33">$AG$24*S6</f>
        <v>102.28999999999999</v>
      </c>
      <c r="AH6" s="3402">
        <f t="shared" ref="AH6" si="34">$AH$24*T6</f>
        <v>97.289999999999992</v>
      </c>
      <c r="AI6" s="3402">
        <f t="shared" ref="AI6" si="35">$AI$24*U6</f>
        <v>106.47</v>
      </c>
      <c r="AJ6" s="3402">
        <f t="shared" ref="AJ6" si="36">$AJ$24*V6</f>
        <v>108.94999999999999</v>
      </c>
      <c r="AK6" s="3402">
        <f t="shared" ref="AK6" si="37">$AK$24*W6</f>
        <v>97.289999999999992</v>
      </c>
      <c r="AM6" s="3402">
        <f>AM5/(1+D5/100)</f>
        <v>100</v>
      </c>
      <c r="AN6" s="3402">
        <f t="shared" ref="AN6:AR6" si="38">AN5/(1+E5/100)</f>
        <v>100</v>
      </c>
      <c r="AO6" s="3402">
        <f t="shared" si="38"/>
        <v>100</v>
      </c>
      <c r="AP6" s="3402">
        <f t="shared" si="38"/>
        <v>100</v>
      </c>
      <c r="AQ6" s="3402">
        <f t="shared" si="38"/>
        <v>100</v>
      </c>
      <c r="AR6" s="3402">
        <f t="shared" si="38"/>
        <v>100</v>
      </c>
    </row>
    <row r="7" spans="1:44">
      <c r="A7" s="3390" t="s">
        <v>3315</v>
      </c>
      <c r="B7" s="3137">
        <v>2025</v>
      </c>
      <c r="C7" s="3138">
        <v>2</v>
      </c>
      <c r="D7" s="3138">
        <v>0.05</v>
      </c>
      <c r="E7" s="3138">
        <v>-0.62</v>
      </c>
      <c r="F7" s="3138">
        <v>-1.05</v>
      </c>
      <c r="G7" s="3138">
        <v>0.09</v>
      </c>
      <c r="H7" s="3138">
        <v>0.17</v>
      </c>
      <c r="I7" s="3139">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16">
        <f>ROUND(IF(项目基本情况!$B$8="出让",SUMPRODUCT(PRODUCT(1+K7:$K$24)),SUMPRODUCT(PRODUCT(1+K7:$K$23))),4)</f>
        <v>1.0577000000000001</v>
      </c>
      <c r="S7" s="3116">
        <f>ROUND(IF(项目基本情况!$B$8="出让",SUMPRODUCT(PRODUCT(1+L7:$L$24)),SUMPRODUCT(PRODUCT(1+L7:$L$23))),4)</f>
        <v>1.0275000000000001</v>
      </c>
      <c r="T7" s="3116">
        <f>ROUND(IF(项目基本情况!$B$8="出让",SUMPRODUCT(PRODUCT(1+M7:$M$24)),SUMPRODUCT(PRODUCT(1+M7:$M$23))),4)</f>
        <v>0.98089999999999999</v>
      </c>
      <c r="U7" s="3116">
        <f>ROUND(IF(项目基本情况!$B$8="出让",SUMPRODUCT(PRODUCT(1+N7:$N$24)),SUMPRODUCT(PRODUCT(1+N7:$N$23))),4)</f>
        <v>1.0689</v>
      </c>
      <c r="V7" s="3116">
        <f>ROUND(IF(项目基本情况!$B$8="出让",SUMPRODUCT(PRODUCT(1+O7:$O$24)),SUMPRODUCT(PRODUCT(1+O7:$O$23))),4)</f>
        <v>1.0891</v>
      </c>
      <c r="W7" s="3116">
        <f t="shared" si="7"/>
        <v>0.98089999999999999</v>
      </c>
      <c r="X7" s="3105"/>
      <c r="Y7" s="3107">
        <f t="shared" ref="Y7" si="45">IF(D7=0,0,ROUND(AVERAGE(D7:D20)/100,4))</f>
        <v>2.3E-3</v>
      </c>
      <c r="Z7" s="3107">
        <f t="shared" ref="Z7" si="46">IF(E7=0,0,ROUND(AVERAGE(E7:E20)/100,4))</f>
        <v>1E-3</v>
      </c>
      <c r="AA7" s="3107">
        <f t="shared" ref="AA7" si="47">IF(F7=0,0,ROUND(AVERAGE(F7:F20)/100,4))</f>
        <v>-1.9E-3</v>
      </c>
      <c r="AB7" s="3107">
        <f t="shared" ref="AB7" si="48">IF(G7=0,0,ROUND(AVERAGE(G7:G20)/100,4))</f>
        <v>2.8999999999999998E-3</v>
      </c>
      <c r="AC7" s="3107">
        <f t="shared" ref="AC7" si="49">IF(H7=0,0,ROUND(AVERAGE(H7:H20)/100,4))</f>
        <v>4.7000000000000002E-3</v>
      </c>
      <c r="AD7" s="3107">
        <f t="shared" ref="AD7" si="50">AA7</f>
        <v>-1.9E-3</v>
      </c>
      <c r="AF7" s="3402">
        <f t="shared" ref="AF7" si="51">$AF$24*R7</f>
        <v>105.77000000000001</v>
      </c>
      <c r="AG7" s="3402">
        <f t="shared" ref="AG7" si="52">$AG$24*S7</f>
        <v>102.75000000000001</v>
      </c>
      <c r="AH7" s="3402">
        <f t="shared" ref="AH7" si="53">$AH$24*T7</f>
        <v>98.09</v>
      </c>
      <c r="AI7" s="3402">
        <f t="shared" ref="AI7" si="54">$AI$24*U7</f>
        <v>106.89</v>
      </c>
      <c r="AJ7" s="3402">
        <f t="shared" ref="AJ7" si="55">$AJ$24*V7</f>
        <v>108.91</v>
      </c>
      <c r="AK7" s="3402">
        <f t="shared" ref="AK7" si="56">$AK$24*W7</f>
        <v>98.09</v>
      </c>
      <c r="AM7" s="3402">
        <f t="shared" ref="AM7:AM24" si="57">AM6/(1+D6/100)</f>
        <v>100.45203415369161</v>
      </c>
      <c r="AN7" s="3402">
        <f t="shared" ref="AN7:AN24" si="58">AN6/(1+E6/100)</f>
        <v>100.45203415369161</v>
      </c>
      <c r="AO7" s="3402">
        <f t="shared" ref="AO7:AO24" si="59">AO6/(1+F6/100)</f>
        <v>100.8267795926598</v>
      </c>
      <c r="AP7" s="3402">
        <f t="shared" ref="AP7:AP24" si="60">AP6/(1+G6/100)</f>
        <v>100.39152695512499</v>
      </c>
      <c r="AQ7" s="3402">
        <f t="shared" ref="AQ7:AQ24" si="61">AQ6/(1+H6/100)</f>
        <v>99.960015993602568</v>
      </c>
      <c r="AR7" s="3402">
        <f t="shared" ref="AR7:AR24" si="62">AR6/(1+I6/100)</f>
        <v>100.8267795926598</v>
      </c>
    </row>
    <row r="8" spans="1:44">
      <c r="A8" s="3390" t="s">
        <v>3249</v>
      </c>
      <c r="B8" s="3137">
        <v>2025</v>
      </c>
      <c r="C8" s="3138">
        <v>1</v>
      </c>
      <c r="D8" s="3138">
        <v>0.56999999999999995</v>
      </c>
      <c r="E8" s="3138">
        <v>-0.56999999999999995</v>
      </c>
      <c r="F8" s="3138">
        <v>-0.9</v>
      </c>
      <c r="G8" s="3138">
        <v>1.1200000000000001</v>
      </c>
      <c r="H8" s="3138">
        <v>0.42</v>
      </c>
      <c r="I8" s="3139">
        <f t="shared" ref="I8" si="63">F8</f>
        <v>-0.9</v>
      </c>
      <c r="J8" s="3105"/>
      <c r="K8" s="3106">
        <f t="shared" ref="K8" si="64">D8/100</f>
        <v>5.6999999999999993E-3</v>
      </c>
      <c r="L8" s="3107">
        <f t="shared" ref="L8" si="65">E8/100</f>
        <v>-5.6999999999999993E-3</v>
      </c>
      <c r="M8" s="3107">
        <f t="shared" ref="M8" si="66">F8/100</f>
        <v>-9.0000000000000011E-3</v>
      </c>
      <c r="N8" s="3107">
        <f t="shared" ref="N8" si="67">G8/100</f>
        <v>1.1200000000000002E-2</v>
      </c>
      <c r="O8" s="3107">
        <f t="shared" ref="O8" si="68">H8/100</f>
        <v>4.1999999999999997E-3</v>
      </c>
      <c r="P8" s="3107">
        <f t="shared" si="6"/>
        <v>-9.0000000000000011E-3</v>
      </c>
      <c r="Q8" s="3105"/>
      <c r="R8" s="3116">
        <f>ROUND(IF(项目基本情况!$B$8="出让",SUMPRODUCT(PRODUCT(1+K8:$K$24)),SUMPRODUCT(PRODUCT(1+K8:$K$23))),4)</f>
        <v>1.0571999999999999</v>
      </c>
      <c r="S8" s="3116">
        <f>ROUND(IF(项目基本情况!$B$8="出让",SUMPRODUCT(PRODUCT(1+L8:$L$24)),SUMPRODUCT(PRODUCT(1+L8:$L$23))),4)</f>
        <v>1.0339</v>
      </c>
      <c r="T8" s="3116">
        <f>ROUND(IF(项目基本情况!$B$8="出让",SUMPRODUCT(PRODUCT(1+M8:$M$24)),SUMPRODUCT(PRODUCT(1+M8:$M$23))),4)</f>
        <v>0.99129999999999996</v>
      </c>
      <c r="U8" s="3116">
        <f>ROUND(IF(项目基本情况!$B$8="出让",SUMPRODUCT(PRODUCT(1+N8:$N$24)),SUMPRODUCT(PRODUCT(1+N8:$N$23))),4)</f>
        <v>1.0679000000000001</v>
      </c>
      <c r="V8" s="3116">
        <f>ROUND(IF(项目基本情况!$B$8="出让",SUMPRODUCT(PRODUCT(1+O8:$O$24)),SUMPRODUCT(PRODUCT(1+O8:$O$23))),4)</f>
        <v>1.0871999999999999</v>
      </c>
      <c r="W8" s="3116">
        <f t="shared" si="7"/>
        <v>0.99129999999999996</v>
      </c>
      <c r="X8" s="3105"/>
      <c r="Y8" s="3107">
        <f t="shared" ref="Y8" si="69">IF(D8=0,0,ROUND(AVERAGE(D8:D21)/100,4))</f>
        <v>3.0000000000000001E-3</v>
      </c>
      <c r="Z8" s="3107">
        <f t="shared" ref="Z8" si="70">IF(E8=0,0,ROUND(AVERAGE(E8:E21)/100,4))</f>
        <v>1.6000000000000001E-3</v>
      </c>
      <c r="AA8" s="3107">
        <f t="shared" ref="AA8" si="71">IF(F8=0,0,ROUND(AVERAGE(F8:F21)/100,4))</f>
        <v>-1.1000000000000001E-3</v>
      </c>
      <c r="AB8" s="3107">
        <f t="shared" ref="AB8" si="72">IF(G8=0,0,ROUND(AVERAGE(G8:G21)/100,4))</f>
        <v>3.7000000000000002E-3</v>
      </c>
      <c r="AC8" s="3107">
        <f t="shared" ref="AC8" si="73">IF(H8=0,0,ROUND(AVERAGE(H8:H21)/100,4))</f>
        <v>4.8999999999999998E-3</v>
      </c>
      <c r="AD8" s="3107">
        <f t="shared" ref="AD8" si="74">AA8</f>
        <v>-1.1000000000000001E-3</v>
      </c>
      <c r="AF8" s="3402">
        <f t="shared" ref="AF8:AF22" si="75">$AF$24*R8</f>
        <v>105.72</v>
      </c>
      <c r="AG8" s="3402">
        <f t="shared" ref="AG8:AG22" si="76">$AG$24*S8</f>
        <v>103.39</v>
      </c>
      <c r="AH8" s="3402">
        <f t="shared" ref="AH8:AH22" si="77">$AH$24*T8</f>
        <v>99.13</v>
      </c>
      <c r="AI8" s="3402">
        <f t="shared" ref="AI8:AI22" si="78">$AI$24*U8</f>
        <v>106.79</v>
      </c>
      <c r="AJ8" s="3402">
        <f t="shared" ref="AJ8:AJ22" si="79">$AJ$24*V8</f>
        <v>108.72</v>
      </c>
      <c r="AK8" s="3402">
        <f t="shared" ref="AK8:AK22" si="80">$AK$24*W8</f>
        <v>99.13</v>
      </c>
      <c r="AM8" s="3402">
        <f t="shared" si="57"/>
        <v>100.40183323707308</v>
      </c>
      <c r="AN8" s="3402">
        <f t="shared" si="58"/>
        <v>101.07872223152708</v>
      </c>
      <c r="AO8" s="3402">
        <f t="shared" si="59"/>
        <v>101.89669488899423</v>
      </c>
      <c r="AP8" s="3402">
        <f t="shared" si="60"/>
        <v>100.3012558248826</v>
      </c>
      <c r="AQ8" s="3402">
        <f t="shared" si="61"/>
        <v>99.790372360589558</v>
      </c>
      <c r="AR8" s="3402">
        <f t="shared" si="62"/>
        <v>101.89669488899423</v>
      </c>
    </row>
    <row r="9" spans="1:44">
      <c r="A9" s="3390" t="s">
        <v>3302</v>
      </c>
      <c r="B9" s="3137">
        <v>2024</v>
      </c>
      <c r="C9" s="3138">
        <v>4</v>
      </c>
      <c r="D9" s="3138">
        <v>-1.02</v>
      </c>
      <c r="E9" s="3138">
        <v>-0.48</v>
      </c>
      <c r="F9" s="3138">
        <v>-0.75</v>
      </c>
      <c r="G9" s="3138">
        <v>-1.05</v>
      </c>
      <c r="H9" s="3138">
        <v>0.08</v>
      </c>
      <c r="I9" s="3139">
        <f t="shared" ref="I9" si="81">F9</f>
        <v>-0.75</v>
      </c>
      <c r="J9" s="3105"/>
      <c r="K9" s="3106">
        <f t="shared" ref="K9" si="82">D9/100</f>
        <v>-1.0200000000000001E-2</v>
      </c>
      <c r="L9" s="3107">
        <f t="shared" ref="L9" si="83">E9/100</f>
        <v>-4.7999999999999996E-3</v>
      </c>
      <c r="M9" s="3107">
        <f t="shared" ref="M9" si="84">F9/100</f>
        <v>-7.4999999999999997E-3</v>
      </c>
      <c r="N9" s="3107">
        <f t="shared" ref="N9" si="85">G9/100</f>
        <v>-1.0500000000000001E-2</v>
      </c>
      <c r="O9" s="3107">
        <f t="shared" ref="O9" si="86">H9/100</f>
        <v>8.0000000000000004E-4</v>
      </c>
      <c r="P9" s="3107">
        <f t="shared" si="6"/>
        <v>-7.4999999999999997E-3</v>
      </c>
      <c r="Q9" s="3105"/>
      <c r="R9" s="3116">
        <f>ROUND(IF(项目基本情况!$B$8="出让",SUMPRODUCT(PRODUCT(1+K9:$K$24)),SUMPRODUCT(PRODUCT(1+K9:$K$23))),4)</f>
        <v>1.0511999999999999</v>
      </c>
      <c r="S9" s="3116">
        <f>ROUND(IF(项目基本情况!$B$8="出让",SUMPRODUCT(PRODUCT(1+L9:$L$24)),SUMPRODUCT(PRODUCT(1+L9:$L$23))),4)</f>
        <v>1.0398000000000001</v>
      </c>
      <c r="T9" s="3116">
        <f>ROUND(IF(项目基本情况!$B$8="出让",SUMPRODUCT(PRODUCT(1+M9:$M$24)),SUMPRODUCT(PRODUCT(1+M9:$M$23))),4)</f>
        <v>1.0003</v>
      </c>
      <c r="U9" s="3116">
        <f>ROUND(IF(项目基本情况!$B$8="出让",SUMPRODUCT(PRODUCT(1+N9:$N$24)),SUMPRODUCT(PRODUCT(1+N9:$N$23))),4)</f>
        <v>1.0561</v>
      </c>
      <c r="V9" s="3116">
        <f>ROUND(IF(项目基本情况!$B$8="出让",SUMPRODUCT(PRODUCT(1+O9:$O$24)),SUMPRODUCT(PRODUCT(1+O9:$O$23))),4)</f>
        <v>1.0827</v>
      </c>
      <c r="W9" s="3116">
        <f t="shared" si="7"/>
        <v>1.0003</v>
      </c>
      <c r="X9" s="3108"/>
      <c r="Y9" s="3110">
        <f t="shared" ref="Y9" si="87">IF(D9=0,0,ROUND(AVERAGE(D9:D22)/100,4))</f>
        <v>2.8999999999999998E-3</v>
      </c>
      <c r="Z9" s="3110">
        <f t="shared" ref="Z9" si="88">IF(E9=0,0,ROUND(AVERAGE(E9:E22)/100,4))</f>
        <v>2.3E-3</v>
      </c>
      <c r="AA9" s="3110">
        <f t="shared" ref="AA9" si="89">IF(F9=0,0,ROUND(AVERAGE(F9:F22)/100,4))</f>
        <v>-2.9999999999999997E-4</v>
      </c>
      <c r="AB9" s="3110">
        <f t="shared" ref="AB9" si="90">IF(G9=0,0,ROUND(AVERAGE(G9:G22)/100,4))</f>
        <v>3.3E-3</v>
      </c>
      <c r="AC9" s="3110">
        <f t="shared" ref="AC9" si="91">IF(H9=0,0,ROUND(AVERAGE(H9:H22)/100,4))</f>
        <v>5.0000000000000001E-3</v>
      </c>
      <c r="AD9" s="3110">
        <f t="shared" ref="AD9" si="92">AA9</f>
        <v>-2.9999999999999997E-4</v>
      </c>
      <c r="AF9" s="3402">
        <f t="shared" si="75"/>
        <v>105.11999999999999</v>
      </c>
      <c r="AG9" s="3402">
        <f t="shared" si="76"/>
        <v>103.98</v>
      </c>
      <c r="AH9" s="3402">
        <f t="shared" si="77"/>
        <v>100.03</v>
      </c>
      <c r="AI9" s="3402">
        <f t="shared" si="78"/>
        <v>105.61</v>
      </c>
      <c r="AJ9" s="3402">
        <f t="shared" si="79"/>
        <v>108.27</v>
      </c>
      <c r="AK9" s="3402">
        <f t="shared" si="80"/>
        <v>100.03</v>
      </c>
      <c r="AM9" s="3402">
        <f t="shared" si="57"/>
        <v>99.832786354850427</v>
      </c>
      <c r="AN9" s="3402">
        <f t="shared" si="58"/>
        <v>101.65817382231428</v>
      </c>
      <c r="AO9" s="3402">
        <f t="shared" si="59"/>
        <v>102.82209373258752</v>
      </c>
      <c r="AP9" s="3402">
        <f t="shared" si="60"/>
        <v>99.190324193910797</v>
      </c>
      <c r="AQ9" s="3402">
        <f t="shared" si="61"/>
        <v>99.373005736496282</v>
      </c>
      <c r="AR9" s="3402">
        <f t="shared" si="62"/>
        <v>102.82209373258752</v>
      </c>
    </row>
    <row r="10" spans="1:44">
      <c r="A10" s="3390" t="s">
        <v>3244</v>
      </c>
      <c r="B10" s="3137">
        <v>2024</v>
      </c>
      <c r="C10" s="3138">
        <v>3</v>
      </c>
      <c r="D10" s="3138">
        <v>-1.19</v>
      </c>
      <c r="E10" s="3138">
        <v>-0.47</v>
      </c>
      <c r="F10" s="3138">
        <v>-0.28999999999999998</v>
      </c>
      <c r="G10" s="3138">
        <v>-0.74</v>
      </c>
      <c r="H10" s="3138">
        <v>-0.21</v>
      </c>
      <c r="I10" s="3139">
        <f t="shared" ref="I10" si="93">F10</f>
        <v>-0.28999999999999998</v>
      </c>
      <c r="J10" s="3105"/>
      <c r="K10" s="3106">
        <f t="shared" ref="K10" si="94">D10/100</f>
        <v>-1.1899999999999999E-2</v>
      </c>
      <c r="L10" s="3107">
        <f t="shared" ref="L10" si="95">E10/100</f>
        <v>-4.6999999999999993E-3</v>
      </c>
      <c r="M10" s="3107">
        <f t="shared" ref="M10" si="96">F10/100</f>
        <v>-2.8999999999999998E-3</v>
      </c>
      <c r="N10" s="3107">
        <f t="shared" ref="N10" si="97">G10/100</f>
        <v>-7.4000000000000003E-3</v>
      </c>
      <c r="O10" s="3107">
        <f t="shared" ref="O10" si="98">H10/100</f>
        <v>-2.0999999999999999E-3</v>
      </c>
      <c r="P10" s="3107">
        <f t="shared" si="6"/>
        <v>-2.8999999999999998E-3</v>
      </c>
      <c r="Q10" s="3105"/>
      <c r="R10" s="3116">
        <f>ROUND(IF(项目基本情况!$B$8="出让",SUMPRODUCT(PRODUCT(1+K10:$K$24)),SUMPRODUCT(PRODUCT(1+K10:$K$23))),4)</f>
        <v>1.0620000000000001</v>
      </c>
      <c r="S10" s="3116">
        <f>ROUND(IF(项目基本情况!$B$8="出让",SUMPRODUCT(PRODUCT(1+L10:$L$24)),SUMPRODUCT(PRODUCT(1+L10:$L$23))),4)</f>
        <v>1.0448</v>
      </c>
      <c r="T10" s="3116">
        <f>ROUND(IF(项目基本情况!$B$8="出让",SUMPRODUCT(PRODUCT(1+M10:$M$24)),SUMPRODUCT(PRODUCT(1+M10:$M$23))),4)</f>
        <v>1.0079</v>
      </c>
      <c r="U10" s="3116">
        <f>ROUND(IF(项目基本情况!$B$8="出让",SUMPRODUCT(PRODUCT(1+N10:$N$24)),SUMPRODUCT(PRODUCT(1+N10:$N$23))),4)</f>
        <v>1.0672999999999999</v>
      </c>
      <c r="V10" s="3116">
        <f>ROUND(IF(项目基本情况!$B$8="出让",SUMPRODUCT(PRODUCT(1+O10:$O$24)),SUMPRODUCT(PRODUCT(1+O10:$O$23))),4)</f>
        <v>1.0818000000000001</v>
      </c>
      <c r="W10" s="3116">
        <f t="shared" si="7"/>
        <v>1.0079</v>
      </c>
      <c r="X10" s="3105"/>
      <c r="Y10" s="3107">
        <f t="shared" ref="Y10:AC11" si="99">IF(D10=0,0,ROUND(AVERAGE(D10:D23)/100,4))</f>
        <v>4.3E-3</v>
      </c>
      <c r="Z10" s="3107">
        <f t="shared" si="99"/>
        <v>3.0999999999999999E-3</v>
      </c>
      <c r="AA10" s="3107">
        <f t="shared" si="99"/>
        <v>5.9999999999999995E-4</v>
      </c>
      <c r="AB10" s="3107">
        <f t="shared" si="99"/>
        <v>4.7000000000000002E-3</v>
      </c>
      <c r="AC10" s="3107">
        <f t="shared" si="99"/>
        <v>5.5999999999999999E-3</v>
      </c>
      <c r="AD10" s="3107">
        <f t="shared" ref="AD10" si="100">AA10</f>
        <v>5.9999999999999995E-4</v>
      </c>
      <c r="AF10" s="3402">
        <f t="shared" si="75"/>
        <v>106.2</v>
      </c>
      <c r="AG10" s="3402">
        <f t="shared" si="76"/>
        <v>104.47999999999999</v>
      </c>
      <c r="AH10" s="3402">
        <f t="shared" si="77"/>
        <v>100.79</v>
      </c>
      <c r="AI10" s="3402">
        <f t="shared" si="78"/>
        <v>106.72999999999999</v>
      </c>
      <c r="AJ10" s="3402">
        <f t="shared" si="79"/>
        <v>108.18</v>
      </c>
      <c r="AK10" s="3402">
        <f t="shared" si="80"/>
        <v>100.79</v>
      </c>
      <c r="AM10" s="3402">
        <f t="shared" si="57"/>
        <v>100.86157441387192</v>
      </c>
      <c r="AN10" s="3402">
        <f t="shared" si="58"/>
        <v>102.14848655779168</v>
      </c>
      <c r="AO10" s="3402">
        <f t="shared" si="59"/>
        <v>103.59908688421916</v>
      </c>
      <c r="AP10" s="3402">
        <f t="shared" si="60"/>
        <v>100.24287437484668</v>
      </c>
      <c r="AQ10" s="3402">
        <f t="shared" si="61"/>
        <v>99.293570879792455</v>
      </c>
      <c r="AR10" s="3402">
        <f t="shared" si="62"/>
        <v>103.59908688421916</v>
      </c>
    </row>
    <row r="11" spans="1:44">
      <c r="A11" s="3088" t="s">
        <v>3250</v>
      </c>
      <c r="B11" s="3137">
        <v>2024</v>
      </c>
      <c r="C11" s="3138">
        <v>2</v>
      </c>
      <c r="D11" s="3138">
        <v>-0.59</v>
      </c>
      <c r="E11" s="3138">
        <v>-0.21</v>
      </c>
      <c r="F11" s="3138">
        <v>-1.38</v>
      </c>
      <c r="G11" s="3138">
        <v>-1.24</v>
      </c>
      <c r="H11" s="3144">
        <v>0.34</v>
      </c>
      <c r="I11" s="3139">
        <f t="shared" ref="I11:I24" si="101">F11</f>
        <v>-1.38</v>
      </c>
      <c r="J11" s="3105"/>
      <c r="K11" s="3106">
        <f t="shared" ref="K11:O24" si="102">D11/100</f>
        <v>-5.8999999999999999E-3</v>
      </c>
      <c r="L11" s="3107">
        <f t="shared" si="102"/>
        <v>-2.0999999999999999E-3</v>
      </c>
      <c r="M11" s="3107">
        <f t="shared" si="102"/>
        <v>-1.38E-2</v>
      </c>
      <c r="N11" s="3107">
        <f t="shared" si="102"/>
        <v>-1.24E-2</v>
      </c>
      <c r="O11" s="3107">
        <f t="shared" si="102"/>
        <v>3.4000000000000002E-3</v>
      </c>
      <c r="P11" s="3107">
        <f t="shared" si="6"/>
        <v>-1.38E-2</v>
      </c>
      <c r="Q11" s="3105"/>
      <c r="R11" s="3116">
        <f>ROUND(IF(项目基本情况!$B$8="出让",SUMPRODUCT(PRODUCT(1+K11:$K$24)),SUMPRODUCT(PRODUCT(1+K11:$K$23))),4)</f>
        <v>1.0748</v>
      </c>
      <c r="S11" s="3116">
        <f>ROUND(IF(项目基本情况!$B$8="出让",SUMPRODUCT(PRODUCT(1+L11:$L$24)),SUMPRODUCT(PRODUCT(1+L11:$L$23))),4)</f>
        <v>1.0498000000000001</v>
      </c>
      <c r="T11" s="3116">
        <f>ROUND(IF(项目基本情况!$B$8="出让",SUMPRODUCT(PRODUCT(1+M11:$M$24)),SUMPRODUCT(PRODUCT(1+M11:$M$23))),4)</f>
        <v>1.0107999999999999</v>
      </c>
      <c r="U11" s="3116">
        <f>ROUND(IF(项目基本情况!$B$8="出让",SUMPRODUCT(PRODUCT(1+N11:$N$24)),SUMPRODUCT(PRODUCT(1+N11:$N$23))),4)</f>
        <v>1.0752999999999999</v>
      </c>
      <c r="V11" s="3116">
        <f>ROUND(IF(项目基本情况!$B$8="出让",SUMPRODUCT(PRODUCT(1+O11:$O$24)),SUMPRODUCT(PRODUCT(1+O11:$O$23))),4)</f>
        <v>1.0841000000000001</v>
      </c>
      <c r="W11" s="3116">
        <f t="shared" si="7"/>
        <v>1.0107999999999999</v>
      </c>
      <c r="X11" s="3105"/>
      <c r="Y11" s="3107">
        <f t="shared" si="99"/>
        <v>5.8999999999999999E-3</v>
      </c>
      <c r="Z11" s="3107">
        <f t="shared" si="99"/>
        <v>3.5999999999999999E-3</v>
      </c>
      <c r="AA11" s="3107">
        <f t="shared" si="99"/>
        <v>5.9999999999999995E-4</v>
      </c>
      <c r="AB11" s="3107">
        <f t="shared" si="99"/>
        <v>6.0000000000000001E-3</v>
      </c>
      <c r="AC11" s="3107">
        <f t="shared" si="99"/>
        <v>6.0000000000000001E-3</v>
      </c>
      <c r="AD11" s="3107">
        <f t="shared" ref="AD11:AD23" si="103">AA11</f>
        <v>5.9999999999999995E-4</v>
      </c>
      <c r="AF11" s="3402">
        <f t="shared" si="75"/>
        <v>107.48</v>
      </c>
      <c r="AG11" s="3402">
        <f t="shared" si="76"/>
        <v>104.98</v>
      </c>
      <c r="AH11" s="3402">
        <f t="shared" si="77"/>
        <v>101.08</v>
      </c>
      <c r="AI11" s="3402">
        <f t="shared" si="78"/>
        <v>107.52999999999999</v>
      </c>
      <c r="AJ11" s="3402">
        <f t="shared" si="79"/>
        <v>108.41000000000001</v>
      </c>
      <c r="AK11" s="3402">
        <f t="shared" si="80"/>
        <v>101.08</v>
      </c>
      <c r="AM11" s="3402">
        <f t="shared" si="57"/>
        <v>102.07628217171533</v>
      </c>
      <c r="AN11" s="3402">
        <f t="shared" si="58"/>
        <v>102.63085156012427</v>
      </c>
      <c r="AO11" s="3402">
        <f t="shared" si="59"/>
        <v>103.90039803853091</v>
      </c>
      <c r="AP11" s="3402">
        <f t="shared" si="60"/>
        <v>100.99020186867487</v>
      </c>
      <c r="AQ11" s="3402">
        <f t="shared" si="61"/>
        <v>99.502526184780493</v>
      </c>
      <c r="AR11" s="3402">
        <f t="shared" si="62"/>
        <v>103.90039803853091</v>
      </c>
    </row>
    <row r="12" spans="1:44">
      <c r="A12" s="3088" t="s">
        <v>3247</v>
      </c>
      <c r="B12" s="3137">
        <v>2024</v>
      </c>
      <c r="C12" s="3138">
        <v>1</v>
      </c>
      <c r="D12" s="3138">
        <v>0.08</v>
      </c>
      <c r="E12" s="3138">
        <v>0.46</v>
      </c>
      <c r="F12" s="3138">
        <v>-0.16</v>
      </c>
      <c r="G12" s="3138">
        <v>0.26</v>
      </c>
      <c r="H12" s="3144">
        <v>0.59</v>
      </c>
      <c r="I12" s="3139">
        <f t="shared" si="101"/>
        <v>-0.16</v>
      </c>
      <c r="J12" s="3105"/>
      <c r="K12" s="3106">
        <f t="shared" ref="K12" si="104">D12/100</f>
        <v>8.0000000000000004E-4</v>
      </c>
      <c r="L12" s="3107">
        <f t="shared" ref="L12" si="105">E12/100</f>
        <v>4.5999999999999999E-3</v>
      </c>
      <c r="M12" s="3107">
        <f t="shared" ref="M12" si="106">F12/100</f>
        <v>-1.6000000000000001E-3</v>
      </c>
      <c r="N12" s="3107">
        <f t="shared" ref="N12" si="107">G12/100</f>
        <v>2.5999999999999999E-3</v>
      </c>
      <c r="O12" s="3107">
        <f t="shared" ref="O12" si="108">H12/100</f>
        <v>5.8999999999999999E-3</v>
      </c>
      <c r="P12" s="3107">
        <f t="shared" ref="P12" si="109">M12</f>
        <v>-1.6000000000000001E-3</v>
      </c>
      <c r="Q12" s="3105"/>
      <c r="R12" s="3116">
        <f>ROUND(IF(项目基本情况!$B$8="出让",SUMPRODUCT(PRODUCT(1+K12:$K$24)),SUMPRODUCT(PRODUCT(1+K12:$K$23))),4)</f>
        <v>1.0811999999999999</v>
      </c>
      <c r="S12" s="3116">
        <f>ROUND(IF(项目基本情况!$B$8="出让",SUMPRODUCT(PRODUCT(1+L12:$L$24)),SUMPRODUCT(PRODUCT(1+L12:$L$23))),4)</f>
        <v>1.052</v>
      </c>
      <c r="T12" s="3116">
        <f>ROUND(IF(项目基本情况!$B$8="出让",SUMPRODUCT(PRODUCT(1+M12:$M$24)),SUMPRODUCT(PRODUCT(1+M12:$M$23))),4)</f>
        <v>1.0249999999999999</v>
      </c>
      <c r="U12" s="3116">
        <f>ROUND(IF(项目基本情况!$B$8="出让",SUMPRODUCT(PRODUCT(1+N12:$N$24)),SUMPRODUCT(PRODUCT(1+N12:$N$23))),4)</f>
        <v>1.0888</v>
      </c>
      <c r="V12" s="3116">
        <f>ROUND(IF(项目基本情况!$B$8="出让",SUMPRODUCT(PRODUCT(1+O12:$O$24)),SUMPRODUCT(PRODUCT(1+O12:$O$23))),4)</f>
        <v>1.0804</v>
      </c>
      <c r="W12" s="3116">
        <f t="shared" ref="W12" si="110">T12</f>
        <v>1.0249999999999999</v>
      </c>
      <c r="X12" s="3105"/>
      <c r="Y12" s="3107">
        <f t="shared" ref="Y12" si="111">IF(D12=0,0,ROUND(AVERAGE(D12:D23)/100,4))</f>
        <v>6.4999999999999997E-3</v>
      </c>
      <c r="Z12" s="3107">
        <f t="shared" ref="Z12" si="112">IF(E12=0,0,ROUND(AVERAGE(E12:E23)/100,4))</f>
        <v>4.1999999999999997E-3</v>
      </c>
      <c r="AA12" s="3107">
        <f t="shared" ref="AA12" si="113">IF(F12=0,0,ROUND(AVERAGE(F12:F23)/100,4))</f>
        <v>2.0999999999999999E-3</v>
      </c>
      <c r="AB12" s="3107">
        <f t="shared" ref="AB12" si="114">IF(G12=0,0,ROUND(AVERAGE(G12:G23)/100,4))</f>
        <v>7.1000000000000004E-3</v>
      </c>
      <c r="AC12" s="3107">
        <f t="shared" ref="AC12" si="115">IF(H12=0,0,ROUND(AVERAGE(H12:H23)/100,4))</f>
        <v>6.4999999999999997E-3</v>
      </c>
      <c r="AD12" s="3107">
        <f t="shared" ref="AD12" si="116">AA12</f>
        <v>2.0999999999999999E-3</v>
      </c>
      <c r="AF12" s="3402">
        <f t="shared" si="75"/>
        <v>108.11999999999999</v>
      </c>
      <c r="AG12" s="3402">
        <f t="shared" si="76"/>
        <v>105.2</v>
      </c>
      <c r="AH12" s="3402">
        <f t="shared" si="77"/>
        <v>102.49999999999999</v>
      </c>
      <c r="AI12" s="3402">
        <f t="shared" si="78"/>
        <v>108.88</v>
      </c>
      <c r="AJ12" s="3402">
        <f t="shared" si="79"/>
        <v>108.04</v>
      </c>
      <c r="AK12" s="3402">
        <f t="shared" si="80"/>
        <v>102.49999999999999</v>
      </c>
      <c r="AM12" s="3402">
        <f t="shared" si="57"/>
        <v>102.68210660065922</v>
      </c>
      <c r="AN12" s="3402">
        <f t="shared" si="58"/>
        <v>102.8468299029204</v>
      </c>
      <c r="AO12" s="3402">
        <f t="shared" si="59"/>
        <v>105.35428720191737</v>
      </c>
      <c r="AP12" s="3402">
        <f t="shared" si="60"/>
        <v>102.25820359323093</v>
      </c>
      <c r="AQ12" s="3402">
        <f t="shared" si="61"/>
        <v>99.165363947359467</v>
      </c>
      <c r="AR12" s="3402">
        <f t="shared" si="62"/>
        <v>105.35428720191737</v>
      </c>
    </row>
    <row r="13" spans="1:44">
      <c r="A13" s="3088" t="s">
        <v>3242</v>
      </c>
      <c r="B13" s="3137">
        <v>2023</v>
      </c>
      <c r="C13" s="3138">
        <v>4</v>
      </c>
      <c r="D13" s="3138">
        <v>0.19</v>
      </c>
      <c r="E13" s="3138">
        <v>0.24</v>
      </c>
      <c r="F13" s="3138">
        <v>-0.16</v>
      </c>
      <c r="G13" s="3138">
        <v>0.17</v>
      </c>
      <c r="H13" s="3144">
        <v>0.61</v>
      </c>
      <c r="I13" s="3139">
        <f t="shared" ref="I13" si="117">F13</f>
        <v>-0.16</v>
      </c>
      <c r="J13" s="3105"/>
      <c r="K13" s="3106">
        <f t="shared" si="102"/>
        <v>1.9E-3</v>
      </c>
      <c r="L13" s="3107">
        <f t="shared" si="102"/>
        <v>2.3999999999999998E-3</v>
      </c>
      <c r="M13" s="3107">
        <f t="shared" si="102"/>
        <v>-1.6000000000000001E-3</v>
      </c>
      <c r="N13" s="3107">
        <f t="shared" si="102"/>
        <v>1.7000000000000001E-3</v>
      </c>
      <c r="O13" s="3107">
        <f t="shared" si="102"/>
        <v>6.0999999999999995E-3</v>
      </c>
      <c r="P13" s="3107">
        <f t="shared" ref="P13" si="118">M13</f>
        <v>-1.6000000000000001E-3</v>
      </c>
      <c r="Q13" s="3105"/>
      <c r="R13" s="3116">
        <f>ROUND(IF(项目基本情况!$B$8="出让",SUMPRODUCT(PRODUCT(1+K13:$K$24)),SUMPRODUCT(PRODUCT(1+K13:$K$23))),4)</f>
        <v>1.0804</v>
      </c>
      <c r="S13" s="3116">
        <f>ROUND(IF(项目基本情况!$B$8="出让",SUMPRODUCT(PRODUCT(1+L13:$L$24)),SUMPRODUCT(PRODUCT(1+L13:$L$23))),4)</f>
        <v>1.0471999999999999</v>
      </c>
      <c r="T13" s="3116">
        <f>ROUND(IF(项目基本情况!$B$8="出让",SUMPRODUCT(PRODUCT(1+M13:$M$24)),SUMPRODUCT(PRODUCT(1+M13:$M$23))),4)</f>
        <v>1.0266</v>
      </c>
      <c r="U13" s="3116">
        <f>ROUND(IF(项目基本情况!$B$8="出让",SUMPRODUCT(PRODUCT(1+N13:$N$24)),SUMPRODUCT(PRODUCT(1+N13:$N$23))),4)</f>
        <v>1.0859000000000001</v>
      </c>
      <c r="V13" s="3116">
        <f>ROUND(IF(项目基本情况!$B$8="出让",SUMPRODUCT(PRODUCT(1+O13:$O$24)),SUMPRODUCT(PRODUCT(1+O13:$O$23))),4)</f>
        <v>1.0741000000000001</v>
      </c>
      <c r="W13" s="3116">
        <f t="shared" ref="W13" si="119">T13</f>
        <v>1.0266</v>
      </c>
      <c r="X13" s="3105"/>
      <c r="Y13" s="3107">
        <f t="shared" ref="Y13" si="120">IF(D13=0,0,ROUND(AVERAGE(D13:D24)/100,4))</f>
        <v>7.3000000000000001E-3</v>
      </c>
      <c r="Z13" s="3107">
        <f t="shared" ref="Z13" si="121">IF(E13=0,0,ROUND(AVERAGE(E13:E24)/100,4))</f>
        <v>4.0000000000000001E-3</v>
      </c>
      <c r="AA13" s="3107">
        <f t="shared" ref="AA13" si="122">IF(F13=0,0,ROUND(AVERAGE(F13:F24)/100,4))</f>
        <v>2E-3</v>
      </c>
      <c r="AB13" s="3107">
        <f t="shared" ref="AB13" si="123">IF(G13=0,0,ROUND(AVERAGE(G13:G24)/100,4))</f>
        <v>7.7999999999999996E-3</v>
      </c>
      <c r="AC13" s="3107">
        <f t="shared" ref="AC13" si="124">IF(H13=0,0,ROUND(AVERAGE(H13:H24)/100,4))</f>
        <v>6.3E-3</v>
      </c>
      <c r="AD13" s="3107">
        <f t="shared" si="103"/>
        <v>2E-3</v>
      </c>
      <c r="AF13" s="3402">
        <f t="shared" si="75"/>
        <v>108.04</v>
      </c>
      <c r="AG13" s="3402">
        <f t="shared" si="76"/>
        <v>104.71999999999998</v>
      </c>
      <c r="AH13" s="3402">
        <f t="shared" si="77"/>
        <v>102.66</v>
      </c>
      <c r="AI13" s="3402">
        <f t="shared" si="78"/>
        <v>108.59</v>
      </c>
      <c r="AJ13" s="3402">
        <f t="shared" si="79"/>
        <v>107.41000000000001</v>
      </c>
      <c r="AK13" s="3402">
        <f t="shared" si="80"/>
        <v>102.66</v>
      </c>
      <c r="AM13" s="3402">
        <f t="shared" si="57"/>
        <v>102.60002657939572</v>
      </c>
      <c r="AN13" s="3402">
        <f t="shared" si="58"/>
        <v>102.37590075942704</v>
      </c>
      <c r="AO13" s="3402">
        <f t="shared" si="59"/>
        <v>105.52312420063839</v>
      </c>
      <c r="AP13" s="3402">
        <f t="shared" si="60"/>
        <v>101.99302173671548</v>
      </c>
      <c r="AQ13" s="3402">
        <f t="shared" si="61"/>
        <v>98.583719999363225</v>
      </c>
      <c r="AR13" s="3402">
        <f t="shared" si="62"/>
        <v>105.52312420063839</v>
      </c>
    </row>
    <row r="14" spans="1:44">
      <c r="A14" s="3088" t="s">
        <v>3241</v>
      </c>
      <c r="B14" s="3137">
        <v>2023</v>
      </c>
      <c r="C14" s="3138">
        <v>3</v>
      </c>
      <c r="D14" s="3138">
        <v>0.25</v>
      </c>
      <c r="E14" s="3138">
        <v>0.5</v>
      </c>
      <c r="F14" s="3138">
        <v>0.31</v>
      </c>
      <c r="G14" s="3138">
        <v>0.21</v>
      </c>
      <c r="H14" s="3144">
        <v>0.43</v>
      </c>
      <c r="I14" s="3139">
        <f t="shared" si="101"/>
        <v>0.31</v>
      </c>
      <c r="J14" s="3105"/>
      <c r="K14" s="3106">
        <f t="shared" ref="K14:K16" si="125">D14/100</f>
        <v>2.5000000000000001E-3</v>
      </c>
      <c r="L14" s="3107">
        <f t="shared" ref="L14:L16" si="126">E14/100</f>
        <v>5.0000000000000001E-3</v>
      </c>
      <c r="M14" s="3107">
        <f t="shared" ref="M14:M16" si="127">F14/100</f>
        <v>3.0999999999999999E-3</v>
      </c>
      <c r="N14" s="3107">
        <f t="shared" ref="N14:N16" si="128">G14/100</f>
        <v>2.0999999999999999E-3</v>
      </c>
      <c r="O14" s="3107">
        <f t="shared" ref="O14:O16" si="129">H14/100</f>
        <v>4.3E-3</v>
      </c>
      <c r="P14" s="3107">
        <f t="shared" ref="P14:P16" si="130">M14</f>
        <v>3.0999999999999999E-3</v>
      </c>
      <c r="Q14" s="3105"/>
      <c r="R14" s="3116">
        <f>ROUND(IF(项目基本情况!$B$8="出让",SUMPRODUCT(PRODUCT(1+K14:$K$24)),SUMPRODUCT(PRODUCT(1+K14:$K$23))),4)</f>
        <v>1.0783</v>
      </c>
      <c r="S14" s="3116">
        <f>ROUND(IF(项目基本情况!$B$8="出让",SUMPRODUCT(PRODUCT(1+L14:$L$24)),SUMPRODUCT(PRODUCT(1+L14:$L$23))),4)</f>
        <v>1.0447</v>
      </c>
      <c r="T14" s="3116">
        <f>ROUND(IF(项目基本情况!$B$8="出让",SUMPRODUCT(PRODUCT(1+M14:$M$24)),SUMPRODUCT(PRODUCT(1+M14:$M$23))),4)</f>
        <v>1.0282</v>
      </c>
      <c r="U14" s="3116">
        <f>ROUND(IF(项目基本情况!$B$8="出让",SUMPRODUCT(PRODUCT(1+N14:$N$24)),SUMPRODUCT(PRODUCT(1+N14:$N$23))),4)</f>
        <v>1.0841000000000001</v>
      </c>
      <c r="V14" s="3116">
        <f>ROUND(IF(项目基本情况!$B$8="出让",SUMPRODUCT(PRODUCT(1+O14:$O$24)),SUMPRODUCT(PRODUCT(1+O14:$O$23))),4)</f>
        <v>1.0674999999999999</v>
      </c>
      <c r="W14" s="3116">
        <f t="shared" ref="W14:W16" si="131">T14</f>
        <v>1.0282</v>
      </c>
      <c r="X14" s="3105"/>
      <c r="Y14" s="3107">
        <f t="shared" ref="Y14:AC14" si="132">IF(D14=0,0,ROUND(AVERAGE(D14:D25)/100,4))</f>
        <v>7.7999999999999996E-3</v>
      </c>
      <c r="Z14" s="3107">
        <f t="shared" si="132"/>
        <v>4.1000000000000003E-3</v>
      </c>
      <c r="AA14" s="3107">
        <f t="shared" si="132"/>
        <v>2.3E-3</v>
      </c>
      <c r="AB14" s="3107">
        <f t="shared" si="132"/>
        <v>8.3999999999999995E-3</v>
      </c>
      <c r="AC14" s="3107">
        <f t="shared" si="132"/>
        <v>6.3E-3</v>
      </c>
      <c r="AD14" s="3107">
        <f t="shared" ref="AD14:AD16" si="133">AA14</f>
        <v>2.3E-3</v>
      </c>
      <c r="AF14" s="3402">
        <f t="shared" si="75"/>
        <v>107.83</v>
      </c>
      <c r="AG14" s="3402">
        <f t="shared" si="76"/>
        <v>104.47</v>
      </c>
      <c r="AH14" s="3402">
        <f t="shared" si="77"/>
        <v>102.82</v>
      </c>
      <c r="AI14" s="3402">
        <f t="shared" si="78"/>
        <v>108.41000000000001</v>
      </c>
      <c r="AJ14" s="3402">
        <f t="shared" si="79"/>
        <v>106.74999999999999</v>
      </c>
      <c r="AK14" s="3402">
        <f t="shared" si="80"/>
        <v>102.82</v>
      </c>
      <c r="AM14" s="3402">
        <f t="shared" si="57"/>
        <v>102.40545621259179</v>
      </c>
      <c r="AN14" s="3402">
        <f t="shared" si="58"/>
        <v>102.1307868709368</v>
      </c>
      <c r="AO14" s="3402">
        <f t="shared" si="59"/>
        <v>105.69223177147275</v>
      </c>
      <c r="AP14" s="3402">
        <f t="shared" si="60"/>
        <v>101.81992785935456</v>
      </c>
      <c r="AQ14" s="3402">
        <f t="shared" si="61"/>
        <v>97.986005366626799</v>
      </c>
      <c r="AR14" s="3402">
        <f t="shared" si="62"/>
        <v>105.69223177147275</v>
      </c>
    </row>
    <row r="15" spans="1:44">
      <c r="A15" s="3088" t="s">
        <v>3239</v>
      </c>
      <c r="B15" s="3137">
        <v>2023</v>
      </c>
      <c r="C15" s="3138">
        <v>2</v>
      </c>
      <c r="D15" s="3138">
        <v>0.91</v>
      </c>
      <c r="E15" s="3138">
        <v>0.66</v>
      </c>
      <c r="F15" s="3138">
        <v>0.47</v>
      </c>
      <c r="G15" s="3138">
        <v>0.96</v>
      </c>
      <c r="H15" s="3144">
        <v>0.71</v>
      </c>
      <c r="I15" s="3139">
        <f t="shared" si="101"/>
        <v>0.47</v>
      </c>
      <c r="J15" s="3105"/>
      <c r="K15" s="3106">
        <f t="shared" si="125"/>
        <v>9.1000000000000004E-3</v>
      </c>
      <c r="L15" s="3107">
        <f t="shared" si="126"/>
        <v>6.6E-3</v>
      </c>
      <c r="M15" s="3107">
        <f t="shared" si="127"/>
        <v>4.6999999999999993E-3</v>
      </c>
      <c r="N15" s="3107">
        <f t="shared" si="128"/>
        <v>9.5999999999999992E-3</v>
      </c>
      <c r="O15" s="3107">
        <f t="shared" si="129"/>
        <v>7.0999999999999995E-3</v>
      </c>
      <c r="P15" s="3107">
        <f t="shared" si="130"/>
        <v>4.6999999999999993E-3</v>
      </c>
      <c r="Q15" s="3105"/>
      <c r="R15" s="3116">
        <f>ROUND(IF(项目基本情况!$B$8="出让",SUMPRODUCT(PRODUCT(1+K15:$K$24)),SUMPRODUCT(PRODUCT(1+K15:$K$23))),4)</f>
        <v>1.0755999999999999</v>
      </c>
      <c r="S15" s="3116">
        <f>ROUND(IF(项目基本情况!$B$8="出让",SUMPRODUCT(PRODUCT(1+L15:$L$24)),SUMPRODUCT(PRODUCT(1+L15:$L$23))),4)</f>
        <v>1.0395000000000001</v>
      </c>
      <c r="T15" s="3116">
        <f>ROUND(IF(项目基本情况!$B$8="出让",SUMPRODUCT(PRODUCT(1+M15:$M$24)),SUMPRODUCT(PRODUCT(1+M15:$M$23))),4)</f>
        <v>1.0250999999999999</v>
      </c>
      <c r="U15" s="3116">
        <f>ROUND(IF(项目基本情况!$B$8="出让",SUMPRODUCT(PRODUCT(1+N15:$N$24)),SUMPRODUCT(PRODUCT(1+N15:$N$23))),4)</f>
        <v>1.0818000000000001</v>
      </c>
      <c r="V15" s="3116">
        <f>ROUND(IF(项目基本情况!$B$8="出让",SUMPRODUCT(PRODUCT(1+O15:$O$24)),SUMPRODUCT(PRODUCT(1+O15:$O$23))),4)</f>
        <v>1.0629999999999999</v>
      </c>
      <c r="W15" s="3116">
        <f t="shared" si="131"/>
        <v>1.0250999999999999</v>
      </c>
      <c r="X15" s="3105"/>
      <c r="Y15" s="3107">
        <f t="shared" ref="Y15:AC15" si="134">IF(D15=0,0,ROUND(AVERAGE(D15:D26)/100,4))</f>
        <v>8.3000000000000001E-3</v>
      </c>
      <c r="Z15" s="3107">
        <f t="shared" si="134"/>
        <v>4.0000000000000001E-3</v>
      </c>
      <c r="AA15" s="3107">
        <f t="shared" si="134"/>
        <v>2.2000000000000001E-3</v>
      </c>
      <c r="AB15" s="3107">
        <f t="shared" si="134"/>
        <v>8.9999999999999993E-3</v>
      </c>
      <c r="AC15" s="3107">
        <f t="shared" si="134"/>
        <v>6.4999999999999997E-3</v>
      </c>
      <c r="AD15" s="3107">
        <f t="shared" si="133"/>
        <v>2.2000000000000001E-3</v>
      </c>
      <c r="AF15" s="3402">
        <f t="shared" si="75"/>
        <v>107.55999999999999</v>
      </c>
      <c r="AG15" s="3402">
        <f t="shared" si="76"/>
        <v>103.95</v>
      </c>
      <c r="AH15" s="3402">
        <f t="shared" si="77"/>
        <v>102.50999999999999</v>
      </c>
      <c r="AI15" s="3402">
        <f t="shared" si="78"/>
        <v>108.18</v>
      </c>
      <c r="AJ15" s="3402">
        <f t="shared" si="79"/>
        <v>106.3</v>
      </c>
      <c r="AK15" s="3402">
        <f t="shared" si="80"/>
        <v>102.50999999999999</v>
      </c>
      <c r="AM15" s="3402">
        <f t="shared" si="57"/>
        <v>102.15008101006663</v>
      </c>
      <c r="AN15" s="3402">
        <f t="shared" si="58"/>
        <v>101.62267350341972</v>
      </c>
      <c r="AO15" s="3402">
        <f t="shared" si="59"/>
        <v>105.36559841638196</v>
      </c>
      <c r="AP15" s="3402">
        <f t="shared" si="60"/>
        <v>101.60655409575348</v>
      </c>
      <c r="AQ15" s="3402">
        <f t="shared" si="61"/>
        <v>97.56646954757224</v>
      </c>
      <c r="AR15" s="3402">
        <f t="shared" si="62"/>
        <v>105.36559841638196</v>
      </c>
    </row>
    <row r="16" spans="1:44">
      <c r="A16" s="3088" t="s">
        <v>3237</v>
      </c>
      <c r="B16" s="3137">
        <v>2023</v>
      </c>
      <c r="C16" s="3138">
        <v>1</v>
      </c>
      <c r="D16" s="3138">
        <v>0.89</v>
      </c>
      <c r="E16" s="3138">
        <v>0.74</v>
      </c>
      <c r="F16" s="3138">
        <v>0.56999999999999995</v>
      </c>
      <c r="G16" s="3138">
        <v>0.92</v>
      </c>
      <c r="H16" s="3144">
        <v>0.5</v>
      </c>
      <c r="I16" s="3139">
        <f t="shared" si="101"/>
        <v>0.56999999999999995</v>
      </c>
      <c r="J16" s="3105"/>
      <c r="K16" s="3106">
        <f t="shared" si="125"/>
        <v>8.8999999999999999E-3</v>
      </c>
      <c r="L16" s="3107">
        <f t="shared" si="126"/>
        <v>7.4000000000000003E-3</v>
      </c>
      <c r="M16" s="3107">
        <f t="shared" si="127"/>
        <v>5.6999999999999993E-3</v>
      </c>
      <c r="N16" s="3107">
        <f t="shared" si="128"/>
        <v>9.1999999999999998E-3</v>
      </c>
      <c r="O16" s="3107">
        <f t="shared" si="129"/>
        <v>5.0000000000000001E-3</v>
      </c>
      <c r="P16" s="3107">
        <f t="shared" si="130"/>
        <v>5.6999999999999993E-3</v>
      </c>
      <c r="Q16" s="3105"/>
      <c r="R16" s="3116">
        <f>ROUND(IF(项目基本情况!$B$8="出让",SUMPRODUCT(PRODUCT(1+K16:$K$24)),SUMPRODUCT(PRODUCT(1+K16:$K$23))),4)</f>
        <v>1.0659000000000001</v>
      </c>
      <c r="S16" s="3116">
        <f>ROUND(IF(项目基本情况!$B$8="出让",SUMPRODUCT(PRODUCT(1+L16:$L$24)),SUMPRODUCT(PRODUCT(1+L16:$L$23))),4)</f>
        <v>1.0326</v>
      </c>
      <c r="T16" s="3116">
        <f>ROUND(IF(项目基本情况!$B$8="出让",SUMPRODUCT(PRODUCT(1+M16:$M$24)),SUMPRODUCT(PRODUCT(1+M16:$M$23))),4)</f>
        <v>1.0203</v>
      </c>
      <c r="U16" s="3116">
        <f>ROUND(IF(项目基本情况!$B$8="出让",SUMPRODUCT(PRODUCT(1+N16:$N$24)),SUMPRODUCT(PRODUCT(1+N16:$N$23))),4)</f>
        <v>1.0714999999999999</v>
      </c>
      <c r="V16" s="3116">
        <f>ROUND(IF(项目基本情况!$B$8="出让",SUMPRODUCT(PRODUCT(1+O16:$O$24)),SUMPRODUCT(PRODUCT(1+O16:$O$23))),4)</f>
        <v>1.0555000000000001</v>
      </c>
      <c r="W16" s="3116">
        <f t="shared" si="131"/>
        <v>1.0203</v>
      </c>
      <c r="X16" s="3105"/>
      <c r="Y16" s="3107">
        <f t="shared" ref="Y16:AC16" si="135">IF(D16=0,0,ROUND(AVERAGE(D16:D27)/100,4))</f>
        <v>8.2000000000000007E-3</v>
      </c>
      <c r="Z16" s="3107">
        <f t="shared" si="135"/>
        <v>3.8E-3</v>
      </c>
      <c r="AA16" s="3107">
        <f t="shared" si="135"/>
        <v>2E-3</v>
      </c>
      <c r="AB16" s="3107">
        <f t="shared" si="135"/>
        <v>8.8999999999999999E-3</v>
      </c>
      <c r="AC16" s="3107">
        <f t="shared" si="135"/>
        <v>6.4000000000000003E-3</v>
      </c>
      <c r="AD16" s="3107">
        <f t="shared" si="133"/>
        <v>2E-3</v>
      </c>
      <c r="AF16" s="3402">
        <f t="shared" si="75"/>
        <v>106.59</v>
      </c>
      <c r="AG16" s="3402">
        <f t="shared" si="76"/>
        <v>103.25999999999999</v>
      </c>
      <c r="AH16" s="3402">
        <f t="shared" si="77"/>
        <v>102.03</v>
      </c>
      <c r="AI16" s="3402">
        <f t="shared" si="78"/>
        <v>107.14999999999999</v>
      </c>
      <c r="AJ16" s="3402">
        <f t="shared" si="79"/>
        <v>105.55000000000001</v>
      </c>
      <c r="AK16" s="3402">
        <f t="shared" si="80"/>
        <v>102.03</v>
      </c>
      <c r="AM16" s="3402">
        <f t="shared" si="57"/>
        <v>101.22889803792152</v>
      </c>
      <c r="AN16" s="3402">
        <f t="shared" si="58"/>
        <v>100.95636151740486</v>
      </c>
      <c r="AO16" s="3402">
        <f t="shared" si="59"/>
        <v>104.87269674169599</v>
      </c>
      <c r="AP16" s="3402">
        <f t="shared" si="60"/>
        <v>100.6404061962693</v>
      </c>
      <c r="AQ16" s="3402">
        <f t="shared" si="61"/>
        <v>96.878631265586563</v>
      </c>
      <c r="AR16" s="3402">
        <f t="shared" si="62"/>
        <v>104.87269674169599</v>
      </c>
    </row>
    <row r="17" spans="1:44">
      <c r="A17" s="3088" t="s">
        <v>3235</v>
      </c>
      <c r="B17" s="3137">
        <v>2022</v>
      </c>
      <c r="C17" s="3138">
        <v>4</v>
      </c>
      <c r="D17" s="3138">
        <v>0.62</v>
      </c>
      <c r="E17" s="3138">
        <v>0.2</v>
      </c>
      <c r="F17" s="3138">
        <v>0.11</v>
      </c>
      <c r="G17" s="3138">
        <v>0.69</v>
      </c>
      <c r="H17" s="3144">
        <v>0.53</v>
      </c>
      <c r="I17" s="3139">
        <f t="shared" si="101"/>
        <v>0.11</v>
      </c>
      <c r="J17" s="3105"/>
      <c r="K17" s="3106">
        <f t="shared" si="102"/>
        <v>6.1999999999999998E-3</v>
      </c>
      <c r="L17" s="3107">
        <f t="shared" si="102"/>
        <v>2E-3</v>
      </c>
      <c r="M17" s="3107">
        <f t="shared" si="102"/>
        <v>1.1000000000000001E-3</v>
      </c>
      <c r="N17" s="3107">
        <f t="shared" si="102"/>
        <v>6.8999999999999999E-3</v>
      </c>
      <c r="O17" s="3107">
        <f t="shared" si="102"/>
        <v>5.3E-3</v>
      </c>
      <c r="P17" s="3107">
        <f t="shared" ref="P17:P24" si="136">M17</f>
        <v>1.1000000000000001E-3</v>
      </c>
      <c r="Q17" s="3105"/>
      <c r="R17" s="3116">
        <f>ROUND(IF(项目基本情况!B8="出让",SUMPRODUCT(PRODUCT(1+K17:K24)),SUMPRODUCT(PRODUCT(1+K17:K23))),4)</f>
        <v>1.0565</v>
      </c>
      <c r="S17" s="3116">
        <f>ROUND(IF(项目基本情况!B8="出让",SUMPRODUCT(PRODUCT(1+L17:L24)),SUMPRODUCT(PRODUCT(1+L17:L23))),4)</f>
        <v>1.0250999999999999</v>
      </c>
      <c r="T17" s="3116">
        <f>ROUND(IF(项目基本情况!B8="出让",SUMPRODUCT(PRODUCT(1+M17:M24)),SUMPRODUCT(PRODUCT(1+M17:M23))),4)</f>
        <v>1.0145</v>
      </c>
      <c r="U17" s="3116">
        <f>ROUND(IF(项目基本情况!B8="出让",SUMPRODUCT(PRODUCT(1+N17:N24)),SUMPRODUCT(PRODUCT(1+N17:N23))),4)</f>
        <v>1.0618000000000001</v>
      </c>
      <c r="V17" s="3116">
        <f>ROUND(IF(项目基本情况!B8="出让",SUMPRODUCT(PRODUCT(1+O17:O24)),SUMPRODUCT(PRODUCT(1+O17:O23))),4)</f>
        <v>1.0502</v>
      </c>
      <c r="W17" s="3116">
        <f t="shared" ref="W17:W24" si="137">T17</f>
        <v>1.0145</v>
      </c>
      <c r="X17" s="3105"/>
      <c r="Y17" s="3107">
        <f>IF(D17=0,0,ROUND(AVERAGE(D17:D25)/100,4))</f>
        <v>8.0999999999999996E-3</v>
      </c>
      <c r="Z17" s="3107">
        <f>IF(E17=0,0,ROUND(AVERAGE(E17:E24)/100,4))</f>
        <v>3.3E-3</v>
      </c>
      <c r="AA17" s="3107">
        <f>IF(F17=0,0,ROUND(AVERAGE(F17:F24)/100,4))</f>
        <v>1.5E-3</v>
      </c>
      <c r="AB17" s="3107">
        <f>IF(G17=0,0,ROUND(AVERAGE(G17:G24)/100,4))</f>
        <v>8.8999999999999999E-3</v>
      </c>
      <c r="AC17" s="3107">
        <f>IF(H17=0,0,ROUND(AVERAGE(H17:H24)/100,4))</f>
        <v>6.6E-3</v>
      </c>
      <c r="AD17" s="3107">
        <f t="shared" si="103"/>
        <v>1.5E-3</v>
      </c>
      <c r="AF17" s="3402">
        <f t="shared" si="75"/>
        <v>105.65</v>
      </c>
      <c r="AG17" s="3402">
        <f t="shared" si="76"/>
        <v>102.50999999999999</v>
      </c>
      <c r="AH17" s="3402">
        <f t="shared" si="77"/>
        <v>101.44999999999999</v>
      </c>
      <c r="AI17" s="3402">
        <f t="shared" si="78"/>
        <v>106.18</v>
      </c>
      <c r="AJ17" s="3402">
        <f t="shared" si="79"/>
        <v>105.02</v>
      </c>
      <c r="AK17" s="3402">
        <f t="shared" si="80"/>
        <v>101.44999999999999</v>
      </c>
      <c r="AM17" s="3402">
        <f t="shared" si="57"/>
        <v>100.33590845269256</v>
      </c>
      <c r="AN17" s="3402">
        <f t="shared" si="58"/>
        <v>100.2147722031019</v>
      </c>
      <c r="AO17" s="3402">
        <f t="shared" si="59"/>
        <v>104.27831037257232</v>
      </c>
      <c r="AP17" s="3402">
        <f t="shared" si="60"/>
        <v>99.722955010175667</v>
      </c>
      <c r="AQ17" s="3402">
        <f t="shared" si="61"/>
        <v>96.396648025459271</v>
      </c>
      <c r="AR17" s="3402">
        <f t="shared" si="62"/>
        <v>104.27831037257232</v>
      </c>
    </row>
    <row r="18" spans="1:44">
      <c r="A18" s="3088" t="s">
        <v>3232</v>
      </c>
      <c r="B18" s="3137">
        <v>2022</v>
      </c>
      <c r="C18" s="3138">
        <v>3</v>
      </c>
      <c r="D18" s="3138">
        <v>0.66</v>
      </c>
      <c r="E18" s="3138">
        <v>0.32</v>
      </c>
      <c r="F18" s="3138">
        <v>0.23</v>
      </c>
      <c r="G18" s="3138">
        <v>0.72</v>
      </c>
      <c r="H18" s="3144">
        <v>0.63</v>
      </c>
      <c r="I18" s="3139">
        <f t="shared" si="101"/>
        <v>0.23</v>
      </c>
      <c r="J18" s="3105"/>
      <c r="K18" s="3106">
        <f t="shared" si="102"/>
        <v>6.6E-3</v>
      </c>
      <c r="L18" s="3107">
        <f t="shared" si="102"/>
        <v>3.2000000000000002E-3</v>
      </c>
      <c r="M18" s="3107">
        <f t="shared" si="102"/>
        <v>2.3E-3</v>
      </c>
      <c r="N18" s="3107">
        <f t="shared" si="102"/>
        <v>7.1999999999999998E-3</v>
      </c>
      <c r="O18" s="3107">
        <f t="shared" si="102"/>
        <v>6.3E-3</v>
      </c>
      <c r="P18" s="3107">
        <f t="shared" si="136"/>
        <v>2.3E-3</v>
      </c>
      <c r="Q18" s="3105"/>
      <c r="R18" s="3116">
        <f>ROUND(IF(项目基本情况!B8="出让",SUMPRODUCT(PRODUCT(1+K18:K24)),SUMPRODUCT(PRODUCT(1+K18:K23))),4)</f>
        <v>1.05</v>
      </c>
      <c r="S18" s="3116">
        <f>ROUND(IF(项目基本情况!B8="出让",SUMPRODUCT(PRODUCT(1+L18:L24)),SUMPRODUCT(PRODUCT(1+L18:L23))),4)</f>
        <v>1.0229999999999999</v>
      </c>
      <c r="T18" s="3116">
        <f>ROUND(IF(项目基本情况!B8="出让",SUMPRODUCT(PRODUCT(1+M18:M24)),SUMPRODUCT(PRODUCT(1+M18:M23))),4)</f>
        <v>1.0134000000000001</v>
      </c>
      <c r="U18" s="3116">
        <f>ROUND(IF(项目基本情况!B8="出让",SUMPRODUCT(PRODUCT(1+N18:N24)),SUMPRODUCT(PRODUCT(1+N18:N23))),4)</f>
        <v>1.0545</v>
      </c>
      <c r="V18" s="3116">
        <f>ROUND(IF(项目基本情况!B8="出让",SUMPRODUCT(PRODUCT(1+O18:O24)),SUMPRODUCT(PRODUCT(1+O18:O23))),4)</f>
        <v>1.0447</v>
      </c>
      <c r="W18" s="3116">
        <f t="shared" si="137"/>
        <v>1.0134000000000001</v>
      </c>
      <c r="X18" s="3105"/>
      <c r="Y18" s="3107">
        <f>IF(D18=0,0,ROUND(AVERAGE(D18:D24)/100,4))</f>
        <v>8.3999999999999995E-3</v>
      </c>
      <c r="Z18" s="3107">
        <f>IF(E18=0,0,ROUND(AVERAGE(E18:E24)/100,4))</f>
        <v>3.5000000000000001E-3</v>
      </c>
      <c r="AA18" s="3107">
        <f>IF(F18=0,0,ROUND(AVERAGE(F18:F24)/100,4))</f>
        <v>1.5E-3</v>
      </c>
      <c r="AB18" s="3107">
        <f>IF(G18=0,0,ROUND(AVERAGE(G18:G24)/100,4))</f>
        <v>9.1999999999999998E-3</v>
      </c>
      <c r="AC18" s="3107">
        <f>IF(H18=0,0,ROUND(AVERAGE(H18:H24)/100,4))</f>
        <v>6.7999999999999996E-3</v>
      </c>
      <c r="AD18" s="3107">
        <f t="shared" si="103"/>
        <v>1.5E-3</v>
      </c>
      <c r="AF18" s="3402">
        <f t="shared" si="75"/>
        <v>105</v>
      </c>
      <c r="AG18" s="3402">
        <f t="shared" si="76"/>
        <v>102.3</v>
      </c>
      <c r="AH18" s="3402">
        <f t="shared" si="77"/>
        <v>101.34</v>
      </c>
      <c r="AI18" s="3402">
        <f t="shared" si="78"/>
        <v>105.45</v>
      </c>
      <c r="AJ18" s="3402">
        <f t="shared" si="79"/>
        <v>104.47</v>
      </c>
      <c r="AK18" s="3402">
        <f t="shared" si="80"/>
        <v>101.34</v>
      </c>
      <c r="AM18" s="3402">
        <f t="shared" si="57"/>
        <v>99.717658967096568</v>
      </c>
      <c r="AN18" s="3402">
        <f t="shared" si="58"/>
        <v>100.01474271766656</v>
      </c>
      <c r="AO18" s="3402">
        <f t="shared" si="59"/>
        <v>104.1637302692761</v>
      </c>
      <c r="AP18" s="3402">
        <f t="shared" si="60"/>
        <v>99.039581895099488</v>
      </c>
      <c r="AQ18" s="3402">
        <f t="shared" si="61"/>
        <v>95.888439297184192</v>
      </c>
      <c r="AR18" s="3402">
        <f t="shared" si="62"/>
        <v>104.1637302692761</v>
      </c>
    </row>
    <row r="19" spans="1:44">
      <c r="A19" s="3088" t="s">
        <v>3233</v>
      </c>
      <c r="B19" s="3137">
        <v>2022</v>
      </c>
      <c r="C19" s="3138">
        <v>2</v>
      </c>
      <c r="D19" s="3138">
        <v>0.93</v>
      </c>
      <c r="E19" s="3138">
        <v>0.15</v>
      </c>
      <c r="F19" s="3138">
        <v>0.01</v>
      </c>
      <c r="G19" s="3138">
        <v>1.05</v>
      </c>
      <c r="H19" s="3144">
        <v>1.08</v>
      </c>
      <c r="I19" s="3139">
        <f t="shared" si="101"/>
        <v>0.01</v>
      </c>
      <c r="J19" s="3105"/>
      <c r="K19" s="3106">
        <f t="shared" si="102"/>
        <v>9.300000000000001E-3</v>
      </c>
      <c r="L19" s="3107">
        <f t="shared" si="102"/>
        <v>1.5E-3</v>
      </c>
      <c r="M19" s="3107">
        <f t="shared" si="102"/>
        <v>1E-4</v>
      </c>
      <c r="N19" s="3107">
        <f t="shared" si="102"/>
        <v>1.0500000000000001E-2</v>
      </c>
      <c r="O19" s="3107">
        <f t="shared" si="102"/>
        <v>1.0800000000000001E-2</v>
      </c>
      <c r="P19" s="3107">
        <f t="shared" si="136"/>
        <v>1E-4</v>
      </c>
      <c r="Q19" s="3105"/>
      <c r="R19" s="3116">
        <f>ROUND(IF(项目基本情况!B8="出让",SUMPRODUCT(PRODUCT(1+K19:K24)),SUMPRODUCT(PRODUCT(1+K19:K23))),4)</f>
        <v>1.0430999999999999</v>
      </c>
      <c r="S19" s="3116">
        <f>ROUND(IF(项目基本情况!B8="出让",SUMPRODUCT(PRODUCT(1+L19:L24)),SUMPRODUCT(PRODUCT(1+L19:L23))),4)</f>
        <v>1.0197000000000001</v>
      </c>
      <c r="T19" s="3116">
        <f>ROUND(IF(项目基本情况!B8="出让",SUMPRODUCT(PRODUCT(1+M19:M24)),SUMPRODUCT(PRODUCT(1+M19:M23))),4)</f>
        <v>1.0109999999999999</v>
      </c>
      <c r="U19" s="3116">
        <f>ROUND(IF(项目基本情况!B8="出让",SUMPRODUCT(PRODUCT(1+N19:N24)),SUMPRODUCT(PRODUCT(1+N19:N23))),4)</f>
        <v>1.0468999999999999</v>
      </c>
      <c r="V19" s="3116">
        <f>ROUND(IF(项目基本情况!B8="出让",SUMPRODUCT(PRODUCT(1+O19:O24)),SUMPRODUCT(PRODUCT(1+O19:O23))),4)</f>
        <v>1.0382</v>
      </c>
      <c r="W19" s="3116">
        <f t="shared" si="137"/>
        <v>1.0109999999999999</v>
      </c>
      <c r="X19" s="3105"/>
      <c r="Y19" s="3107">
        <f>IF(D19=0,0,ROUND(AVERAGE(D19:D24)/100,4))</f>
        <v>8.6999999999999994E-3</v>
      </c>
      <c r="Z19" s="3107">
        <f>IF(E19=0,0,ROUND(AVERAGE(E19:E24)/100,4))</f>
        <v>3.5000000000000001E-3</v>
      </c>
      <c r="AA19" s="3107">
        <f>IF(F19=0,0,ROUND(AVERAGE(F19:F24)/100,4))</f>
        <v>1.4E-3</v>
      </c>
      <c r="AB19" s="3107">
        <f>IF(G19=0,0,ROUND(AVERAGE(G19:G24)/100,4))</f>
        <v>9.4999999999999998E-3</v>
      </c>
      <c r="AC19" s="3107">
        <f>IF(H19=0,0,ROUND(AVERAGE(H19:H24)/100,4))</f>
        <v>6.8999999999999999E-3</v>
      </c>
      <c r="AD19" s="3107">
        <f t="shared" si="103"/>
        <v>1.4E-3</v>
      </c>
      <c r="AF19" s="3402">
        <f t="shared" si="75"/>
        <v>104.30999999999999</v>
      </c>
      <c r="AG19" s="3402">
        <f t="shared" si="76"/>
        <v>101.97</v>
      </c>
      <c r="AH19" s="3402">
        <f t="shared" si="77"/>
        <v>101.1</v>
      </c>
      <c r="AI19" s="3402">
        <f t="shared" si="78"/>
        <v>104.69</v>
      </c>
      <c r="AJ19" s="3402">
        <f t="shared" si="79"/>
        <v>103.82000000000001</v>
      </c>
      <c r="AK19" s="3402">
        <f t="shared" si="80"/>
        <v>101.1</v>
      </c>
      <c r="AM19" s="3402">
        <f t="shared" si="57"/>
        <v>99.063837638681278</v>
      </c>
      <c r="AN19" s="3402">
        <f t="shared" si="58"/>
        <v>99.695716425106212</v>
      </c>
      <c r="AO19" s="3402">
        <f t="shared" si="59"/>
        <v>103.92470345133803</v>
      </c>
      <c r="AP19" s="3402">
        <f t="shared" si="60"/>
        <v>98.331594415309254</v>
      </c>
      <c r="AQ19" s="3402">
        <f t="shared" si="61"/>
        <v>95.288124115258071</v>
      </c>
      <c r="AR19" s="3402">
        <f t="shared" si="62"/>
        <v>103.92470345133803</v>
      </c>
    </row>
    <row r="20" spans="1:44">
      <c r="A20" s="3088" t="s">
        <v>2769</v>
      </c>
      <c r="B20" s="3137">
        <v>2022</v>
      </c>
      <c r="C20" s="3138">
        <v>1</v>
      </c>
      <c r="D20" s="3138">
        <v>0.89</v>
      </c>
      <c r="E20" s="3138">
        <v>0.44</v>
      </c>
      <c r="F20" s="3138">
        <v>0.37</v>
      </c>
      <c r="G20" s="3138">
        <v>0.96</v>
      </c>
      <c r="H20" s="3144">
        <v>0.64</v>
      </c>
      <c r="I20" s="3139">
        <f t="shared" si="101"/>
        <v>0.37</v>
      </c>
      <c r="J20" s="3105"/>
      <c r="K20" s="3106">
        <f t="shared" si="102"/>
        <v>8.8999999999999999E-3</v>
      </c>
      <c r="L20" s="3107">
        <f t="shared" si="102"/>
        <v>4.4000000000000003E-3</v>
      </c>
      <c r="M20" s="3107">
        <f t="shared" si="102"/>
        <v>3.7000000000000002E-3</v>
      </c>
      <c r="N20" s="3107">
        <f t="shared" si="102"/>
        <v>9.5999999999999992E-3</v>
      </c>
      <c r="O20" s="3107">
        <f t="shared" si="102"/>
        <v>6.4000000000000003E-3</v>
      </c>
      <c r="P20" s="3107">
        <f t="shared" si="136"/>
        <v>3.7000000000000002E-3</v>
      </c>
      <c r="Q20" s="3105"/>
      <c r="R20" s="3116">
        <f>ROUND(IF(项目基本情况!B8="出让",SUMPRODUCT(PRODUCT(1+K20:K24)),SUMPRODUCT(PRODUCT(1+K20:K23))),4)</f>
        <v>1.0335000000000001</v>
      </c>
      <c r="S20" s="3116">
        <f>ROUND(IF(项目基本情况!B8="出让",SUMPRODUCT(PRODUCT(1+L20:L24)),SUMPRODUCT(PRODUCT(1+L20:L23))),4)</f>
        <v>1.0182</v>
      </c>
      <c r="T20" s="3116">
        <f>ROUND(IF(项目基本情况!B8="出让",SUMPRODUCT(PRODUCT(1+M20:M24)),SUMPRODUCT(PRODUCT(1+M20:M23))),4)</f>
        <v>1.0108999999999999</v>
      </c>
      <c r="U20" s="3116">
        <f>ROUND(IF(项目基本情况!B8="出让",SUMPRODUCT(PRODUCT(1+N20:N24)),SUMPRODUCT(PRODUCT(1+N20:N23))),4)</f>
        <v>1.0361</v>
      </c>
      <c r="V20" s="3116">
        <f>ROUND(IF(项目基本情况!B8="出让",SUMPRODUCT(PRODUCT(1+O20:O24)),SUMPRODUCT(PRODUCT(1+O20:O23))),4)</f>
        <v>1.0270999999999999</v>
      </c>
      <c r="W20" s="3116">
        <f t="shared" si="137"/>
        <v>1.0108999999999999</v>
      </c>
      <c r="X20" s="3105"/>
      <c r="Y20" s="3107">
        <f>IF(D20=0,0,ROUND(AVERAGE(D20:D24)/100,4))</f>
        <v>8.6E-3</v>
      </c>
      <c r="Z20" s="3107">
        <f>IF(E20=0,0,ROUND(AVERAGE(E20:E24)/100,4))</f>
        <v>3.8999999999999998E-3</v>
      </c>
      <c r="AA20" s="3107">
        <f>IF(F20=0,0,ROUND(AVERAGE(F20:F24)/100,4))</f>
        <v>1.6999999999999999E-3</v>
      </c>
      <c r="AB20" s="3107">
        <f>IF(G20=0,0,ROUND(AVERAGE(G20:G24)/100,4))</f>
        <v>9.2999999999999992E-3</v>
      </c>
      <c r="AC20" s="3107">
        <f>IF(H20=0,0,ROUND(AVERAGE(H20:H24)/100,4))</f>
        <v>6.1000000000000004E-3</v>
      </c>
      <c r="AD20" s="3107">
        <f t="shared" si="103"/>
        <v>1.6999999999999999E-3</v>
      </c>
      <c r="AF20" s="3402">
        <f t="shared" si="75"/>
        <v>103.35000000000001</v>
      </c>
      <c r="AG20" s="3402">
        <f t="shared" si="76"/>
        <v>101.82</v>
      </c>
      <c r="AH20" s="3402">
        <f t="shared" si="77"/>
        <v>101.08999999999999</v>
      </c>
      <c r="AI20" s="3402">
        <f t="shared" si="78"/>
        <v>103.61</v>
      </c>
      <c r="AJ20" s="3402">
        <f t="shared" si="79"/>
        <v>102.71</v>
      </c>
      <c r="AK20" s="3402">
        <f t="shared" si="80"/>
        <v>101.08999999999999</v>
      </c>
      <c r="AM20" s="3402">
        <f t="shared" si="57"/>
        <v>98.151033031488424</v>
      </c>
      <c r="AN20" s="3402">
        <f t="shared" si="58"/>
        <v>99.546396829861408</v>
      </c>
      <c r="AO20" s="3402">
        <f t="shared" si="59"/>
        <v>103.91431202013602</v>
      </c>
      <c r="AP20" s="3402">
        <f t="shared" si="60"/>
        <v>97.309841083928021</v>
      </c>
      <c r="AQ20" s="3402">
        <f t="shared" si="61"/>
        <v>94.270008028549739</v>
      </c>
      <c r="AR20" s="3402">
        <f t="shared" si="62"/>
        <v>103.91431202013602</v>
      </c>
    </row>
    <row r="21" spans="1:44">
      <c r="A21" s="3088" t="s">
        <v>2770</v>
      </c>
      <c r="B21" s="3137">
        <v>2021</v>
      </c>
      <c r="C21" s="3138">
        <v>4</v>
      </c>
      <c r="D21" s="3138">
        <v>1.03</v>
      </c>
      <c r="E21" s="3138">
        <v>0.24</v>
      </c>
      <c r="F21" s="3138">
        <v>7.0000000000000007E-2</v>
      </c>
      <c r="G21" s="3138">
        <v>1.17</v>
      </c>
      <c r="H21" s="3144">
        <v>0.55000000000000004</v>
      </c>
      <c r="I21" s="3139">
        <f t="shared" si="101"/>
        <v>7.0000000000000007E-2</v>
      </c>
      <c r="J21" s="3105"/>
      <c r="K21" s="3106">
        <f t="shared" si="102"/>
        <v>1.03E-2</v>
      </c>
      <c r="L21" s="3107">
        <f t="shared" si="102"/>
        <v>2.3999999999999998E-3</v>
      </c>
      <c r="M21" s="3107">
        <f t="shared" si="102"/>
        <v>7.000000000000001E-4</v>
      </c>
      <c r="N21" s="3107">
        <f t="shared" si="102"/>
        <v>1.1699999999999999E-2</v>
      </c>
      <c r="O21" s="3107">
        <f t="shared" si="102"/>
        <v>5.5000000000000005E-3</v>
      </c>
      <c r="P21" s="3107">
        <f t="shared" si="136"/>
        <v>7.000000000000001E-4</v>
      </c>
      <c r="Q21" s="3105"/>
      <c r="R21" s="3116">
        <f>ROUND(IF(项目基本情况!B8="出让",SUMPRODUCT(PRODUCT(1+K21:K24)),SUMPRODUCT(PRODUCT(1+K21:K23))),4)</f>
        <v>1.0244</v>
      </c>
      <c r="S21" s="3116">
        <f>ROUND(IF(项目基本情况!B8="出让",SUMPRODUCT(PRODUCT(1+L21:L24)),SUMPRODUCT(PRODUCT(1+L21:L23))),4)</f>
        <v>1.0138</v>
      </c>
      <c r="T21" s="3116">
        <f>ROUND(IF(项目基本情况!B8="出让",SUMPRODUCT(PRODUCT(1+M21:M24)),SUMPRODUCT(PRODUCT(1+M21:M23))),4)</f>
        <v>1.0072000000000001</v>
      </c>
      <c r="U21" s="3116">
        <f>ROUND(IF(项目基本情况!B8="出让",SUMPRODUCT(PRODUCT(1+N21:N24)),SUMPRODUCT(PRODUCT(1+N21:N23))),4)</f>
        <v>1.0262</v>
      </c>
      <c r="V21" s="3116">
        <f>ROUND(IF(项目基本情况!B8="出让",SUMPRODUCT(PRODUCT(1+O21:O24)),SUMPRODUCT(PRODUCT(1+O21:O23))),4)</f>
        <v>1.0205</v>
      </c>
      <c r="W21" s="3116">
        <f t="shared" si="137"/>
        <v>1.0072000000000001</v>
      </c>
      <c r="X21" s="3105"/>
      <c r="Y21" s="3107">
        <f>IF(D21=0,0,ROUND(AVERAGE(D21:D24)/100,4))</f>
        <v>8.5000000000000006E-3</v>
      </c>
      <c r="Z21" s="3107">
        <f>IF(E21=0,0,ROUND(AVERAGE(E21:E24)/100,4))</f>
        <v>3.8E-3</v>
      </c>
      <c r="AA21" s="3107">
        <f>IF(F21=0,0,ROUND(AVERAGE(F21:F24)/100,4))</f>
        <v>1.1999999999999999E-3</v>
      </c>
      <c r="AB21" s="3107">
        <f>IF(G21=0,0,ROUND(AVERAGE(G21:G24)/100,4))</f>
        <v>9.2999999999999992E-3</v>
      </c>
      <c r="AC21" s="3107">
        <f>IF(H21=0,0,ROUND(AVERAGE(H21:H24)/100,4))</f>
        <v>6.0000000000000001E-3</v>
      </c>
      <c r="AD21" s="3107">
        <f t="shared" si="103"/>
        <v>1.1999999999999999E-3</v>
      </c>
      <c r="AF21" s="3402">
        <f t="shared" si="75"/>
        <v>102.44</v>
      </c>
      <c r="AG21" s="3402">
        <f t="shared" si="76"/>
        <v>101.38000000000001</v>
      </c>
      <c r="AH21" s="3402">
        <f t="shared" si="77"/>
        <v>100.72000000000001</v>
      </c>
      <c r="AI21" s="3402">
        <f t="shared" si="78"/>
        <v>102.62</v>
      </c>
      <c r="AJ21" s="3402">
        <f t="shared" si="79"/>
        <v>102.05</v>
      </c>
      <c r="AK21" s="3402">
        <f t="shared" si="80"/>
        <v>100.72000000000001</v>
      </c>
      <c r="AM21" s="3402">
        <f t="shared" si="57"/>
        <v>97.285194797788122</v>
      </c>
      <c r="AN21" s="3402">
        <f t="shared" si="58"/>
        <v>99.11031145943987</v>
      </c>
      <c r="AO21" s="3402">
        <f t="shared" si="59"/>
        <v>103.53124640842485</v>
      </c>
      <c r="AP21" s="3402">
        <f t="shared" si="60"/>
        <v>96.384549409595891</v>
      </c>
      <c r="AQ21" s="3402">
        <f t="shared" si="61"/>
        <v>93.670516721531939</v>
      </c>
      <c r="AR21" s="3402">
        <f t="shared" si="62"/>
        <v>103.53124640842485</v>
      </c>
    </row>
    <row r="22" spans="1:44">
      <c r="A22" s="3088" t="s">
        <v>2771</v>
      </c>
      <c r="B22" s="3137">
        <v>2021</v>
      </c>
      <c r="C22" s="3138">
        <v>3</v>
      </c>
      <c r="D22" s="3138">
        <v>0.47</v>
      </c>
      <c r="E22" s="3138">
        <v>0.41</v>
      </c>
      <c r="F22" s="3138">
        <v>0.24</v>
      </c>
      <c r="G22" s="3138">
        <v>0.48</v>
      </c>
      <c r="H22" s="3144">
        <v>0.48</v>
      </c>
      <c r="I22" s="3139">
        <f t="shared" si="101"/>
        <v>0.24</v>
      </c>
      <c r="J22" s="3105"/>
      <c r="K22" s="3106">
        <f t="shared" si="102"/>
        <v>4.6999999999999993E-3</v>
      </c>
      <c r="L22" s="3107">
        <f t="shared" si="102"/>
        <v>4.0999999999999995E-3</v>
      </c>
      <c r="M22" s="3107">
        <f t="shared" si="102"/>
        <v>2.3999999999999998E-3</v>
      </c>
      <c r="N22" s="3107">
        <f t="shared" si="102"/>
        <v>4.7999999999999996E-3</v>
      </c>
      <c r="O22" s="3107">
        <f t="shared" si="102"/>
        <v>4.7999999999999996E-3</v>
      </c>
      <c r="P22" s="3107">
        <f t="shared" si="136"/>
        <v>2.3999999999999998E-3</v>
      </c>
      <c r="Q22" s="3105"/>
      <c r="R22" s="3116">
        <f>ROUND(IF(项目基本情况!B8="出让",SUMPRODUCT(PRODUCT(1+K22:K24)),SUMPRODUCT(PRODUCT(1+K22:K23))),4)</f>
        <v>1.0139</v>
      </c>
      <c r="S22" s="3116">
        <f>ROUND(IF(项目基本情况!B8="出让",SUMPRODUCT(PRODUCT(1+L22:L24)),SUMPRODUCT(PRODUCT(1+L22:L23))),4)</f>
        <v>1.0113000000000001</v>
      </c>
      <c r="T22" s="3116">
        <f>ROUND(IF(项目基本情况!B8="出让",SUMPRODUCT(PRODUCT(1+M22:M24)),SUMPRODUCT(PRODUCT(1+M22:M23))),4)</f>
        <v>1.0065</v>
      </c>
      <c r="U22" s="3116">
        <f>ROUND(IF(项目基本情况!B8="出让",SUMPRODUCT(PRODUCT(1+N22:N24)),SUMPRODUCT(PRODUCT(1+N22:N23))),4)</f>
        <v>1.0143</v>
      </c>
      <c r="V22" s="3116">
        <f>ROUND(IF(项目基本情况!B8="出让",SUMPRODUCT(PRODUCT(1+O22:O24)),SUMPRODUCT(PRODUCT(1+O22:O23))),4)</f>
        <v>1.0148999999999999</v>
      </c>
      <c r="W22" s="3116">
        <f t="shared" si="137"/>
        <v>1.0065</v>
      </c>
      <c r="X22" s="3105"/>
      <c r="Y22" s="3107">
        <f>IF(D22=0,0,ROUND(AVERAGE(D22:D24)/100,4))</f>
        <v>7.9000000000000008E-3</v>
      </c>
      <c r="Z22" s="3107">
        <f>IF(E22=0,0,ROUND(AVERAGE(E22:E24)/100,4))</f>
        <v>4.3E-3</v>
      </c>
      <c r="AA22" s="3107">
        <f>IF(F22=0,0,ROUND(AVERAGE(F22:F24)/100,4))</f>
        <v>1.2999999999999999E-3</v>
      </c>
      <c r="AB22" s="3107">
        <f>IF(G22=0,0,ROUND(AVERAGE(G22:G24)/100,4))</f>
        <v>8.5000000000000006E-3</v>
      </c>
      <c r="AC22" s="3107">
        <f>IF(H22=0,0,ROUND(AVERAGE(H22:H24)/100,4))</f>
        <v>6.1999999999999998E-3</v>
      </c>
      <c r="AD22" s="3107">
        <f t="shared" si="103"/>
        <v>1.2999999999999999E-3</v>
      </c>
      <c r="AF22" s="3402">
        <f t="shared" si="75"/>
        <v>101.39</v>
      </c>
      <c r="AG22" s="3402">
        <f t="shared" si="76"/>
        <v>101.13000000000001</v>
      </c>
      <c r="AH22" s="3402">
        <f t="shared" si="77"/>
        <v>100.64999999999999</v>
      </c>
      <c r="AI22" s="3402">
        <f t="shared" si="78"/>
        <v>101.42999999999999</v>
      </c>
      <c r="AJ22" s="3402">
        <f t="shared" si="79"/>
        <v>101.49</v>
      </c>
      <c r="AK22" s="3402">
        <f t="shared" si="80"/>
        <v>100.64999999999999</v>
      </c>
      <c r="AM22" s="3402">
        <f t="shared" si="57"/>
        <v>96.293373055318341</v>
      </c>
      <c r="AN22" s="3402">
        <f t="shared" si="58"/>
        <v>98.87301622051065</v>
      </c>
      <c r="AO22" s="3402">
        <f t="shared" si="59"/>
        <v>103.45882523076332</v>
      </c>
      <c r="AP22" s="3402">
        <f t="shared" si="60"/>
        <v>95.269891676975277</v>
      </c>
      <c r="AQ22" s="3402">
        <f t="shared" si="61"/>
        <v>93.158146913507636</v>
      </c>
      <c r="AR22" s="3402">
        <f t="shared" si="62"/>
        <v>103.45882523076332</v>
      </c>
    </row>
    <row r="23" spans="1:44">
      <c r="A23" s="3088" t="s">
        <v>2772</v>
      </c>
      <c r="B23" s="3137">
        <v>2021</v>
      </c>
      <c r="C23" s="3138">
        <v>2</v>
      </c>
      <c r="D23" s="3138">
        <v>0.92</v>
      </c>
      <c r="E23" s="3138">
        <v>0.72</v>
      </c>
      <c r="F23" s="3138">
        <v>0.41</v>
      </c>
      <c r="G23" s="3138">
        <v>0.95</v>
      </c>
      <c r="H23" s="3144">
        <v>1.01</v>
      </c>
      <c r="I23" s="3139">
        <f t="shared" si="101"/>
        <v>0.41</v>
      </c>
      <c r="J23" s="3105"/>
      <c r="K23" s="3106">
        <f t="shared" si="102"/>
        <v>9.1999999999999998E-3</v>
      </c>
      <c r="L23" s="3107">
        <f t="shared" si="102"/>
        <v>7.1999999999999998E-3</v>
      </c>
      <c r="M23" s="3107">
        <f t="shared" si="102"/>
        <v>4.0999999999999995E-3</v>
      </c>
      <c r="N23" s="3107">
        <f t="shared" si="102"/>
        <v>9.4999999999999998E-3</v>
      </c>
      <c r="O23" s="3107">
        <f t="shared" si="102"/>
        <v>1.01E-2</v>
      </c>
      <c r="P23" s="3107">
        <f t="shared" si="136"/>
        <v>4.0999999999999995E-3</v>
      </c>
      <c r="Q23" s="3105"/>
      <c r="R23" s="3116">
        <f>ROUND(IF(项目基本情况!B8="出让",SUMPRODUCT(PRODUCT(1+K23:K24)),SUMPRODUCT(PRODUCT(1+K23:K23))),4)</f>
        <v>1.0092000000000001</v>
      </c>
      <c r="S23" s="3116">
        <f>ROUND(IF(项目基本情况!B8="出让",SUMPRODUCT(PRODUCT(1+L23:L24)),SUMPRODUCT(PRODUCT(1+L23:L23))),4)</f>
        <v>1.0072000000000001</v>
      </c>
      <c r="T23" s="3116">
        <f>ROUND(IF(项目基本情况!B8="出让",SUMPRODUCT(PRODUCT(1+M23:M24)),SUMPRODUCT(PRODUCT(1+M23:M23))),4)</f>
        <v>1.0041</v>
      </c>
      <c r="U23" s="3116">
        <f>ROUND(IF(项目基本情况!B8="出让",SUMPRODUCT(PRODUCT(1+N23:N24)),SUMPRODUCT(PRODUCT(1+N23:N23))),4)</f>
        <v>1.0095000000000001</v>
      </c>
      <c r="V23" s="3116">
        <f>ROUND(IF(项目基本情况!B8="出让",SUMPRODUCT(PRODUCT(1+O23:O24)),SUMPRODUCT(PRODUCT(1+O23:O23))),4)</f>
        <v>1.0101</v>
      </c>
      <c r="W23" s="3116">
        <f t="shared" si="137"/>
        <v>1.0041</v>
      </c>
      <c r="X23" s="3105"/>
      <c r="Y23" s="3107">
        <f>IF(D23=0,0,ROUND(AVERAGE(D23:D24)/100,4))</f>
        <v>9.4999999999999998E-3</v>
      </c>
      <c r="Z23" s="3107">
        <f>IF(E23=0,0,ROUND(AVERAGE(E23:E24)/100,4))</f>
        <v>4.4000000000000003E-3</v>
      </c>
      <c r="AA23" s="3107">
        <f>IF(F23=0,0,ROUND(AVERAGE(F23:F24)/100,4))</f>
        <v>8.0000000000000004E-4</v>
      </c>
      <c r="AB23" s="3107">
        <f>IF(G23=0,0,ROUND(AVERAGE(G23:G24)/100,4))</f>
        <v>1.03E-2</v>
      </c>
      <c r="AC23" s="3107">
        <f>IF(H23=0,0,ROUND(AVERAGE(H23:H24)/100,4))</f>
        <v>6.8999999999999999E-3</v>
      </c>
      <c r="AD23" s="3107">
        <f t="shared" si="103"/>
        <v>8.0000000000000004E-4</v>
      </c>
      <c r="AF23" s="3402">
        <f>$AF$24*R23</f>
        <v>100.92000000000002</v>
      </c>
      <c r="AG23" s="3402">
        <f>$AG$24*S23</f>
        <v>100.72000000000001</v>
      </c>
      <c r="AH23" s="3402">
        <f>$AH$24*T23</f>
        <v>100.41</v>
      </c>
      <c r="AI23" s="3402">
        <f>$AI$24*U23</f>
        <v>100.95</v>
      </c>
      <c r="AJ23" s="3402">
        <f>$AJ$24*V23</f>
        <v>101.01</v>
      </c>
      <c r="AK23" s="3402">
        <f>$AK$24*W23</f>
        <v>100.41</v>
      </c>
      <c r="AM23" s="3402">
        <f t="shared" si="57"/>
        <v>95.842911371870557</v>
      </c>
      <c r="AN23" s="3402">
        <f t="shared" si="58"/>
        <v>98.469292122807147</v>
      </c>
      <c r="AO23" s="3402">
        <f t="shared" si="59"/>
        <v>103.21111854625232</v>
      </c>
      <c r="AP23" s="3402">
        <f t="shared" si="60"/>
        <v>94.81478072947381</v>
      </c>
      <c r="AQ23" s="3402">
        <f t="shared" si="61"/>
        <v>92.713123918697889</v>
      </c>
      <c r="AR23" s="3402">
        <f t="shared" si="62"/>
        <v>103.21111854625232</v>
      </c>
    </row>
    <row r="24" spans="1:44" ht="14.25" thickBot="1">
      <c r="A24" s="3090" t="s">
        <v>2773</v>
      </c>
      <c r="B24" s="3145">
        <v>2021</v>
      </c>
      <c r="C24" s="3146">
        <v>1</v>
      </c>
      <c r="D24" s="3146">
        <v>0.97</v>
      </c>
      <c r="E24" s="3146">
        <v>0.16</v>
      </c>
      <c r="F24" s="3146">
        <v>-0.25</v>
      </c>
      <c r="G24" s="3146">
        <v>1.1100000000000001</v>
      </c>
      <c r="H24" s="3147">
        <v>0.36</v>
      </c>
      <c r="I24" s="3148">
        <f t="shared" si="101"/>
        <v>-0.25</v>
      </c>
      <c r="J24" s="3111"/>
      <c r="K24" s="3112">
        <f t="shared" si="102"/>
        <v>9.7000000000000003E-3</v>
      </c>
      <c r="L24" s="3113">
        <f t="shared" si="102"/>
        <v>1.6000000000000001E-3</v>
      </c>
      <c r="M24" s="3113">
        <f>F24/100</f>
        <v>-2.5000000000000001E-3</v>
      </c>
      <c r="N24" s="3113">
        <f t="shared" si="102"/>
        <v>1.11E-2</v>
      </c>
      <c r="O24" s="3113">
        <f t="shared" si="102"/>
        <v>3.5999999999999999E-3</v>
      </c>
      <c r="P24" s="3113">
        <f t="shared" si="136"/>
        <v>-2.5000000000000001E-3</v>
      </c>
      <c r="Q24" s="3111"/>
      <c r="R24" s="3120">
        <v>1</v>
      </c>
      <c r="S24" s="3120">
        <v>1</v>
      </c>
      <c r="T24" s="3120">
        <v>1</v>
      </c>
      <c r="U24" s="3120">
        <v>1</v>
      </c>
      <c r="V24" s="3120">
        <v>1</v>
      </c>
      <c r="W24" s="3120">
        <f t="shared" si="137"/>
        <v>1</v>
      </c>
      <c r="X24" s="3111"/>
      <c r="Y24" s="3113">
        <f>IF(D24=0,0,ROUND(AVERAGE(D24:D24)/100,4))</f>
        <v>9.7000000000000003E-3</v>
      </c>
      <c r="Z24" s="3113">
        <f>IF(E24=0,0,ROUND(AVERAGE(E24:E24)/100,4))</f>
        <v>1.6000000000000001E-3</v>
      </c>
      <c r="AA24" s="3113">
        <f>IF(F24=0,0,ROUND(AVERAGE(F24:F24)/100,4))</f>
        <v>-2.5000000000000001E-3</v>
      </c>
      <c r="AB24" s="3113">
        <f>IF(G24=0,0,ROUND(AVERAGE(G24:G24)/100,4))</f>
        <v>1.11E-2</v>
      </c>
      <c r="AC24" s="3113">
        <f>IF(H24=0,0,ROUND(AVERAGE(H24:H24)/100,4))</f>
        <v>3.5999999999999999E-3</v>
      </c>
      <c r="AD24" s="3113">
        <f>AA24</f>
        <v>-2.5000000000000001E-3</v>
      </c>
      <c r="AF24" s="3403">
        <v>100</v>
      </c>
      <c r="AG24" s="3403">
        <v>100</v>
      </c>
      <c r="AH24" s="3403">
        <v>100</v>
      </c>
      <c r="AI24" s="3403">
        <v>100</v>
      </c>
      <c r="AJ24" s="3403">
        <v>100</v>
      </c>
      <c r="AK24" s="3403">
        <v>100</v>
      </c>
      <c r="AM24" s="3402">
        <f t="shared" si="57"/>
        <v>94.969194779895503</v>
      </c>
      <c r="AN24" s="3402">
        <f t="shared" si="58"/>
        <v>97.765381376893501</v>
      </c>
      <c r="AO24" s="3402">
        <f t="shared" si="59"/>
        <v>102.78968085474786</v>
      </c>
      <c r="AP24" s="3402">
        <f t="shared" si="60"/>
        <v>93.922516819686777</v>
      </c>
      <c r="AQ24" s="3402">
        <f t="shared" si="61"/>
        <v>91.78608446559538</v>
      </c>
      <c r="AR24" s="3402">
        <f t="shared" si="62"/>
        <v>102.78968085474786</v>
      </c>
    </row>
    <row r="25" spans="1:44" ht="14.25" thickTop="1"/>
    <row r="26" spans="1:44">
      <c r="A26" s="3389" t="s">
        <v>3254</v>
      </c>
    </row>
    <row r="27" spans="1:44">
      <c r="I27" s="2750" t="s">
        <v>2784</v>
      </c>
    </row>
    <row r="29" spans="1:44">
      <c r="A29" s="2441"/>
      <c r="B29" s="3091" t="s">
        <v>3253</v>
      </c>
      <c r="C29" s="3092"/>
      <c r="D29" s="3092"/>
      <c r="E29" s="3092"/>
      <c r="F29" s="3092"/>
      <c r="G29" s="3092"/>
      <c r="H29" s="3092"/>
      <c r="I29" s="3092"/>
      <c r="J29" s="3093"/>
      <c r="K29" s="3092" t="s">
        <v>2777</v>
      </c>
      <c r="L29" s="3092"/>
      <c r="M29" s="3092"/>
      <c r="N29" s="3092"/>
      <c r="O29" s="3092"/>
      <c r="P29" s="3092"/>
      <c r="Q29" s="3093"/>
      <c r="R29" s="3735" t="s">
        <v>2792</v>
      </c>
      <c r="S29" s="3736"/>
      <c r="T29" s="3736"/>
      <c r="U29" s="3736"/>
      <c r="V29" s="3736"/>
      <c r="W29" s="3736"/>
      <c r="X29" s="3093"/>
      <c r="Y29" s="3735" t="s">
        <v>1925</v>
      </c>
      <c r="Z29" s="3736"/>
      <c r="AA29" s="3736"/>
      <c r="AB29" s="3736"/>
      <c r="AC29" s="3736"/>
      <c r="AD29" s="3736"/>
    </row>
    <row r="30" spans="1:44" ht="14.25" thickBot="1">
      <c r="A30" s="3086"/>
      <c r="B30" s="3094"/>
      <c r="C30" s="3095"/>
      <c r="D30" s="2425" t="s">
        <v>2779</v>
      </c>
      <c r="E30" s="2426" t="s">
        <v>2780</v>
      </c>
      <c r="F30" s="2426" t="s">
        <v>2781</v>
      </c>
      <c r="G30" s="2426" t="s">
        <v>1469</v>
      </c>
      <c r="H30" s="2426"/>
      <c r="I30" s="2426" t="s">
        <v>2725</v>
      </c>
      <c r="J30" s="3096"/>
      <c r="K30" s="2425" t="s">
        <v>2779</v>
      </c>
      <c r="L30" s="2426" t="s">
        <v>2780</v>
      </c>
      <c r="M30" s="2426" t="s">
        <v>2781</v>
      </c>
      <c r="N30" s="2426" t="s">
        <v>2782</v>
      </c>
      <c r="O30" s="2426"/>
      <c r="P30" s="2426" t="s">
        <v>2725</v>
      </c>
      <c r="Q30" s="3096"/>
      <c r="R30" s="2425" t="s">
        <v>2793</v>
      </c>
      <c r="S30" s="2426" t="s">
        <v>2794</v>
      </c>
      <c r="T30" s="2426" t="s">
        <v>2781</v>
      </c>
      <c r="U30" s="2426" t="s">
        <v>1469</v>
      </c>
      <c r="V30" s="2426"/>
      <c r="W30" s="2426" t="s">
        <v>2795</v>
      </c>
      <c r="X30" s="3096"/>
      <c r="Y30" s="2425" t="s">
        <v>2778</v>
      </c>
      <c r="Z30" s="2426" t="s">
        <v>2780</v>
      </c>
      <c r="AA30" s="2426" t="s">
        <v>2781</v>
      </c>
      <c r="AB30" s="2426" t="s">
        <v>1469</v>
      </c>
      <c r="AC30" s="2426"/>
      <c r="AD30" s="2426" t="s">
        <v>2798</v>
      </c>
      <c r="AG30" t="s">
        <v>2726</v>
      </c>
      <c r="AH30" t="s">
        <v>1212</v>
      </c>
      <c r="AI30" t="s">
        <v>851</v>
      </c>
      <c r="AK30" t="s">
        <v>2724</v>
      </c>
      <c r="AN30" t="s">
        <v>2726</v>
      </c>
      <c r="AO30" t="s">
        <v>1212</v>
      </c>
      <c r="AP30" t="s">
        <v>851</v>
      </c>
      <c r="AR30" t="s">
        <v>2724</v>
      </c>
    </row>
    <row r="31" spans="1:44">
      <c r="A31" s="3087" t="s">
        <v>2774</v>
      </c>
      <c r="B31" s="3097"/>
      <c r="C31" s="3098"/>
      <c r="D31" s="3098"/>
      <c r="E31" s="3098">
        <f>ROUND(AVERAGEIF(E32:E52,"&lt;&gt;0"),2)</f>
        <v>0.04</v>
      </c>
      <c r="F31" s="3098">
        <f>ROUND(AVERAGEIF(F32:F52,"&lt;&gt;0"),2)</f>
        <v>-7.0000000000000007E-2</v>
      </c>
      <c r="G31" s="3098">
        <f>ROUND(AVERAGEIF(G32:G52,"&lt;&gt;0"),2)</f>
        <v>0.2</v>
      </c>
      <c r="H31" s="3098"/>
      <c r="I31" s="3098">
        <f>F31</f>
        <v>-7.0000000000000007E-2</v>
      </c>
      <c r="J31" s="3099"/>
      <c r="K31" s="3100"/>
      <c r="L31" s="3101">
        <f>ROUND(AVERAGEIF(L32:L52,"&lt;&gt;0"),4)</f>
        <v>4.0000000000000002E-4</v>
      </c>
      <c r="M31" s="3101">
        <f>ROUND(AVERAGEIF(M32:M52,"&lt;&gt;0"),4)</f>
        <v>-6.9999999999999999E-4</v>
      </c>
      <c r="N31" s="3101">
        <f>ROUND(AVERAGEIF(N32:N52,"&lt;&gt;0"),4)</f>
        <v>2E-3</v>
      </c>
      <c r="O31" s="3101"/>
      <c r="P31" s="3101">
        <f>M31</f>
        <v>-6.9999999999999999E-4</v>
      </c>
      <c r="Q31" s="3099"/>
      <c r="R31" s="3114"/>
      <c r="S31" s="3115">
        <f>ROUND(SUMPRODUCT(PRODUCT(1+L32:L52)),4)</f>
        <v>1.0072000000000001</v>
      </c>
      <c r="T31" s="3115">
        <f>ROUND(SUMPRODUCT(PRODUCT(1+M32:M52)),4)</f>
        <v>0.98699999999999999</v>
      </c>
      <c r="U31" s="3115">
        <f>ROUND(SUMPRODUCT(PRODUCT(1+N32:N52)),4)</f>
        <v>1.0375000000000001</v>
      </c>
      <c r="V31" s="3115"/>
      <c r="W31" s="3114">
        <f>T31</f>
        <v>0.98699999999999999</v>
      </c>
      <c r="X31" s="3099"/>
      <c r="Y31" s="3121"/>
      <c r="Z31" s="3122">
        <f>ROUND(AVERAGEIF(Z32:Z52,"&lt;&gt;0"),4)</f>
        <v>3.2000000000000002E-3</v>
      </c>
      <c r="AA31" s="3123">
        <f>ROUND(AVERAGEIF(AA32:AA52,"&lt;&gt;0"),4)</f>
        <v>2.5000000000000001E-3</v>
      </c>
      <c r="AB31" s="3121">
        <f>ROUND(AVERAGEIF(AB32:AB52,"&lt;&gt;0"),4)</f>
        <v>6.1999999999999998E-3</v>
      </c>
      <c r="AC31" s="3124"/>
      <c r="AD31" s="3121">
        <f>AA31</f>
        <v>2.5000000000000001E-3</v>
      </c>
    </row>
    <row r="32" spans="1:44">
      <c r="A32" s="2441"/>
      <c r="B32" s="3102"/>
      <c r="C32" s="2441"/>
      <c r="D32" s="2441"/>
      <c r="E32" s="2441"/>
      <c r="F32" s="2441"/>
      <c r="G32" s="2441"/>
      <c r="H32" s="2441"/>
      <c r="I32" s="2441"/>
      <c r="J32" s="3093"/>
      <c r="K32" s="3103"/>
      <c r="L32" s="3104"/>
      <c r="M32" s="3104"/>
      <c r="N32" s="3104"/>
      <c r="O32" s="3104"/>
      <c r="P32" s="3104"/>
      <c r="Q32" s="3093"/>
      <c r="R32" s="3116"/>
      <c r="S32" s="3117"/>
      <c r="T32" s="3118"/>
      <c r="U32" s="3116"/>
      <c r="V32" s="3119"/>
      <c r="W32" s="3116"/>
      <c r="X32" s="3093"/>
      <c r="Y32" s="3107"/>
      <c r="Z32" s="3125"/>
      <c r="AA32" s="3126"/>
      <c r="AB32" s="3107"/>
      <c r="AC32" s="3127"/>
      <c r="AD32" s="3107"/>
    </row>
    <row r="33" spans="1:44">
      <c r="A33" s="3390" t="s">
        <v>3301</v>
      </c>
      <c r="B33" s="3137">
        <v>2025</v>
      </c>
      <c r="C33" s="3138">
        <v>4</v>
      </c>
      <c r="D33" s="3138"/>
      <c r="E33" s="3138">
        <v>0</v>
      </c>
      <c r="F33" s="3138">
        <v>0</v>
      </c>
      <c r="G33" s="3138">
        <v>0</v>
      </c>
      <c r="H33" s="3138"/>
      <c r="I33" s="3139">
        <f t="shared" ref="I33" si="138">F33</f>
        <v>0</v>
      </c>
      <c r="J33" s="3105"/>
      <c r="K33" s="3106"/>
      <c r="L33" s="3107">
        <f t="shared" ref="L33" si="139">E33/100</f>
        <v>0</v>
      </c>
      <c r="M33" s="3107">
        <f t="shared" ref="M33" si="140">F33/100</f>
        <v>0</v>
      </c>
      <c r="N33" s="3107">
        <f t="shared" ref="N33" si="141">G33/100</f>
        <v>0</v>
      </c>
      <c r="O33" s="3107"/>
      <c r="P33" s="3107">
        <f t="shared" ref="P33:P39" si="142">M33</f>
        <v>0</v>
      </c>
      <c r="Q33" s="3105"/>
      <c r="R33" s="3116"/>
      <c r="S33" s="3116">
        <f>ROUND(IF(项目基本情况!$B$8="出让",SUMPRODUCT(PRODUCT(1+L33:L$52)),SUMPRODUCT(PRODUCT(1+L33:L$51))),4)</f>
        <v>1.0037</v>
      </c>
      <c r="T33" s="3116">
        <f>ROUND(IF(项目基本情况!$B$8="出让",SUMPRODUCT(PRODUCT(1+M33:M$52)),SUMPRODUCT(PRODUCT(1+M33:M$51))),4)</f>
        <v>0.98229999999999995</v>
      </c>
      <c r="U33" s="3116">
        <f>ROUND(IF(项目基本情况!$B$8="出让",SUMPRODUCT(PRODUCT(1+N33:N$52)),SUMPRODUCT(PRODUCT(1+N33:N$51))),4)</f>
        <v>1.0274000000000001</v>
      </c>
      <c r="V33" s="3116"/>
      <c r="W33" s="3116">
        <f t="shared" ref="W33:W39" si="143">T33</f>
        <v>0.98229999999999995</v>
      </c>
      <c r="X33" s="3105"/>
      <c r="Y33" s="3107"/>
      <c r="Z33" s="3125">
        <f t="shared" ref="Z33" si="144">IF(E33=0,0,ROUND(AVERAGE(E33:E46)/100,4))</f>
        <v>0</v>
      </c>
      <c r="AA33" s="3125">
        <f t="shared" ref="AA33" si="145">IF(F33=0,0,ROUND(AVERAGE(F33:F46)/100,4))</f>
        <v>0</v>
      </c>
      <c r="AB33" s="3125">
        <f t="shared" ref="AB33" si="146">IF(G33=0,0,ROUND(AVERAGE(G33:G46)/100,4))</f>
        <v>0</v>
      </c>
      <c r="AC33" s="3127"/>
      <c r="AD33" s="3107">
        <f t="shared" ref="AD33:AD39" si="147">IF(I33=0,0,ROUND(AVERAGE(I33:I46)/100,4))</f>
        <v>0</v>
      </c>
      <c r="AG33" s="3402">
        <f t="shared" ref="AG33:AG36" si="148">$AG$52*S33</f>
        <v>100.37</v>
      </c>
      <c r="AH33" s="3402">
        <f t="shared" ref="AH33:AH36" si="149">$AH$52*T33</f>
        <v>98.22999999999999</v>
      </c>
      <c r="AI33" s="3402">
        <f t="shared" ref="AI33:AI36" si="150">$AI$52*U33</f>
        <v>102.74000000000001</v>
      </c>
      <c r="AJ33" s="3402"/>
      <c r="AK33" s="3402">
        <f t="shared" ref="AK33:AK36" si="151">$AK$52*W33</f>
        <v>98.22999999999999</v>
      </c>
      <c r="AN33" s="3401">
        <v>100</v>
      </c>
      <c r="AO33" s="3401">
        <v>100</v>
      </c>
      <c r="AP33" s="3401">
        <v>100</v>
      </c>
      <c r="AQ33" s="3401"/>
      <c r="AR33" s="3401">
        <v>100</v>
      </c>
    </row>
    <row r="34" spans="1:44">
      <c r="A34" s="3089" t="s">
        <v>3316</v>
      </c>
      <c r="B34" s="3140">
        <v>2025</v>
      </c>
      <c r="C34" s="3141">
        <v>3</v>
      </c>
      <c r="D34" s="3141"/>
      <c r="E34" s="3141">
        <v>-0.8</v>
      </c>
      <c r="F34" s="3141">
        <v>-1.45</v>
      </c>
      <c r="G34" s="3141">
        <v>-0.62</v>
      </c>
      <c r="H34" s="3142"/>
      <c r="I34" s="3143">
        <f t="shared" ref="I34" si="152">F34</f>
        <v>-1.45</v>
      </c>
      <c r="J34" s="3108"/>
      <c r="K34" s="3109"/>
      <c r="L34" s="3110">
        <f t="shared" ref="L34" si="153">E34/100</f>
        <v>-8.0000000000000002E-3</v>
      </c>
      <c r="M34" s="3110">
        <f t="shared" ref="M34" si="154">F34/100</f>
        <v>-1.4499999999999999E-2</v>
      </c>
      <c r="N34" s="3110">
        <f t="shared" ref="N34" si="155">G34/100</f>
        <v>-6.1999999999999998E-3</v>
      </c>
      <c r="O34" s="3110"/>
      <c r="P34" s="3110">
        <f t="shared" si="142"/>
        <v>-1.4499999999999999E-2</v>
      </c>
      <c r="Q34" s="3108"/>
      <c r="R34" s="3108"/>
      <c r="S34" s="3108">
        <f>ROUND(IF(项目基本情况!$B$8="出让",SUMPRODUCT(PRODUCT(1+L34:L$52)),SUMPRODUCT(PRODUCT(1+L34:L$51))),4)</f>
        <v>1.0037</v>
      </c>
      <c r="T34" s="3108">
        <f>ROUND(IF(项目基本情况!$B$8="出让",SUMPRODUCT(PRODUCT(1+M34:M$52)),SUMPRODUCT(PRODUCT(1+M34:M$51))),4)</f>
        <v>0.98229999999999995</v>
      </c>
      <c r="U34" s="3108">
        <f>ROUND(IF(项目基本情况!$B$8="出让",SUMPRODUCT(PRODUCT(1+N34:N$52)),SUMPRODUCT(PRODUCT(1+N34:N$51))),4)</f>
        <v>1.0274000000000001</v>
      </c>
      <c r="V34" s="3108"/>
      <c r="W34" s="3108">
        <f t="shared" si="143"/>
        <v>0.98229999999999995</v>
      </c>
      <c r="X34" s="3105"/>
      <c r="Y34" s="3107"/>
      <c r="Z34" s="3125">
        <f t="shared" ref="Z34" si="156">IF(E34=0,0,ROUND(AVERAGE(E34:E47)/100,4))</f>
        <v>-1.2999999999999999E-3</v>
      </c>
      <c r="AA34" s="3125">
        <f t="shared" ref="AA34" si="157">IF(F34=0,0,ROUND(AVERAGE(F34:F47)/100,4))</f>
        <v>-2.2000000000000001E-3</v>
      </c>
      <c r="AB34" s="3125">
        <f t="shared" ref="AB34" si="158">IF(G34=0,0,ROUND(AVERAGE(G34:G47)/100,4))</f>
        <v>-2.9999999999999997E-4</v>
      </c>
      <c r="AC34" s="3127"/>
      <c r="AD34" s="3107">
        <f t="shared" si="147"/>
        <v>-2.2000000000000001E-3</v>
      </c>
      <c r="AG34" s="3402">
        <f t="shared" si="148"/>
        <v>100.37</v>
      </c>
      <c r="AH34" s="3402">
        <f t="shared" si="149"/>
        <v>98.22999999999999</v>
      </c>
      <c r="AI34" s="3402">
        <f t="shared" si="150"/>
        <v>102.74000000000001</v>
      </c>
      <c r="AJ34" s="3402"/>
      <c r="AK34" s="3402">
        <f t="shared" si="151"/>
        <v>98.22999999999999</v>
      </c>
      <c r="AN34" s="3402">
        <f>AN33/(1+E33/100)</f>
        <v>100</v>
      </c>
      <c r="AO34" s="3402">
        <f t="shared" ref="AO34:AR34" si="159">AO33/(1+F33/100)</f>
        <v>100</v>
      </c>
      <c r="AP34" s="3402">
        <f t="shared" si="159"/>
        <v>100</v>
      </c>
      <c r="AQ34" s="3402"/>
      <c r="AR34" s="3402">
        <f t="shared" si="159"/>
        <v>100</v>
      </c>
    </row>
    <row r="35" spans="1:44">
      <c r="A35" s="3390" t="s">
        <v>3315</v>
      </c>
      <c r="B35" s="3137">
        <v>2025</v>
      </c>
      <c r="C35" s="3138">
        <v>2</v>
      </c>
      <c r="D35" s="3138"/>
      <c r="E35" s="3138">
        <v>-0.31</v>
      </c>
      <c r="F35" s="3138">
        <v>-1.03</v>
      </c>
      <c r="G35" s="3138">
        <v>0.03</v>
      </c>
      <c r="H35" s="3138"/>
      <c r="I35" s="3139">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16"/>
      <c r="S35" s="3116">
        <f>ROUND(IF(项目基本情况!$B$8="出让",SUMPRODUCT(PRODUCT(1+L35:L$52)),SUMPRODUCT(PRODUCT(1+L35:L$51))),4)</f>
        <v>1.0118</v>
      </c>
      <c r="T35" s="3116">
        <f>ROUND(IF(项目基本情况!$B$8="出让",SUMPRODUCT(PRODUCT(1+M35:M$52)),SUMPRODUCT(PRODUCT(1+M35:M$51))),4)</f>
        <v>0.99680000000000002</v>
      </c>
      <c r="U35" s="3116">
        <f>ROUND(IF(项目基本情况!$B$8="出让",SUMPRODUCT(PRODUCT(1+N35:N$52)),SUMPRODUCT(PRODUCT(1+N35:N$51))),4)</f>
        <v>1.0338000000000001</v>
      </c>
      <c r="V35" s="3116"/>
      <c r="W35" s="3116">
        <f t="shared" si="143"/>
        <v>0.99680000000000002</v>
      </c>
      <c r="X35" s="3105"/>
      <c r="Y35" s="3107"/>
      <c r="Z35" s="3125">
        <f t="shared" ref="Z35" si="164">IF(E35=0,0,ROUND(AVERAGE(E35:E48)/100,4))</f>
        <v>-2.9999999999999997E-4</v>
      </c>
      <c r="AA35" s="3125">
        <f t="shared" ref="AA35" si="165">IF(F35=0,0,ROUND(AVERAGE(F35:F48)/100,4))</f>
        <v>-8.0000000000000004E-4</v>
      </c>
      <c r="AB35" s="3125">
        <f t="shared" ref="AB35" si="166">IF(G35=0,0,ROUND(AVERAGE(G35:G48)/100,4))</f>
        <v>5.0000000000000001E-4</v>
      </c>
      <c r="AC35" s="3127"/>
      <c r="AD35" s="3107">
        <f t="shared" si="147"/>
        <v>-8.0000000000000004E-4</v>
      </c>
      <c r="AG35" s="3402">
        <f t="shared" si="148"/>
        <v>101.18</v>
      </c>
      <c r="AH35" s="3402">
        <f t="shared" si="149"/>
        <v>99.68</v>
      </c>
      <c r="AI35" s="3402">
        <f t="shared" si="150"/>
        <v>103.38000000000001</v>
      </c>
      <c r="AJ35" s="3402"/>
      <c r="AK35" s="3402">
        <f t="shared" si="151"/>
        <v>99.68</v>
      </c>
      <c r="AN35" s="3402">
        <f t="shared" ref="AN35:AN52" si="167">AN34/(1+E34/100)</f>
        <v>100.80645161290323</v>
      </c>
      <c r="AO35" s="3402">
        <f t="shared" ref="AO35:AO52" si="168">AO34/(1+F34/100)</f>
        <v>101.47133434804667</v>
      </c>
      <c r="AP35" s="3402">
        <f t="shared" ref="AP35:AP52" si="169">AP34/(1+G34/100)</f>
        <v>100.6238679814852</v>
      </c>
      <c r="AQ35" s="3402"/>
      <c r="AR35" s="3402">
        <f t="shared" ref="AR35:AR52" si="170">AR34/(1+I34/100)</f>
        <v>101.47133434804667</v>
      </c>
    </row>
    <row r="36" spans="1:44">
      <c r="A36" s="3390" t="s">
        <v>3249</v>
      </c>
      <c r="B36" s="3137">
        <v>2025</v>
      </c>
      <c r="C36" s="3138">
        <v>1</v>
      </c>
      <c r="D36" s="3138"/>
      <c r="E36" s="3138">
        <v>-1.47</v>
      </c>
      <c r="F36" s="3138">
        <v>-0.98</v>
      </c>
      <c r="G36" s="3138">
        <v>-0.51</v>
      </c>
      <c r="H36" s="3138"/>
      <c r="I36" s="3139">
        <f t="shared" ref="I36" si="171">F36</f>
        <v>-0.98</v>
      </c>
      <c r="J36" s="3105"/>
      <c r="K36" s="3106"/>
      <c r="L36" s="3107">
        <f t="shared" ref="L36" si="172">E36/100</f>
        <v>-1.47E-2</v>
      </c>
      <c r="M36" s="3107">
        <f t="shared" ref="M36" si="173">F36/100</f>
        <v>-9.7999999999999997E-3</v>
      </c>
      <c r="N36" s="3107">
        <f t="shared" ref="N36" si="174">G36/100</f>
        <v>-5.1000000000000004E-3</v>
      </c>
      <c r="O36" s="3107"/>
      <c r="P36" s="3107">
        <f t="shared" si="142"/>
        <v>-9.7999999999999997E-3</v>
      </c>
      <c r="Q36" s="3105"/>
      <c r="R36" s="3116"/>
      <c r="S36" s="3116">
        <f>ROUND(IF(项目基本情况!$B$8="出让",SUMPRODUCT(PRODUCT(1+L36:L$52)),SUMPRODUCT(PRODUCT(1+L36:L$51))),4)</f>
        <v>1.0148999999999999</v>
      </c>
      <c r="T36" s="3116">
        <f>ROUND(IF(项目基本情况!$B$8="出让",SUMPRODUCT(PRODUCT(1+M36:M$52)),SUMPRODUCT(PRODUCT(1+M36:M$51))),4)</f>
        <v>1.0072000000000001</v>
      </c>
      <c r="U36" s="3116">
        <f>ROUND(IF(项目基本情况!$B$8="出让",SUMPRODUCT(PRODUCT(1+N36:N$52)),SUMPRODUCT(PRODUCT(1+N36:N$51))),4)</f>
        <v>1.0335000000000001</v>
      </c>
      <c r="V36" s="3116"/>
      <c r="W36" s="3116">
        <f t="shared" si="143"/>
        <v>1.0072000000000001</v>
      </c>
      <c r="X36" s="3105"/>
      <c r="Y36" s="3107"/>
      <c r="Z36" s="3125">
        <f t="shared" ref="Z36" si="175">IF(E36=0,0,ROUND(AVERAGE(E36:E49)/100,4))</f>
        <v>4.0000000000000002E-4</v>
      </c>
      <c r="AA36" s="3125">
        <f t="shared" ref="AA36" si="176">IF(F36=0,0,ROUND(AVERAGE(F36:F49)/100,4))</f>
        <v>0</v>
      </c>
      <c r="AB36" s="3125">
        <f t="shared" ref="AB36" si="177">IF(G36=0,0,ROUND(AVERAGE(G36:G49)/100,4))</f>
        <v>1E-3</v>
      </c>
      <c r="AC36" s="3127"/>
      <c r="AD36" s="3107">
        <f t="shared" si="147"/>
        <v>0</v>
      </c>
      <c r="AG36" s="3402">
        <f t="shared" si="148"/>
        <v>101.49</v>
      </c>
      <c r="AH36" s="3402">
        <f t="shared" si="149"/>
        <v>100.72000000000001</v>
      </c>
      <c r="AI36" s="3402">
        <f t="shared" si="150"/>
        <v>103.35000000000001</v>
      </c>
      <c r="AJ36" s="3402"/>
      <c r="AK36" s="3402">
        <f t="shared" si="151"/>
        <v>100.72000000000001</v>
      </c>
      <c r="AN36" s="3402">
        <f t="shared" si="167"/>
        <v>101.11992337536687</v>
      </c>
      <c r="AO36" s="3402">
        <f t="shared" si="168"/>
        <v>102.52736622011383</v>
      </c>
      <c r="AP36" s="3402">
        <f t="shared" si="169"/>
        <v>100.59368987452285</v>
      </c>
      <c r="AQ36" s="3402"/>
      <c r="AR36" s="3402">
        <f t="shared" si="170"/>
        <v>102.52736622011383</v>
      </c>
    </row>
    <row r="37" spans="1:44">
      <c r="A37" s="3390" t="s">
        <v>3302</v>
      </c>
      <c r="B37" s="3137">
        <v>2024</v>
      </c>
      <c r="C37" s="3138">
        <v>4</v>
      </c>
      <c r="D37" s="3138"/>
      <c r="E37" s="3138">
        <v>-0.61</v>
      </c>
      <c r="F37" s="3138">
        <v>-0.71</v>
      </c>
      <c r="G37" s="3138">
        <v>-0.88</v>
      </c>
      <c r="H37" s="3138"/>
      <c r="I37" s="3139">
        <f t="shared" ref="I37" si="178">F37</f>
        <v>-0.71</v>
      </c>
      <c r="J37" s="3105"/>
      <c r="K37" s="3106"/>
      <c r="L37" s="3107">
        <f t="shared" ref="L37" si="179">E37/100</f>
        <v>-6.0999999999999995E-3</v>
      </c>
      <c r="M37" s="3107">
        <f t="shared" ref="M37" si="180">F37/100</f>
        <v>-7.0999999999999995E-3</v>
      </c>
      <c r="N37" s="3107">
        <f t="shared" ref="N37" si="181">G37/100</f>
        <v>-8.8000000000000005E-3</v>
      </c>
      <c r="O37" s="3107"/>
      <c r="P37" s="3107">
        <f t="shared" si="142"/>
        <v>-7.0999999999999995E-3</v>
      </c>
      <c r="Q37" s="3105"/>
      <c r="R37" s="3116"/>
      <c r="S37" s="3116">
        <f>ROUND(IF(项目基本情况!$B$8="出让",SUMPRODUCT(PRODUCT(1+L37:L$52)),SUMPRODUCT(PRODUCT(1+L37:L$51))),4)</f>
        <v>1.0301</v>
      </c>
      <c r="T37" s="3116">
        <f>ROUND(IF(项目基本情况!$B$8="出让",SUMPRODUCT(PRODUCT(1+M37:M$52)),SUMPRODUCT(PRODUCT(1+M37:M$51))),4)</f>
        <v>1.0170999999999999</v>
      </c>
      <c r="U37" s="3116">
        <f>ROUND(IF(项目基本情况!$B$8="出让",SUMPRODUCT(PRODUCT(1+N37:N$52)),SUMPRODUCT(PRODUCT(1+N37:N$51))),4)</f>
        <v>1.0387999999999999</v>
      </c>
      <c r="V37" s="3116"/>
      <c r="W37" s="3116">
        <f t="shared" si="143"/>
        <v>1.0170999999999999</v>
      </c>
      <c r="X37" s="3108"/>
      <c r="Y37" s="3110"/>
      <c r="Z37" s="3128">
        <f t="shared" ref="Z37" si="182">IF(E37=0,0,ROUND(AVERAGE(E37:E50)/100,4))</f>
        <v>1.6999999999999999E-3</v>
      </c>
      <c r="AA37" s="3129">
        <f t="shared" ref="AA37" si="183">IF(F37=0,0,ROUND(AVERAGE(F37:F50)/100,4))</f>
        <v>8.9999999999999998E-4</v>
      </c>
      <c r="AB37" s="3110">
        <f t="shared" ref="AB37" si="184">IF(G37=0,0,ROUND(AVERAGE(G37:G50)/100,4))</f>
        <v>2E-3</v>
      </c>
      <c r="AC37" s="3130"/>
      <c r="AD37" s="3110">
        <f t="shared" si="147"/>
        <v>8.9999999999999998E-4</v>
      </c>
      <c r="AG37" s="3402">
        <f t="shared" ref="AG37:AG51" si="185">$AG$52*S37</f>
        <v>103.01</v>
      </c>
      <c r="AH37" s="3402">
        <f t="shared" ref="AH37:AH51" si="186">$AH$52*T37</f>
        <v>101.71</v>
      </c>
      <c r="AI37" s="3402">
        <f t="shared" ref="AI37:AI51" si="187">$AI$52*U37</f>
        <v>103.88</v>
      </c>
      <c r="AJ37" s="3402"/>
      <c r="AK37" s="3402">
        <f t="shared" ref="AK37:AK51" si="188">$AK$52*W37</f>
        <v>101.71</v>
      </c>
      <c r="AN37" s="3402">
        <f t="shared" si="167"/>
        <v>102.62856325521858</v>
      </c>
      <c r="AO37" s="3402">
        <f t="shared" si="168"/>
        <v>103.54207859029877</v>
      </c>
      <c r="AP37" s="3402">
        <f t="shared" si="169"/>
        <v>101.10934754701262</v>
      </c>
      <c r="AQ37" s="3402"/>
      <c r="AR37" s="3402">
        <f t="shared" si="170"/>
        <v>103.54207859029877</v>
      </c>
    </row>
    <row r="38" spans="1:44">
      <c r="A38" s="3390" t="s">
        <v>3245</v>
      </c>
      <c r="B38" s="3137">
        <v>2024</v>
      </c>
      <c r="C38" s="3138">
        <v>3</v>
      </c>
      <c r="D38" s="3138"/>
      <c r="E38" s="3138">
        <v>-0.66</v>
      </c>
      <c r="F38" s="3138">
        <v>-0.52</v>
      </c>
      <c r="G38" s="3138">
        <v>-2.87</v>
      </c>
      <c r="H38" s="3138"/>
      <c r="I38" s="3139">
        <f t="shared" ref="I38" si="189">F38</f>
        <v>-0.52</v>
      </c>
      <c r="J38" s="3105"/>
      <c r="K38" s="3106"/>
      <c r="L38" s="3107">
        <f t="shared" ref="L38" si="190">E38/100</f>
        <v>-6.6E-3</v>
      </c>
      <c r="M38" s="3107">
        <f t="shared" ref="M38" si="191">F38/100</f>
        <v>-5.1999999999999998E-3</v>
      </c>
      <c r="N38" s="3107">
        <f t="shared" ref="N38" si="192">G38/100</f>
        <v>-2.87E-2</v>
      </c>
      <c r="O38" s="3107"/>
      <c r="P38" s="3107">
        <f t="shared" si="142"/>
        <v>-5.1999999999999998E-3</v>
      </c>
      <c r="Q38" s="3105"/>
      <c r="R38" s="3116"/>
      <c r="S38" s="3116">
        <f>ROUND(IF(项目基本情况!$B$8="出让",SUMPRODUCT(PRODUCT(1+L38:L$52)),SUMPRODUCT(PRODUCT(1+L38:L$51))),4)</f>
        <v>1.0364</v>
      </c>
      <c r="T38" s="3116">
        <f>ROUND(IF(项目基本情况!$B$8="出让",SUMPRODUCT(PRODUCT(1+M38:M$52)),SUMPRODUCT(PRODUCT(1+M38:M$51))),4)</f>
        <v>1.0244</v>
      </c>
      <c r="U38" s="3116">
        <f>ROUND(IF(项目基本情况!$B$8="出让",SUMPRODUCT(PRODUCT(1+N38:N$52)),SUMPRODUCT(PRODUCT(1+N38:N$51))),4)</f>
        <v>1.048</v>
      </c>
      <c r="V38" s="3116"/>
      <c r="W38" s="3116">
        <f t="shared" si="143"/>
        <v>1.0244</v>
      </c>
      <c r="X38" s="3105"/>
      <c r="Y38" s="3107"/>
      <c r="Z38" s="3125">
        <f t="shared" ref="Z38:AB39" si="193">IF(E38=0,0,ROUND(AVERAGE(E38:E51)/100,4))</f>
        <v>2.5999999999999999E-3</v>
      </c>
      <c r="AA38" s="3125">
        <f t="shared" si="193"/>
        <v>1.6999999999999999E-3</v>
      </c>
      <c r="AB38" s="3125">
        <f t="shared" si="193"/>
        <v>3.3999999999999998E-3</v>
      </c>
      <c r="AC38" s="3127"/>
      <c r="AD38" s="3107">
        <f t="shared" si="147"/>
        <v>1.6999999999999999E-3</v>
      </c>
      <c r="AG38" s="3402">
        <f t="shared" si="185"/>
        <v>103.64</v>
      </c>
      <c r="AH38" s="3402">
        <f t="shared" si="186"/>
        <v>102.44</v>
      </c>
      <c r="AI38" s="3402">
        <f t="shared" si="187"/>
        <v>104.80000000000001</v>
      </c>
      <c r="AJ38" s="3402"/>
      <c r="AK38" s="3402">
        <f t="shared" si="188"/>
        <v>102.44</v>
      </c>
      <c r="AN38" s="3402">
        <f t="shared" si="167"/>
        <v>103.25843973761805</v>
      </c>
      <c r="AO38" s="3402">
        <f t="shared" si="168"/>
        <v>104.28248422831984</v>
      </c>
      <c r="AP38" s="3402">
        <f t="shared" si="169"/>
        <v>102.00700922822097</v>
      </c>
      <c r="AQ38" s="3402"/>
      <c r="AR38" s="3402">
        <f t="shared" si="170"/>
        <v>104.28248422831984</v>
      </c>
    </row>
    <row r="39" spans="1:44">
      <c r="A39" s="3088" t="s">
        <v>3251</v>
      </c>
      <c r="B39" s="3137">
        <v>2024</v>
      </c>
      <c r="C39" s="3138">
        <v>2</v>
      </c>
      <c r="D39" s="3138"/>
      <c r="E39" s="3138">
        <v>-0.31</v>
      </c>
      <c r="F39" s="3138">
        <v>-0.39</v>
      </c>
      <c r="G39" s="3138">
        <v>1.23</v>
      </c>
      <c r="H39" s="3144"/>
      <c r="I39" s="3139">
        <f t="shared" ref="I39:I52" si="194">F39</f>
        <v>-0.39</v>
      </c>
      <c r="J39" s="3105"/>
      <c r="K39" s="3106"/>
      <c r="L39" s="3107">
        <f t="shared" ref="L39:N52" si="195">E39/100</f>
        <v>-3.0999999999999999E-3</v>
      </c>
      <c r="M39" s="3107">
        <f t="shared" si="195"/>
        <v>-3.9000000000000003E-3</v>
      </c>
      <c r="N39" s="3107">
        <f t="shared" si="195"/>
        <v>1.23E-2</v>
      </c>
      <c r="O39" s="3107"/>
      <c r="P39" s="3107">
        <f t="shared" si="142"/>
        <v>-3.9000000000000003E-3</v>
      </c>
      <c r="Q39" s="3105"/>
      <c r="R39" s="3116"/>
      <c r="S39" s="3116">
        <f>ROUND(IF(项目基本情况!$B$8="出让",SUMPRODUCT(PRODUCT(1+L39:L$52)),SUMPRODUCT(PRODUCT(1+L39:L$51))),4)</f>
        <v>1.0432999999999999</v>
      </c>
      <c r="T39" s="3116">
        <f>ROUND(IF(项目基本情况!$B$8="出让",SUMPRODUCT(PRODUCT(1+M39:M$52)),SUMPRODUCT(PRODUCT(1+M39:M$51))),4)</f>
        <v>1.0298</v>
      </c>
      <c r="U39" s="3116">
        <f>ROUND(IF(项目基本情况!$B$8="出让",SUMPRODUCT(PRODUCT(1+N39:N$52)),SUMPRODUCT(PRODUCT(1+N39:N$51))),4)</f>
        <v>1.079</v>
      </c>
      <c r="V39" s="3116"/>
      <c r="W39" s="3116">
        <f t="shared" si="143"/>
        <v>1.0298</v>
      </c>
      <c r="X39" s="3105"/>
      <c r="Y39" s="3107"/>
      <c r="Z39" s="3125">
        <f t="shared" si="193"/>
        <v>3.3E-3</v>
      </c>
      <c r="AA39" s="3126">
        <f t="shared" si="193"/>
        <v>2.3999999999999998E-3</v>
      </c>
      <c r="AB39" s="3107">
        <f t="shared" si="193"/>
        <v>6.1999999999999998E-3</v>
      </c>
      <c r="AC39" s="3127"/>
      <c r="AD39" s="3107">
        <f t="shared" si="147"/>
        <v>2.3999999999999998E-3</v>
      </c>
      <c r="AG39" s="3402">
        <f t="shared" si="185"/>
        <v>104.32999999999998</v>
      </c>
      <c r="AH39" s="3402">
        <f t="shared" si="186"/>
        <v>102.98</v>
      </c>
      <c r="AI39" s="3402">
        <f t="shared" si="187"/>
        <v>107.89999999999999</v>
      </c>
      <c r="AJ39" s="3402"/>
      <c r="AK39" s="3402">
        <f t="shared" si="188"/>
        <v>102.98</v>
      </c>
      <c r="AN39" s="3402">
        <f t="shared" si="167"/>
        <v>103.94447326114158</v>
      </c>
      <c r="AO39" s="3402">
        <f t="shared" si="168"/>
        <v>104.82758768427809</v>
      </c>
      <c r="AP39" s="3402">
        <f t="shared" si="169"/>
        <v>105.02111523547921</v>
      </c>
      <c r="AQ39" s="3402"/>
      <c r="AR39" s="3402">
        <f t="shared" si="170"/>
        <v>104.82758768427809</v>
      </c>
    </row>
    <row r="40" spans="1:44">
      <c r="A40" s="3088" t="s">
        <v>3248</v>
      </c>
      <c r="B40" s="3137">
        <v>2024</v>
      </c>
      <c r="C40" s="3138">
        <v>1</v>
      </c>
      <c r="D40" s="3138"/>
      <c r="E40" s="3138">
        <v>0.25</v>
      </c>
      <c r="F40" s="3138">
        <v>0.4</v>
      </c>
      <c r="G40" s="3138">
        <v>-0.63</v>
      </c>
      <c r="H40" s="3144"/>
      <c r="I40" s="3139">
        <f t="shared" si="194"/>
        <v>0.4</v>
      </c>
      <c r="J40" s="3105"/>
      <c r="K40" s="3106"/>
      <c r="L40" s="3107">
        <f t="shared" ref="L40" si="196">E40/100</f>
        <v>2.5000000000000001E-3</v>
      </c>
      <c r="M40" s="3107">
        <f t="shared" ref="M40" si="197">F40/100</f>
        <v>4.0000000000000001E-3</v>
      </c>
      <c r="N40" s="3107">
        <f t="shared" ref="N40" si="198">G40/100</f>
        <v>-6.3E-3</v>
      </c>
      <c r="O40" s="3107"/>
      <c r="P40" s="3107">
        <f t="shared" ref="P40" si="199">M40</f>
        <v>4.0000000000000001E-3</v>
      </c>
      <c r="Q40" s="3105"/>
      <c r="R40" s="3116"/>
      <c r="S40" s="3116">
        <f>ROUND(IF(项目基本情况!$B$8="出让",SUMPRODUCT(PRODUCT(1+L40:L$52)),SUMPRODUCT(PRODUCT(1+L40:L$51))),4)</f>
        <v>1.0465</v>
      </c>
      <c r="T40" s="3116">
        <f>ROUND(IF(项目基本情况!$B$8="出让",SUMPRODUCT(PRODUCT(1+M40:M$52)),SUMPRODUCT(PRODUCT(1+M40:M$51))),4)</f>
        <v>1.0338000000000001</v>
      </c>
      <c r="U40" s="3116">
        <f>ROUND(IF(项目基本情况!$B$8="出让",SUMPRODUCT(PRODUCT(1+N40:N$52)),SUMPRODUCT(PRODUCT(1+N40:N$51))),4)</f>
        <v>1.0659000000000001</v>
      </c>
      <c r="V40" s="3116"/>
      <c r="W40" s="3116">
        <f t="shared" ref="W40" si="200">T40</f>
        <v>1.0338000000000001</v>
      </c>
      <c r="X40" s="3105"/>
      <c r="Y40" s="3107"/>
      <c r="Z40" s="3125">
        <f t="shared" ref="Z40" si="201">IF(E40=0,0,ROUND(AVERAGE(E40:E51)/100,4))</f>
        <v>3.8E-3</v>
      </c>
      <c r="AA40" s="3126">
        <f t="shared" ref="AA40" si="202">IF(F40=0,0,ROUND(AVERAGE(F40:F51)/100,4))</f>
        <v>2.8E-3</v>
      </c>
      <c r="AB40" s="3107">
        <f t="shared" ref="AB40" si="203">IF(G40=0,0,ROUND(AVERAGE(G40:G51)/100,4))</f>
        <v>5.3E-3</v>
      </c>
      <c r="AC40" s="3127"/>
      <c r="AD40" s="3107">
        <f t="shared" ref="AD40" si="204">IF(I40=0,0,ROUND(AVERAGE(I40:I51)/100,4))</f>
        <v>2.8E-3</v>
      </c>
      <c r="AG40" s="3402">
        <f t="shared" si="185"/>
        <v>104.65</v>
      </c>
      <c r="AH40" s="3402">
        <f t="shared" si="186"/>
        <v>103.38000000000001</v>
      </c>
      <c r="AI40" s="3402">
        <f t="shared" si="187"/>
        <v>106.59</v>
      </c>
      <c r="AJ40" s="3402"/>
      <c r="AK40" s="3402">
        <f t="shared" si="188"/>
        <v>103.38000000000001</v>
      </c>
      <c r="AN40" s="3402">
        <f t="shared" si="167"/>
        <v>104.2677031408783</v>
      </c>
      <c r="AO40" s="3402">
        <f t="shared" si="168"/>
        <v>105.23801594646932</v>
      </c>
      <c r="AP40" s="3402">
        <f t="shared" si="169"/>
        <v>103.74505110686478</v>
      </c>
      <c r="AQ40" s="3402"/>
      <c r="AR40" s="3402">
        <f t="shared" si="170"/>
        <v>105.23801594646932</v>
      </c>
    </row>
    <row r="41" spans="1:44">
      <c r="A41" s="3088" t="s">
        <v>3243</v>
      </c>
      <c r="B41" s="3137">
        <v>2023</v>
      </c>
      <c r="C41" s="3138">
        <v>4</v>
      </c>
      <c r="D41" s="3138"/>
      <c r="E41" s="3138">
        <v>7.0000000000000007E-2</v>
      </c>
      <c r="F41" s="3138">
        <v>0.09</v>
      </c>
      <c r="G41" s="3138">
        <v>0.03</v>
      </c>
      <c r="H41" s="3144"/>
      <c r="I41" s="3139">
        <f t="shared" ref="I41" si="205">F41</f>
        <v>0.09</v>
      </c>
      <c r="J41" s="3105"/>
      <c r="K41" s="3106"/>
      <c r="L41" s="3107">
        <f t="shared" si="195"/>
        <v>7.000000000000001E-4</v>
      </c>
      <c r="M41" s="3107">
        <f t="shared" si="195"/>
        <v>8.9999999999999998E-4</v>
      </c>
      <c r="N41" s="3107">
        <f t="shared" si="195"/>
        <v>2.9999999999999997E-4</v>
      </c>
      <c r="O41" s="3107"/>
      <c r="P41" s="3107">
        <f t="shared" ref="P41" si="206">M41</f>
        <v>8.9999999999999998E-4</v>
      </c>
      <c r="Q41" s="3105"/>
      <c r="R41" s="3116"/>
      <c r="S41" s="3116">
        <f>ROUND(IF(项目基本情况!$B$8="出让",SUMPRODUCT(PRODUCT(1+L41:L$52)),SUMPRODUCT(PRODUCT(1+L41:L$51))),4)</f>
        <v>1.0439000000000001</v>
      </c>
      <c r="T41" s="3116">
        <f>ROUND(IF(项目基本情况!$B$8="出让",SUMPRODUCT(PRODUCT(1+M41:M$52)),SUMPRODUCT(PRODUCT(1+M41:M$51))),4)</f>
        <v>1.0297000000000001</v>
      </c>
      <c r="U41" s="3116">
        <f>ROUND(IF(项目基本情况!$B$8="出让",SUMPRODUCT(PRODUCT(1+N41:N$52)),SUMPRODUCT(PRODUCT(1+N41:N$51))),4)</f>
        <v>1.0727</v>
      </c>
      <c r="V41" s="3116"/>
      <c r="W41" s="3116">
        <f t="shared" ref="W41" si="207">T41</f>
        <v>1.0297000000000001</v>
      </c>
      <c r="X41" s="3105"/>
      <c r="Y41" s="3107"/>
      <c r="Z41" s="3125">
        <f t="shared" ref="Z41" si="208">IF(E41=0,0,ROUND(AVERAGE(E41:E52)/100,4))</f>
        <v>3.8999999999999998E-3</v>
      </c>
      <c r="AA41" s="3126">
        <f t="shared" ref="AA41" si="209">IF(F41=0,0,ROUND(AVERAGE(F41:F52)/100,4))</f>
        <v>2.8E-3</v>
      </c>
      <c r="AB41" s="3107">
        <f t="shared" ref="AB41" si="210">IF(G41=0,0,ROUND(AVERAGE(G41:G52)/100,4))</f>
        <v>6.7000000000000002E-3</v>
      </c>
      <c r="AC41" s="3127"/>
      <c r="AD41" s="3107">
        <f t="shared" ref="AD41" si="211">IF(I41=0,0,ROUND(AVERAGE(I41:I52)/100,4))</f>
        <v>2.8E-3</v>
      </c>
      <c r="AG41" s="3402">
        <f t="shared" si="185"/>
        <v>104.39</v>
      </c>
      <c r="AH41" s="3402">
        <f t="shared" si="186"/>
        <v>102.97</v>
      </c>
      <c r="AI41" s="3402">
        <f t="shared" si="187"/>
        <v>107.27</v>
      </c>
      <c r="AJ41" s="3402"/>
      <c r="AK41" s="3402">
        <f t="shared" si="188"/>
        <v>102.97</v>
      </c>
      <c r="AN41" s="3402">
        <f t="shared" si="167"/>
        <v>104.00768393105068</v>
      </c>
      <c r="AO41" s="3402">
        <f t="shared" si="168"/>
        <v>104.81874098253915</v>
      </c>
      <c r="AP41" s="3402">
        <f t="shared" si="169"/>
        <v>104.40278867552055</v>
      </c>
      <c r="AQ41" s="3402"/>
      <c r="AR41" s="3402">
        <f t="shared" si="170"/>
        <v>104.81874098253915</v>
      </c>
    </row>
    <row r="42" spans="1:44">
      <c r="A42" s="3088" t="s">
        <v>3241</v>
      </c>
      <c r="B42" s="3137">
        <v>2023</v>
      </c>
      <c r="C42" s="3138">
        <v>3</v>
      </c>
      <c r="D42" s="3138"/>
      <c r="E42" s="3138">
        <v>0.35</v>
      </c>
      <c r="F42" s="3138">
        <v>0.17</v>
      </c>
      <c r="G42" s="3138">
        <v>0.52</v>
      </c>
      <c r="H42" s="3144"/>
      <c r="I42" s="3139">
        <f t="shared" si="194"/>
        <v>0.17</v>
      </c>
      <c r="J42" s="3105"/>
      <c r="K42" s="3106"/>
      <c r="L42" s="3107">
        <f t="shared" ref="L42:L44" si="212">E42/100</f>
        <v>3.4999999999999996E-3</v>
      </c>
      <c r="M42" s="3107">
        <f t="shared" ref="M42:M44" si="213">F42/100</f>
        <v>1.7000000000000001E-3</v>
      </c>
      <c r="N42" s="3107">
        <f t="shared" ref="N42:N44" si="214">G42/100</f>
        <v>5.1999999999999998E-3</v>
      </c>
      <c r="O42" s="3107"/>
      <c r="P42" s="3107">
        <f t="shared" ref="P42:P44" si="215">M42</f>
        <v>1.7000000000000001E-3</v>
      </c>
      <c r="Q42" s="3105"/>
      <c r="R42" s="3116"/>
      <c r="S42" s="3116">
        <f>ROUND(IF(项目基本情况!$B$8="出让",SUMPRODUCT(PRODUCT(1+L42:L$52)),SUMPRODUCT(PRODUCT(1+L42:L$51))),4)</f>
        <v>1.0431999999999999</v>
      </c>
      <c r="T42" s="3116">
        <f>ROUND(IF(项目基本情况!$B$8="出让",SUMPRODUCT(PRODUCT(1+M42:M$52)),SUMPRODUCT(PRODUCT(1+M42:M$51))),4)</f>
        <v>1.0286999999999999</v>
      </c>
      <c r="U42" s="3116">
        <f>ROUND(IF(项目基本情况!$B$8="出让",SUMPRODUCT(PRODUCT(1+N42:N$52)),SUMPRODUCT(PRODUCT(1+N42:N$51))),4)</f>
        <v>1.0723</v>
      </c>
      <c r="V42" s="3116"/>
      <c r="W42" s="3116">
        <f t="shared" ref="W42:W44" si="216">T42</f>
        <v>1.0286999999999999</v>
      </c>
      <c r="X42" s="3105"/>
      <c r="Y42" s="3107"/>
      <c r="Z42" s="3125">
        <f t="shared" ref="Z42:AB42" si="217">IF(E42=0,0,ROUND(AVERAGE(E42:E53)/100,4))</f>
        <v>4.1999999999999997E-3</v>
      </c>
      <c r="AA42" s="3126">
        <f t="shared" si="217"/>
        <v>3.0000000000000001E-3</v>
      </c>
      <c r="AB42" s="3107">
        <f t="shared" si="217"/>
        <v>7.3000000000000001E-3</v>
      </c>
      <c r="AC42" s="3127"/>
      <c r="AD42" s="3107">
        <f t="shared" ref="AD42:AD44" si="218">IF(I42=0,0,ROUND(AVERAGE(I42:I53)/100,4))</f>
        <v>3.0000000000000001E-3</v>
      </c>
      <c r="AG42" s="3402">
        <f t="shared" si="185"/>
        <v>104.32</v>
      </c>
      <c r="AH42" s="3402">
        <f t="shared" si="186"/>
        <v>102.86999999999999</v>
      </c>
      <c r="AI42" s="3402">
        <f t="shared" si="187"/>
        <v>107.23</v>
      </c>
      <c r="AJ42" s="3402"/>
      <c r="AK42" s="3402">
        <f t="shared" si="188"/>
        <v>102.86999999999999</v>
      </c>
      <c r="AN42" s="3402">
        <f t="shared" si="167"/>
        <v>103.9349294804144</v>
      </c>
      <c r="AO42" s="3402">
        <f t="shared" si="168"/>
        <v>104.72448894249092</v>
      </c>
      <c r="AP42" s="3402">
        <f t="shared" si="169"/>
        <v>104.37147723235086</v>
      </c>
      <c r="AQ42" s="3402"/>
      <c r="AR42" s="3402">
        <f t="shared" si="170"/>
        <v>104.72448894249092</v>
      </c>
    </row>
    <row r="43" spans="1:44">
      <c r="A43" s="3088" t="s">
        <v>3240</v>
      </c>
      <c r="B43" s="3137">
        <v>2023</v>
      </c>
      <c r="C43" s="3138">
        <v>2</v>
      </c>
      <c r="D43" s="3138"/>
      <c r="E43" s="3138">
        <v>0.5</v>
      </c>
      <c r="F43" s="3138">
        <v>0.45</v>
      </c>
      <c r="G43" s="3138">
        <v>0.89</v>
      </c>
      <c r="H43" s="3144"/>
      <c r="I43" s="3139">
        <f t="shared" si="194"/>
        <v>0.45</v>
      </c>
      <c r="J43" s="3105"/>
      <c r="K43" s="3106"/>
      <c r="L43" s="3107">
        <f t="shared" si="212"/>
        <v>5.0000000000000001E-3</v>
      </c>
      <c r="M43" s="3107">
        <f t="shared" si="213"/>
        <v>4.5000000000000005E-3</v>
      </c>
      <c r="N43" s="3107">
        <f t="shared" si="214"/>
        <v>8.8999999999999999E-3</v>
      </c>
      <c r="O43" s="3107"/>
      <c r="P43" s="3107">
        <f t="shared" si="215"/>
        <v>4.5000000000000005E-3</v>
      </c>
      <c r="Q43" s="3105"/>
      <c r="R43" s="3116"/>
      <c r="S43" s="3116">
        <f>ROUND(IF(项目基本情况!$B$8="出让",SUMPRODUCT(PRODUCT(1+L43:L$52)),SUMPRODUCT(PRODUCT(1+L43:L$51))),4)</f>
        <v>1.0396000000000001</v>
      </c>
      <c r="T43" s="3116">
        <f>ROUND(IF(项目基本情况!$B$8="出让",SUMPRODUCT(PRODUCT(1+M43:M$52)),SUMPRODUCT(PRODUCT(1+M43:M$51))),4)</f>
        <v>1.0269999999999999</v>
      </c>
      <c r="U43" s="3116">
        <f>ROUND(IF(项目基本情况!$B$8="出让",SUMPRODUCT(PRODUCT(1+N43:N$52)),SUMPRODUCT(PRODUCT(1+N43:N$51))),4)</f>
        <v>1.0668</v>
      </c>
      <c r="V43" s="3116"/>
      <c r="W43" s="3116">
        <f t="shared" si="216"/>
        <v>1.0269999999999999</v>
      </c>
      <c r="X43" s="3105"/>
      <c r="Y43" s="3107"/>
      <c r="Z43" s="3125">
        <f t="shared" ref="Z43:AB43" si="219">IF(E43=0,0,ROUND(AVERAGE(E43:E54)/100,4))</f>
        <v>4.1999999999999997E-3</v>
      </c>
      <c r="AA43" s="3126">
        <f t="shared" si="219"/>
        <v>3.2000000000000002E-3</v>
      </c>
      <c r="AB43" s="3107">
        <f t="shared" si="219"/>
        <v>7.4999999999999997E-3</v>
      </c>
      <c r="AC43" s="3127"/>
      <c r="AD43" s="3107">
        <f t="shared" si="218"/>
        <v>3.2000000000000002E-3</v>
      </c>
      <c r="AG43" s="3402">
        <f t="shared" si="185"/>
        <v>103.96000000000001</v>
      </c>
      <c r="AH43" s="3402">
        <f t="shared" si="186"/>
        <v>102.69999999999999</v>
      </c>
      <c r="AI43" s="3402">
        <f t="shared" si="187"/>
        <v>106.67999999999999</v>
      </c>
      <c r="AJ43" s="3402"/>
      <c r="AK43" s="3402">
        <f t="shared" si="188"/>
        <v>102.69999999999999</v>
      </c>
      <c r="AN43" s="3402">
        <f t="shared" si="167"/>
        <v>103.5724259894513</v>
      </c>
      <c r="AO43" s="3402">
        <f t="shared" si="168"/>
        <v>104.5467594514235</v>
      </c>
      <c r="AP43" s="3402">
        <f t="shared" si="169"/>
        <v>103.83155315593996</v>
      </c>
      <c r="AQ43" s="3402"/>
      <c r="AR43" s="3402">
        <f t="shared" si="170"/>
        <v>104.5467594514235</v>
      </c>
    </row>
    <row r="44" spans="1:44">
      <c r="A44" s="3088" t="s">
        <v>3238</v>
      </c>
      <c r="B44" s="3137">
        <v>2023</v>
      </c>
      <c r="C44" s="3138">
        <v>1</v>
      </c>
      <c r="D44" s="3138"/>
      <c r="E44" s="3138">
        <v>0.55000000000000004</v>
      </c>
      <c r="F44" s="3138">
        <v>0.59</v>
      </c>
      <c r="G44" s="3138">
        <v>0.64</v>
      </c>
      <c r="H44" s="3144"/>
      <c r="I44" s="3139">
        <f t="shared" si="194"/>
        <v>0.59</v>
      </c>
      <c r="J44" s="3105"/>
      <c r="K44" s="3106"/>
      <c r="L44" s="3107">
        <f t="shared" si="212"/>
        <v>5.5000000000000005E-3</v>
      </c>
      <c r="M44" s="3107">
        <f t="shared" si="213"/>
        <v>5.8999999999999999E-3</v>
      </c>
      <c r="N44" s="3107">
        <f t="shared" si="214"/>
        <v>6.4000000000000003E-3</v>
      </c>
      <c r="O44" s="3107"/>
      <c r="P44" s="3107">
        <f t="shared" si="215"/>
        <v>5.8999999999999999E-3</v>
      </c>
      <c r="Q44" s="3105"/>
      <c r="R44" s="3116"/>
      <c r="S44" s="3116">
        <f>ROUND(IF(项目基本情况!$B$8="出让",SUMPRODUCT(PRODUCT(1+L44:L$52)),SUMPRODUCT(PRODUCT(1+L44:L$51))),4)</f>
        <v>1.0344</v>
      </c>
      <c r="T44" s="3116">
        <f>ROUND(IF(项目基本情况!$B$8="出让",SUMPRODUCT(PRODUCT(1+M44:M$52)),SUMPRODUCT(PRODUCT(1+M44:M$51))),4)</f>
        <v>1.0224</v>
      </c>
      <c r="U44" s="3116">
        <f>ROUND(IF(项目基本情况!$B$8="出让",SUMPRODUCT(PRODUCT(1+N44:N$52)),SUMPRODUCT(PRODUCT(1+N44:N$51))),4)</f>
        <v>1.0573999999999999</v>
      </c>
      <c r="V44" s="3116"/>
      <c r="W44" s="3116">
        <f t="shared" si="216"/>
        <v>1.0224</v>
      </c>
      <c r="X44" s="3105"/>
      <c r="Y44" s="3107"/>
      <c r="Z44" s="3125">
        <f t="shared" ref="Z44:AB44" si="220">IF(E44=0,0,ROUND(AVERAGE(E44:E55)/100,4))</f>
        <v>4.1999999999999997E-3</v>
      </c>
      <c r="AA44" s="3126">
        <f t="shared" si="220"/>
        <v>3.0000000000000001E-3</v>
      </c>
      <c r="AB44" s="3107">
        <f t="shared" si="220"/>
        <v>7.3000000000000001E-3</v>
      </c>
      <c r="AC44" s="3127"/>
      <c r="AD44" s="3107">
        <f t="shared" si="218"/>
        <v>3.0000000000000001E-3</v>
      </c>
      <c r="AG44" s="3402">
        <f t="shared" si="185"/>
        <v>103.44</v>
      </c>
      <c r="AH44" s="3402">
        <f t="shared" si="186"/>
        <v>102.24</v>
      </c>
      <c r="AI44" s="3402">
        <f t="shared" si="187"/>
        <v>105.74</v>
      </c>
      <c r="AJ44" s="3402"/>
      <c r="AK44" s="3402">
        <f t="shared" si="188"/>
        <v>102.24</v>
      </c>
      <c r="AN44" s="3402">
        <f t="shared" si="167"/>
        <v>103.05714028801125</v>
      </c>
      <c r="AO44" s="3402">
        <f t="shared" si="168"/>
        <v>104.07840662162619</v>
      </c>
      <c r="AP44" s="3402">
        <f t="shared" si="169"/>
        <v>102.91560427786695</v>
      </c>
      <c r="AQ44" s="3402"/>
      <c r="AR44" s="3402">
        <f t="shared" si="170"/>
        <v>104.07840662162619</v>
      </c>
    </row>
    <row r="45" spans="1:44">
      <c r="A45" s="3088" t="s">
        <v>3236</v>
      </c>
      <c r="B45" s="3137">
        <v>2022</v>
      </c>
      <c r="C45" s="3138">
        <v>4</v>
      </c>
      <c r="D45" s="3138"/>
      <c r="E45" s="3138">
        <v>0.45</v>
      </c>
      <c r="F45" s="3138">
        <v>0.2</v>
      </c>
      <c r="G45" s="3138">
        <v>0.38</v>
      </c>
      <c r="H45" s="3144"/>
      <c r="I45" s="3139">
        <f t="shared" si="194"/>
        <v>0.2</v>
      </c>
      <c r="J45" s="3105"/>
      <c r="K45" s="3106"/>
      <c r="L45" s="3107">
        <f t="shared" si="195"/>
        <v>4.5000000000000005E-3</v>
      </c>
      <c r="M45" s="3107">
        <f t="shared" si="195"/>
        <v>2E-3</v>
      </c>
      <c r="N45" s="3107">
        <f t="shared" si="195"/>
        <v>3.8E-3</v>
      </c>
      <c r="O45" s="3107"/>
      <c r="P45" s="3107">
        <f t="shared" ref="P45:P52" si="221">M45</f>
        <v>2E-3</v>
      </c>
      <c r="Q45" s="3105"/>
      <c r="R45" s="3116"/>
      <c r="S45" s="3116">
        <f>ROUND(IF(项目基本情况!$B$8="出让",SUMPRODUCT(PRODUCT(1+L45:L$52)),SUMPRODUCT(PRODUCT(1+L45:L$51))),4)</f>
        <v>1.0286999999999999</v>
      </c>
      <c r="T45" s="3116">
        <f>ROUND(IF(项目基本情况!$B$8="出让",SUMPRODUCT(PRODUCT(1+M45:M$52)),SUMPRODUCT(PRODUCT(1+M45:M$51))),4)</f>
        <v>1.0164</v>
      </c>
      <c r="U45" s="3116">
        <f>ROUND(IF(项目基本情况!$B$8="出让",SUMPRODUCT(PRODUCT(1+N45:N$52)),SUMPRODUCT(PRODUCT(1+N45:N$51))),4)</f>
        <v>1.0506</v>
      </c>
      <c r="V45" s="3116"/>
      <c r="W45" s="3116">
        <f t="shared" ref="W45:W52" si="222">T45</f>
        <v>1.0164</v>
      </c>
      <c r="X45" s="3105"/>
      <c r="Y45" s="3107"/>
      <c r="Z45" s="3125">
        <f t="shared" ref="Z45:AD52" si="223">IF(E45=0,0,ROUND(AVERAGE(E45:E53)/100,4))</f>
        <v>4.0000000000000001E-3</v>
      </c>
      <c r="AA45" s="3126">
        <f t="shared" si="223"/>
        <v>2.5999999999999999E-3</v>
      </c>
      <c r="AB45" s="3107">
        <f t="shared" si="223"/>
        <v>7.4000000000000003E-3</v>
      </c>
      <c r="AC45" s="3127"/>
      <c r="AD45" s="3107">
        <f t="shared" si="223"/>
        <v>2.5999999999999999E-3</v>
      </c>
      <c r="AG45" s="3402">
        <f t="shared" si="185"/>
        <v>102.86999999999999</v>
      </c>
      <c r="AH45" s="3402">
        <f t="shared" si="186"/>
        <v>101.64</v>
      </c>
      <c r="AI45" s="3402">
        <f t="shared" si="187"/>
        <v>105.06</v>
      </c>
      <c r="AJ45" s="3402"/>
      <c r="AK45" s="3402">
        <f t="shared" si="188"/>
        <v>101.64</v>
      </c>
      <c r="AN45" s="3402">
        <f t="shared" si="167"/>
        <v>102.49342644257707</v>
      </c>
      <c r="AO45" s="3402">
        <f t="shared" si="168"/>
        <v>103.46794574174986</v>
      </c>
      <c r="AP45" s="3402">
        <f t="shared" si="169"/>
        <v>102.26113302649736</v>
      </c>
      <c r="AQ45" s="3402"/>
      <c r="AR45" s="3402">
        <f t="shared" si="170"/>
        <v>103.46794574174986</v>
      </c>
    </row>
    <row r="46" spans="1:44">
      <c r="A46" s="3088" t="s">
        <v>3234</v>
      </c>
      <c r="B46" s="3137">
        <v>2022</v>
      </c>
      <c r="C46" s="3138">
        <v>3</v>
      </c>
      <c r="D46" s="3138"/>
      <c r="E46" s="3138">
        <v>0.3</v>
      </c>
      <c r="F46" s="3138">
        <v>0.28999999999999998</v>
      </c>
      <c r="G46" s="3138">
        <v>0.83</v>
      </c>
      <c r="H46" s="3144"/>
      <c r="I46" s="3139">
        <f t="shared" si="194"/>
        <v>0.28999999999999998</v>
      </c>
      <c r="J46" s="3105"/>
      <c r="K46" s="3106"/>
      <c r="L46" s="3107">
        <f t="shared" si="195"/>
        <v>3.0000000000000001E-3</v>
      </c>
      <c r="M46" s="3107">
        <f t="shared" si="195"/>
        <v>2.8999999999999998E-3</v>
      </c>
      <c r="N46" s="3107">
        <f t="shared" si="195"/>
        <v>8.3000000000000001E-3</v>
      </c>
      <c r="O46" s="3107"/>
      <c r="P46" s="3107">
        <f t="shared" si="221"/>
        <v>2.8999999999999998E-3</v>
      </c>
      <c r="Q46" s="3105"/>
      <c r="R46" s="3116"/>
      <c r="S46" s="3116">
        <f>ROUND(IF(项目基本情况!$B$8="出让",SUMPRODUCT(PRODUCT(1+L46:L$52)),SUMPRODUCT(PRODUCT(1+L46:L$51))),4)</f>
        <v>1.0241</v>
      </c>
      <c r="T46" s="3116">
        <f>ROUND(IF(项目基本情况!$B$8="出让",SUMPRODUCT(PRODUCT(1+M46:M$52)),SUMPRODUCT(PRODUCT(1+M46:M$51))),4)</f>
        <v>1.0144</v>
      </c>
      <c r="U46" s="3116">
        <f>ROUND(IF(项目基本情况!$B$8="出让",SUMPRODUCT(PRODUCT(1+N46:N$52)),SUMPRODUCT(PRODUCT(1+N46:N$51))),4)</f>
        <v>1.0467</v>
      </c>
      <c r="V46" s="3116"/>
      <c r="W46" s="3116">
        <f t="shared" si="222"/>
        <v>1.0144</v>
      </c>
      <c r="X46" s="3105"/>
      <c r="Y46" s="3107"/>
      <c r="Z46" s="3125">
        <f t="shared" si="223"/>
        <v>3.8999999999999998E-3</v>
      </c>
      <c r="AA46" s="3126">
        <f t="shared" si="223"/>
        <v>2.7000000000000001E-3</v>
      </c>
      <c r="AB46" s="3107">
        <f t="shared" si="223"/>
        <v>7.9000000000000008E-3</v>
      </c>
      <c r="AC46" s="3127"/>
      <c r="AD46" s="3107">
        <f t="shared" si="223"/>
        <v>2.7000000000000001E-3</v>
      </c>
      <c r="AG46" s="3402">
        <f t="shared" si="185"/>
        <v>102.41</v>
      </c>
      <c r="AH46" s="3402">
        <f t="shared" si="186"/>
        <v>101.44</v>
      </c>
      <c r="AI46" s="3402">
        <f t="shared" si="187"/>
        <v>104.67</v>
      </c>
      <c r="AJ46" s="3402"/>
      <c r="AK46" s="3402">
        <f t="shared" si="188"/>
        <v>101.44</v>
      </c>
      <c r="AN46" s="3402">
        <f t="shared" si="167"/>
        <v>102.03427221759789</v>
      </c>
      <c r="AO46" s="3402">
        <f t="shared" si="168"/>
        <v>103.26142289595795</v>
      </c>
      <c r="AP46" s="3402">
        <f t="shared" si="169"/>
        <v>101.87401178172679</v>
      </c>
      <c r="AQ46" s="3402"/>
      <c r="AR46" s="3402">
        <f t="shared" si="170"/>
        <v>103.26142289595795</v>
      </c>
    </row>
    <row r="47" spans="1:44">
      <c r="A47" s="3088" t="s">
        <v>3233</v>
      </c>
      <c r="B47" s="3137">
        <v>2022</v>
      </c>
      <c r="C47" s="3138">
        <v>2</v>
      </c>
      <c r="D47" s="3138"/>
      <c r="E47" s="3138">
        <v>-0.11</v>
      </c>
      <c r="F47" s="3138">
        <v>-0.13</v>
      </c>
      <c r="G47" s="3138">
        <v>0.53</v>
      </c>
      <c r="H47" s="3144"/>
      <c r="I47" s="3139">
        <f t="shared" si="194"/>
        <v>-0.13</v>
      </c>
      <c r="J47" s="3105"/>
      <c r="K47" s="3106"/>
      <c r="L47" s="3107">
        <f t="shared" si="195"/>
        <v>-1.1000000000000001E-3</v>
      </c>
      <c r="M47" s="3107">
        <f t="shared" si="195"/>
        <v>-1.2999999999999999E-3</v>
      </c>
      <c r="N47" s="3107">
        <f t="shared" si="195"/>
        <v>5.3E-3</v>
      </c>
      <c r="O47" s="3107"/>
      <c r="P47" s="3107">
        <f t="shared" si="221"/>
        <v>-1.2999999999999999E-3</v>
      </c>
      <c r="Q47" s="3105"/>
      <c r="R47" s="3116"/>
      <c r="S47" s="3116">
        <f>ROUND(IF(项目基本情况!$B$8="出让",SUMPRODUCT(PRODUCT(1+L47:L$52)),SUMPRODUCT(PRODUCT(1+L47:L$51))),4)</f>
        <v>1.0210999999999999</v>
      </c>
      <c r="T47" s="3116">
        <f>ROUND(IF(项目基本情况!$B$8="出让",SUMPRODUCT(PRODUCT(1+M47:M$52)),SUMPRODUCT(PRODUCT(1+M47:M$51))),4)</f>
        <v>1.0114000000000001</v>
      </c>
      <c r="U47" s="3116">
        <f>ROUND(IF(项目基本情况!$B$8="出让",SUMPRODUCT(PRODUCT(1+N47:N$52)),SUMPRODUCT(PRODUCT(1+N47:N$51))),4)</f>
        <v>1.0381</v>
      </c>
      <c r="V47" s="3116"/>
      <c r="W47" s="3116">
        <f t="shared" si="222"/>
        <v>1.0114000000000001</v>
      </c>
      <c r="X47" s="3105"/>
      <c r="Y47" s="3107"/>
      <c r="Z47" s="3125">
        <f t="shared" si="223"/>
        <v>4.1000000000000003E-3</v>
      </c>
      <c r="AA47" s="3126">
        <f t="shared" si="223"/>
        <v>2.7000000000000001E-3</v>
      </c>
      <c r="AB47" s="3107">
        <f t="shared" si="223"/>
        <v>7.9000000000000008E-3</v>
      </c>
      <c r="AC47" s="3127"/>
      <c r="AD47" s="3107">
        <f t="shared" si="223"/>
        <v>2.7000000000000001E-3</v>
      </c>
      <c r="AG47" s="3402">
        <f t="shared" si="185"/>
        <v>102.10999999999999</v>
      </c>
      <c r="AH47" s="3402">
        <f t="shared" si="186"/>
        <v>101.14000000000001</v>
      </c>
      <c r="AI47" s="3402">
        <f t="shared" si="187"/>
        <v>103.81</v>
      </c>
      <c r="AJ47" s="3402"/>
      <c r="AK47" s="3402">
        <f t="shared" si="188"/>
        <v>101.14000000000001</v>
      </c>
      <c r="AN47" s="3402">
        <f t="shared" si="167"/>
        <v>101.72908496270976</v>
      </c>
      <c r="AO47" s="3402">
        <f t="shared" si="168"/>
        <v>102.96283068696576</v>
      </c>
      <c r="AP47" s="3402">
        <f t="shared" si="169"/>
        <v>101.03541781387166</v>
      </c>
      <c r="AQ47" s="3402"/>
      <c r="AR47" s="3402">
        <f t="shared" si="170"/>
        <v>102.96283068696576</v>
      </c>
    </row>
    <row r="48" spans="1:44">
      <c r="A48" s="3088" t="s">
        <v>2769</v>
      </c>
      <c r="B48" s="3137">
        <v>2022</v>
      </c>
      <c r="C48" s="3138">
        <v>1</v>
      </c>
      <c r="D48" s="3138"/>
      <c r="E48" s="3138">
        <v>0.6</v>
      </c>
      <c r="F48" s="3138">
        <v>0.45</v>
      </c>
      <c r="G48" s="3138">
        <v>0.53</v>
      </c>
      <c r="H48" s="3144"/>
      <c r="I48" s="3139">
        <f t="shared" si="194"/>
        <v>0.45</v>
      </c>
      <c r="J48" s="3105"/>
      <c r="K48" s="3106"/>
      <c r="L48" s="3107">
        <f t="shared" si="195"/>
        <v>6.0000000000000001E-3</v>
      </c>
      <c r="M48" s="3107">
        <f t="shared" si="195"/>
        <v>4.5000000000000005E-3</v>
      </c>
      <c r="N48" s="3107">
        <f t="shared" si="195"/>
        <v>5.3E-3</v>
      </c>
      <c r="O48" s="3107"/>
      <c r="P48" s="3107">
        <f t="shared" si="221"/>
        <v>4.5000000000000005E-3</v>
      </c>
      <c r="Q48" s="3105"/>
      <c r="R48" s="3116"/>
      <c r="S48" s="3116">
        <f>ROUND(IF(项目基本情况!$B$8="出让",SUMPRODUCT(PRODUCT(1+L48:L$52)),SUMPRODUCT(PRODUCT(1+L48:L$51))),4)</f>
        <v>1.0222</v>
      </c>
      <c r="T48" s="3116">
        <f>ROUND(IF(项目基本情况!$B$8="出让",SUMPRODUCT(PRODUCT(1+M48:M$52)),SUMPRODUCT(PRODUCT(1+M48:M$51))),4)</f>
        <v>1.0127999999999999</v>
      </c>
      <c r="U48" s="3116">
        <f>ROUND(IF(项目基本情况!$B$8="出让",SUMPRODUCT(PRODUCT(1+N48:N$52)),SUMPRODUCT(PRODUCT(1+N48:N$51))),4)</f>
        <v>1.0326</v>
      </c>
      <c r="V48" s="3116"/>
      <c r="W48" s="3116">
        <f t="shared" si="222"/>
        <v>1.0127999999999999</v>
      </c>
      <c r="X48" s="3105"/>
      <c r="Y48" s="3107"/>
      <c r="Z48" s="3125">
        <f t="shared" si="223"/>
        <v>5.1000000000000004E-3</v>
      </c>
      <c r="AA48" s="3126">
        <f t="shared" si="223"/>
        <v>3.5000000000000001E-3</v>
      </c>
      <c r="AB48" s="3107">
        <f t="shared" si="223"/>
        <v>8.3999999999999995E-3</v>
      </c>
      <c r="AC48" s="3127"/>
      <c r="AD48" s="3107">
        <f t="shared" si="223"/>
        <v>3.5000000000000001E-3</v>
      </c>
      <c r="AG48" s="3402">
        <f t="shared" si="185"/>
        <v>102.22</v>
      </c>
      <c r="AH48" s="3402">
        <f t="shared" si="186"/>
        <v>101.27999999999999</v>
      </c>
      <c r="AI48" s="3402">
        <f t="shared" si="187"/>
        <v>103.25999999999999</v>
      </c>
      <c r="AJ48" s="3402"/>
      <c r="AK48" s="3402">
        <f t="shared" si="188"/>
        <v>101.27999999999999</v>
      </c>
      <c r="AN48" s="3402">
        <f t="shared" si="167"/>
        <v>101.84111018391206</v>
      </c>
      <c r="AO48" s="3402">
        <f t="shared" si="168"/>
        <v>103.09685660054646</v>
      </c>
      <c r="AP48" s="3402">
        <f t="shared" si="169"/>
        <v>100.50275322179613</v>
      </c>
      <c r="AQ48" s="3402"/>
      <c r="AR48" s="3402">
        <f t="shared" si="170"/>
        <v>103.09685660054646</v>
      </c>
    </row>
    <row r="49" spans="1:44">
      <c r="A49" s="3088" t="s">
        <v>2770</v>
      </c>
      <c r="B49" s="3137">
        <v>2021</v>
      </c>
      <c r="C49" s="3138">
        <v>4</v>
      </c>
      <c r="D49" s="3138"/>
      <c r="E49" s="3138">
        <v>0.57999999999999996</v>
      </c>
      <c r="F49" s="3138">
        <v>0.08</v>
      </c>
      <c r="G49" s="3138">
        <v>0.68</v>
      </c>
      <c r="H49" s="3144"/>
      <c r="I49" s="3139">
        <f t="shared" si="194"/>
        <v>0.08</v>
      </c>
      <c r="J49" s="3105"/>
      <c r="K49" s="3106"/>
      <c r="L49" s="3107">
        <f t="shared" si="195"/>
        <v>5.7999999999999996E-3</v>
      </c>
      <c r="M49" s="3107">
        <f t="shared" si="195"/>
        <v>8.0000000000000004E-4</v>
      </c>
      <c r="N49" s="3107">
        <f t="shared" si="195"/>
        <v>6.8000000000000005E-3</v>
      </c>
      <c r="O49" s="3107"/>
      <c r="P49" s="3107">
        <f t="shared" si="221"/>
        <v>8.0000000000000004E-4</v>
      </c>
      <c r="Q49" s="3105"/>
      <c r="R49" s="3116"/>
      <c r="S49" s="3116">
        <f>ROUND(IF(项目基本情况!$B$8="出让",SUMPRODUCT(PRODUCT(1+L49:L$52)),SUMPRODUCT(PRODUCT(1+L49:L$51))),4)</f>
        <v>1.0161</v>
      </c>
      <c r="T49" s="3116">
        <f>ROUND(IF(项目基本情况!$B$8="出让",SUMPRODUCT(PRODUCT(1+M49:M$52)),SUMPRODUCT(PRODUCT(1+M49:M$51))),4)</f>
        <v>1.0082</v>
      </c>
      <c r="U49" s="3116">
        <f>ROUND(IF(项目基本情况!$B$8="出让",SUMPRODUCT(PRODUCT(1+N49:N$52)),SUMPRODUCT(PRODUCT(1+N49:N$51))),4)</f>
        <v>1.0270999999999999</v>
      </c>
      <c r="V49" s="3116"/>
      <c r="W49" s="3116">
        <f t="shared" si="222"/>
        <v>1.0082</v>
      </c>
      <c r="X49" s="3105"/>
      <c r="Y49" s="3107"/>
      <c r="Z49" s="3125">
        <f t="shared" si="223"/>
        <v>4.8999999999999998E-3</v>
      </c>
      <c r="AA49" s="3126">
        <f t="shared" si="223"/>
        <v>3.3E-3</v>
      </c>
      <c r="AB49" s="3107">
        <f t="shared" si="223"/>
        <v>9.1999999999999998E-3</v>
      </c>
      <c r="AC49" s="3127"/>
      <c r="AD49" s="3107">
        <f t="shared" si="223"/>
        <v>3.3E-3</v>
      </c>
      <c r="AG49" s="3402">
        <f t="shared" si="185"/>
        <v>101.61</v>
      </c>
      <c r="AH49" s="3402">
        <f t="shared" si="186"/>
        <v>100.82</v>
      </c>
      <c r="AI49" s="3402">
        <f t="shared" si="187"/>
        <v>102.71</v>
      </c>
      <c r="AJ49" s="3402"/>
      <c r="AK49" s="3402">
        <f t="shared" si="188"/>
        <v>100.82</v>
      </c>
      <c r="AN49" s="3402">
        <f t="shared" si="167"/>
        <v>101.23370793629429</v>
      </c>
      <c r="AO49" s="3402">
        <f t="shared" si="168"/>
        <v>102.63499910457587</v>
      </c>
      <c r="AP49" s="3402">
        <f t="shared" si="169"/>
        <v>99.972896868393633</v>
      </c>
      <c r="AQ49" s="3402"/>
      <c r="AR49" s="3402">
        <f t="shared" si="170"/>
        <v>102.63499910457587</v>
      </c>
    </row>
    <row r="50" spans="1:44">
      <c r="A50" s="3088" t="s">
        <v>2771</v>
      </c>
      <c r="B50" s="3137">
        <v>2021</v>
      </c>
      <c r="C50" s="3138">
        <v>3</v>
      </c>
      <c r="D50" s="3138"/>
      <c r="E50" s="3138">
        <v>0.47</v>
      </c>
      <c r="F50" s="3138">
        <v>0.28000000000000003</v>
      </c>
      <c r="G50" s="3138">
        <v>0.91</v>
      </c>
      <c r="H50" s="3144"/>
      <c r="I50" s="3139">
        <f t="shared" si="194"/>
        <v>0.28000000000000003</v>
      </c>
      <c r="J50" s="3105"/>
      <c r="K50" s="3106"/>
      <c r="L50" s="3107">
        <f t="shared" si="195"/>
        <v>4.6999999999999993E-3</v>
      </c>
      <c r="M50" s="3107">
        <f t="shared" si="195"/>
        <v>2.8000000000000004E-3</v>
      </c>
      <c r="N50" s="3107">
        <f t="shared" si="195"/>
        <v>9.1000000000000004E-3</v>
      </c>
      <c r="O50" s="3107"/>
      <c r="P50" s="3107">
        <f t="shared" si="221"/>
        <v>2.8000000000000004E-3</v>
      </c>
      <c r="Q50" s="3105"/>
      <c r="R50" s="3116"/>
      <c r="S50" s="3116">
        <f>ROUND(IF(项目基本情况!$B$8="出让",SUMPRODUCT(PRODUCT(1+L50:L$52)),SUMPRODUCT(PRODUCT(1+L50:L$51))),4)</f>
        <v>1.0102</v>
      </c>
      <c r="T50" s="3116">
        <f>ROUND(IF(项目基本情况!$B$8="出让",SUMPRODUCT(PRODUCT(1+M50:M$52)),SUMPRODUCT(PRODUCT(1+M50:M$51))),4)</f>
        <v>1.0074000000000001</v>
      </c>
      <c r="U50" s="3116">
        <f>ROUND(IF(项目基本情况!$B$8="出让",SUMPRODUCT(PRODUCT(1+N50:N$52)),SUMPRODUCT(PRODUCT(1+N50:N$51))),4)</f>
        <v>1.0202</v>
      </c>
      <c r="V50" s="3116"/>
      <c r="W50" s="3116">
        <f t="shared" si="222"/>
        <v>1.0074000000000001</v>
      </c>
      <c r="X50" s="3105"/>
      <c r="Y50" s="3107"/>
      <c r="Z50" s="3125">
        <f t="shared" si="223"/>
        <v>4.5999999999999999E-3</v>
      </c>
      <c r="AA50" s="3126">
        <f t="shared" si="223"/>
        <v>4.1000000000000003E-3</v>
      </c>
      <c r="AB50" s="3107">
        <f t="shared" si="223"/>
        <v>0.01</v>
      </c>
      <c r="AC50" s="3127"/>
      <c r="AD50" s="3107">
        <f t="shared" si="223"/>
        <v>4.1000000000000003E-3</v>
      </c>
      <c r="AG50" s="3402">
        <f t="shared" si="185"/>
        <v>101.02</v>
      </c>
      <c r="AH50" s="3402">
        <f t="shared" si="186"/>
        <v>100.74000000000001</v>
      </c>
      <c r="AI50" s="3402">
        <f t="shared" si="187"/>
        <v>102.02</v>
      </c>
      <c r="AJ50" s="3402"/>
      <c r="AK50" s="3402">
        <f t="shared" si="188"/>
        <v>100.74000000000001</v>
      </c>
      <c r="AN50" s="3402">
        <f t="shared" si="167"/>
        <v>100.649938294188</v>
      </c>
      <c r="AO50" s="3402">
        <f t="shared" si="168"/>
        <v>102.55295673918452</v>
      </c>
      <c r="AP50" s="3402">
        <f t="shared" si="169"/>
        <v>99.297672694073938</v>
      </c>
      <c r="AQ50" s="3402"/>
      <c r="AR50" s="3402">
        <f t="shared" si="170"/>
        <v>102.55295673918452</v>
      </c>
    </row>
    <row r="51" spans="1:44">
      <c r="A51" s="3088" t="s">
        <v>2775</v>
      </c>
      <c r="B51" s="3137">
        <v>2021</v>
      </c>
      <c r="C51" s="3138">
        <v>2</v>
      </c>
      <c r="D51" s="3138"/>
      <c r="E51" s="3138">
        <v>0.55000000000000004</v>
      </c>
      <c r="F51" s="3138">
        <v>0.46</v>
      </c>
      <c r="G51" s="3138">
        <v>1.1000000000000001</v>
      </c>
      <c r="H51" s="3144"/>
      <c r="I51" s="3139">
        <f t="shared" si="194"/>
        <v>0.46</v>
      </c>
      <c r="J51" s="3105"/>
      <c r="K51" s="3106"/>
      <c r="L51" s="3107">
        <f t="shared" si="195"/>
        <v>5.5000000000000005E-3</v>
      </c>
      <c r="M51" s="3107">
        <f t="shared" si="195"/>
        <v>4.5999999999999999E-3</v>
      </c>
      <c r="N51" s="3107">
        <f t="shared" si="195"/>
        <v>1.1000000000000001E-2</v>
      </c>
      <c r="O51" s="3107"/>
      <c r="P51" s="3107">
        <f t="shared" si="221"/>
        <v>4.5999999999999999E-3</v>
      </c>
      <c r="Q51" s="3105"/>
      <c r="R51" s="3116"/>
      <c r="S51" s="3116">
        <f>ROUND(IF(项目基本情况!$B$8="出让",SUMPRODUCT(PRODUCT(1+L51:L$52)),SUMPRODUCT(PRODUCT(1+L51:L$51))),4)</f>
        <v>1.0055000000000001</v>
      </c>
      <c r="T51" s="3116">
        <f>ROUND(IF(项目基本情况!$B$8="出让",SUMPRODUCT(PRODUCT(1+M51:M$52)),SUMPRODUCT(PRODUCT(1+M51:M$51))),4)</f>
        <v>1.0045999999999999</v>
      </c>
      <c r="U51" s="3116">
        <f>ROUND(IF(项目基本情况!$B$8="出让",SUMPRODUCT(PRODUCT(1+N51:N$52)),SUMPRODUCT(PRODUCT(1+N51:N$51))),4)</f>
        <v>1.0109999999999999</v>
      </c>
      <c r="V51" s="3116"/>
      <c r="W51" s="3116">
        <f t="shared" si="222"/>
        <v>1.0045999999999999</v>
      </c>
      <c r="X51" s="3105"/>
      <c r="Y51" s="3107"/>
      <c r="Z51" s="3125">
        <f t="shared" si="223"/>
        <v>4.4999999999999997E-3</v>
      </c>
      <c r="AA51" s="3126">
        <f t="shared" si="223"/>
        <v>4.7000000000000002E-3</v>
      </c>
      <c r="AB51" s="3107">
        <f t="shared" si="223"/>
        <v>1.04E-2</v>
      </c>
      <c r="AC51" s="3127"/>
      <c r="AD51" s="3107">
        <f t="shared" si="223"/>
        <v>4.7000000000000002E-3</v>
      </c>
      <c r="AG51" s="3402">
        <f t="shared" si="185"/>
        <v>100.55000000000001</v>
      </c>
      <c r="AH51" s="3402">
        <f t="shared" si="186"/>
        <v>100.46</v>
      </c>
      <c r="AI51" s="3402">
        <f t="shared" si="187"/>
        <v>101.1</v>
      </c>
      <c r="AJ51" s="3402"/>
      <c r="AK51" s="3402">
        <f t="shared" si="188"/>
        <v>100.46</v>
      </c>
      <c r="AN51" s="3402">
        <f t="shared" si="167"/>
        <v>100.1790965404479</v>
      </c>
      <c r="AO51" s="3402">
        <f t="shared" si="168"/>
        <v>102.26661023053903</v>
      </c>
      <c r="AP51" s="3402">
        <f t="shared" si="169"/>
        <v>98.402212559779926</v>
      </c>
      <c r="AQ51" s="3402"/>
      <c r="AR51" s="3402">
        <f t="shared" si="170"/>
        <v>102.26661023053903</v>
      </c>
    </row>
    <row r="52" spans="1:44" ht="14.25" thickBot="1">
      <c r="A52" s="3090" t="s">
        <v>2776</v>
      </c>
      <c r="B52" s="3145">
        <v>2021</v>
      </c>
      <c r="C52" s="3146">
        <v>1</v>
      </c>
      <c r="D52" s="3146"/>
      <c r="E52" s="3146">
        <v>0.35</v>
      </c>
      <c r="F52" s="3146">
        <v>0.48</v>
      </c>
      <c r="G52" s="3146">
        <v>0.98</v>
      </c>
      <c r="H52" s="3147"/>
      <c r="I52" s="3148">
        <f t="shared" si="194"/>
        <v>0.48</v>
      </c>
      <c r="J52" s="3111"/>
      <c r="K52" s="3112"/>
      <c r="L52" s="3113">
        <f t="shared" si="195"/>
        <v>3.4999999999999996E-3</v>
      </c>
      <c r="M52" s="3113">
        <f>F52/100</f>
        <v>4.7999999999999996E-3</v>
      </c>
      <c r="N52" s="3113">
        <f t="shared" si="195"/>
        <v>9.7999999999999997E-3</v>
      </c>
      <c r="O52" s="3113"/>
      <c r="P52" s="3113">
        <f t="shared" si="221"/>
        <v>4.7999999999999996E-3</v>
      </c>
      <c r="Q52" s="3111"/>
      <c r="R52" s="3120"/>
      <c r="S52" s="3120">
        <v>1</v>
      </c>
      <c r="T52" s="3120">
        <v>1</v>
      </c>
      <c r="U52" s="3120">
        <v>1</v>
      </c>
      <c r="V52" s="3120"/>
      <c r="W52" s="3120">
        <f t="shared" si="222"/>
        <v>1</v>
      </c>
      <c r="X52" s="3111"/>
      <c r="Y52" s="3113"/>
      <c r="Z52" s="3131">
        <f t="shared" si="223"/>
        <v>3.5000000000000001E-3</v>
      </c>
      <c r="AA52" s="3132">
        <f t="shared" si="223"/>
        <v>4.7999999999999996E-3</v>
      </c>
      <c r="AB52" s="3113">
        <f t="shared" si="223"/>
        <v>9.7999999999999997E-3</v>
      </c>
      <c r="AC52" s="3133"/>
      <c r="AD52" s="3113">
        <f t="shared" si="223"/>
        <v>4.7999999999999996E-3</v>
      </c>
      <c r="AG52" s="3403">
        <v>100</v>
      </c>
      <c r="AH52" s="3403">
        <v>100</v>
      </c>
      <c r="AI52" s="3403">
        <v>100</v>
      </c>
      <c r="AJ52" s="3403"/>
      <c r="AK52" s="3403">
        <v>100</v>
      </c>
      <c r="AN52" s="3402">
        <f t="shared" si="167"/>
        <v>99.631125351017303</v>
      </c>
      <c r="AO52" s="3402">
        <f t="shared" si="168"/>
        <v>101.79833787630803</v>
      </c>
      <c r="AP52" s="3402">
        <f t="shared" si="169"/>
        <v>97.331565341028622</v>
      </c>
      <c r="AQ52" s="3402"/>
      <c r="AR52" s="3402">
        <f t="shared" si="170"/>
        <v>101.79833787630803</v>
      </c>
    </row>
    <row r="53" spans="1:44" ht="14.25" thickTop="1"/>
    <row r="54" spans="1:44">
      <c r="A54" s="3389" t="s">
        <v>3255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50" customWidth="1"/>
    <col min="2" max="2" width="12.5" style="2750" customWidth="1"/>
    <col min="3" max="3" width="12.125" style="2750" customWidth="1"/>
    <col min="4" max="4" width="16.625" style="2750" customWidth="1"/>
    <col min="5" max="5" width="12.5" style="2750" customWidth="1"/>
    <col min="6" max="6" width="12.75" style="2750" customWidth="1"/>
    <col min="7" max="16384" width="8.875" style="2750"/>
  </cols>
  <sheetData>
    <row r="1" spans="1:14" ht="20.25">
      <c r="A1" s="2753" t="s">
        <v>2200</v>
      </c>
      <c r="B1" s="2748"/>
      <c r="C1" s="2748"/>
      <c r="D1" s="2748"/>
      <c r="E1" s="2748"/>
      <c r="F1" s="2748"/>
      <c r="G1" s="2749"/>
      <c r="H1" s="2749"/>
      <c r="I1" s="2749"/>
      <c r="J1" s="2749"/>
      <c r="K1" s="2749"/>
      <c r="L1" s="2749"/>
      <c r="M1" s="2749"/>
      <c r="N1" s="2749"/>
    </row>
    <row r="2" spans="1:14" ht="14.25">
      <c r="A2" s="2754" t="s">
        <v>2195</v>
      </c>
      <c r="B2" s="2759">
        <f ca="1">SUMIF(B7:B14,"&lt;&gt;#ref!",B7:B14)</f>
        <v>0</v>
      </c>
      <c r="C2" s="2754" t="s">
        <v>2196</v>
      </c>
      <c r="D2" s="2751"/>
      <c r="E2" s="2751"/>
      <c r="F2" s="2751"/>
      <c r="G2" s="2749"/>
      <c r="H2" s="2749"/>
      <c r="I2" s="2749"/>
      <c r="J2" s="2749"/>
      <c r="K2" s="2749"/>
      <c r="L2" s="2749"/>
      <c r="M2" s="2749"/>
      <c r="N2" s="2749"/>
    </row>
    <row r="3" spans="1:14" ht="14.25">
      <c r="A3" s="2754" t="s">
        <v>2224</v>
      </c>
      <c r="B3" s="2759" t="e">
        <f ca="1">ROUND(B2*10000/E3,0)</f>
        <v>#DIV/0!</v>
      </c>
      <c r="C3" s="2754" t="s">
        <v>1596</v>
      </c>
      <c r="D3" s="2754" t="s">
        <v>2197</v>
      </c>
      <c r="E3" s="2752">
        <f ca="1">SUMIF(E7:E14,"&lt;&gt;#ref!",E7:E14)</f>
        <v>0</v>
      </c>
      <c r="F3" s="2751"/>
      <c r="G3" s="2749"/>
      <c r="H3" s="2749"/>
      <c r="I3" s="2749"/>
      <c r="J3" s="2749"/>
      <c r="K3" s="2749"/>
      <c r="L3" s="2749"/>
      <c r="M3" s="2749"/>
      <c r="N3" s="2749"/>
    </row>
    <row r="4" spans="1:14" ht="14.25">
      <c r="A4" s="2754" t="s">
        <v>2203</v>
      </c>
      <c r="B4" s="2759" t="e">
        <f ca="1">ROUND(B2*10000/E4,0)</f>
        <v>#DIV/0!</v>
      </c>
      <c r="C4" s="2754" t="s">
        <v>1596</v>
      </c>
      <c r="D4" s="2754" t="s">
        <v>2204</v>
      </c>
      <c r="E4" s="2752">
        <f ca="1">SUMIF(F7:F14,"&lt;&gt;#ref!",F7:F14)</f>
        <v>0</v>
      </c>
      <c r="F4" s="2751"/>
      <c r="G4" s="2749"/>
      <c r="H4" s="2749"/>
      <c r="I4" s="2749"/>
      <c r="J4" s="2749"/>
      <c r="K4" s="2749"/>
      <c r="L4" s="2749"/>
      <c r="M4" s="2749"/>
      <c r="N4" s="2749"/>
    </row>
    <row r="5" spans="1:14" ht="14.25">
      <c r="A5" s="2755"/>
      <c r="B5" s="2751"/>
      <c r="C5" s="2751"/>
      <c r="D5" s="2751"/>
      <c r="E5" s="2751"/>
      <c r="F5" s="2751"/>
      <c r="G5" s="2749"/>
      <c r="H5" s="2749"/>
      <c r="I5" s="2749"/>
      <c r="J5" s="2749"/>
      <c r="K5" s="2749"/>
      <c r="L5" s="2749"/>
      <c r="M5" s="2749"/>
      <c r="N5" s="2749"/>
    </row>
    <row r="6" spans="1:14" ht="28.5">
      <c r="A6" s="2756" t="s">
        <v>2201</v>
      </c>
      <c r="B6" s="2754" t="s">
        <v>2198</v>
      </c>
      <c r="C6" s="2356"/>
      <c r="D6" s="2751"/>
      <c r="E6" s="2754" t="s">
        <v>2199</v>
      </c>
      <c r="F6" s="2754" t="s">
        <v>2202</v>
      </c>
      <c r="G6" s="2749"/>
      <c r="H6" s="2749"/>
      <c r="I6" s="2749"/>
      <c r="J6" s="2749"/>
      <c r="K6" s="2749"/>
      <c r="L6" s="2749"/>
      <c r="M6" s="2749"/>
      <c r="N6" s="2749"/>
    </row>
    <row r="7" spans="1:14" ht="14.25">
      <c r="A7" s="2757"/>
      <c r="B7" s="2759" t="e">
        <f ca="1">SUMIF(INDIRECT("'"&amp;A7&amp;"'"&amp;"!A:A"),"总价",INDIRECT("'"&amp;A7&amp;"'"&amp;"!B:B"))</f>
        <v>#REF!</v>
      </c>
      <c r="C7" s="2754" t="s">
        <v>2196</v>
      </c>
      <c r="D7" s="2751"/>
      <c r="E7" s="2752" t="e">
        <f ca="1">SUMIF(INDIRECT("'"&amp;A7&amp;"'"&amp;"!C:C"),"建筑面积",INDIRECT("'"&amp;A7&amp;"'"&amp;"!D:D"))</f>
        <v>#REF!</v>
      </c>
      <c r="F7" s="2752" t="e">
        <f ca="1">SUMIF(INDIRECT("'"&amp;A7&amp;"'"&amp;"!E:E"),"土地面积",INDIRECT("'"&amp;A7&amp;"'"&amp;"!F:F"))</f>
        <v>#REF!</v>
      </c>
      <c r="G7" s="2749"/>
      <c r="H7" s="2749"/>
      <c r="I7" s="2749"/>
      <c r="J7" s="2749"/>
      <c r="K7" s="2749"/>
      <c r="L7" s="2749"/>
      <c r="M7" s="2749"/>
      <c r="N7" s="2749"/>
    </row>
    <row r="8" spans="1:14" ht="14.25">
      <c r="A8" s="2757"/>
      <c r="B8" s="2759" t="e">
        <f t="shared" ref="B8:B14" ca="1" si="0">SUMIF(INDIRECT("'"&amp;A8&amp;"'"&amp;"!A:A"),"总价",INDIRECT("'"&amp;A8&amp;"'"&amp;"!B:B"))</f>
        <v>#REF!</v>
      </c>
      <c r="C8" s="2754" t="s">
        <v>2196</v>
      </c>
      <c r="D8" s="2751"/>
      <c r="E8" s="2752" t="e">
        <f t="shared" ref="E8:E14" ca="1" si="1">SUMIF(INDIRECT("'"&amp;A8&amp;"'"&amp;"!C:C"),"建筑面积",INDIRECT("'"&amp;A8&amp;"'"&amp;"!D:D"))</f>
        <v>#REF!</v>
      </c>
      <c r="F8" s="2752" t="e">
        <f t="shared" ref="F8:F14" ca="1" si="2">SUMIF(INDIRECT("'"&amp;A8&amp;"'"&amp;"!E:E"),"土地面积",INDIRECT("'"&amp;A8&amp;"'"&amp;"!F:F"))</f>
        <v>#REF!</v>
      </c>
      <c r="G8" s="2749"/>
      <c r="H8" s="2749"/>
      <c r="I8" s="2749"/>
      <c r="J8" s="2749"/>
      <c r="K8" s="2749"/>
      <c r="L8" s="2749"/>
      <c r="M8" s="2749"/>
      <c r="N8" s="2749"/>
    </row>
    <row r="9" spans="1:14" ht="14.25">
      <c r="A9" s="2757"/>
      <c r="B9" s="2759" t="e">
        <f t="shared" ca="1" si="0"/>
        <v>#REF!</v>
      </c>
      <c r="C9" s="2754" t="s">
        <v>2196</v>
      </c>
      <c r="D9" s="2751"/>
      <c r="E9" s="2752" t="e">
        <f t="shared" ca="1" si="1"/>
        <v>#REF!</v>
      </c>
      <c r="F9" s="2752" t="e">
        <f t="shared" ca="1" si="2"/>
        <v>#REF!</v>
      </c>
      <c r="G9" s="2749"/>
      <c r="H9" s="2749"/>
      <c r="I9" s="2749"/>
      <c r="J9" s="2749"/>
      <c r="K9" s="2749"/>
      <c r="L9" s="2749"/>
      <c r="M9" s="2749"/>
      <c r="N9" s="2749"/>
    </row>
    <row r="10" spans="1:14" ht="14.25">
      <c r="A10" s="2757"/>
      <c r="B10" s="2759" t="e">
        <f t="shared" ca="1" si="0"/>
        <v>#REF!</v>
      </c>
      <c r="C10" s="2754" t="s">
        <v>2196</v>
      </c>
      <c r="D10" s="2751"/>
      <c r="E10" s="2752" t="e">
        <f t="shared" ca="1" si="1"/>
        <v>#REF!</v>
      </c>
      <c r="F10" s="2752" t="e">
        <f t="shared" ca="1" si="2"/>
        <v>#REF!</v>
      </c>
      <c r="G10" s="2749"/>
      <c r="H10" s="2749"/>
      <c r="I10" s="2749"/>
      <c r="J10" s="2749"/>
      <c r="K10" s="2749"/>
      <c r="L10" s="2749"/>
      <c r="M10" s="2749"/>
      <c r="N10" s="2749"/>
    </row>
    <row r="11" spans="1:14" ht="14.25">
      <c r="A11" s="2757"/>
      <c r="B11" s="2759" t="e">
        <f t="shared" ca="1" si="0"/>
        <v>#REF!</v>
      </c>
      <c r="C11" s="2754" t="s">
        <v>2196</v>
      </c>
      <c r="D11" s="2751"/>
      <c r="E11" s="2752" t="e">
        <f t="shared" ca="1" si="1"/>
        <v>#REF!</v>
      </c>
      <c r="F11" s="2752" t="e">
        <f t="shared" ca="1" si="2"/>
        <v>#REF!</v>
      </c>
      <c r="G11" s="2749"/>
      <c r="H11" s="2749"/>
      <c r="I11" s="2749"/>
      <c r="J11" s="2749"/>
      <c r="K11" s="2749"/>
      <c r="L11" s="2749"/>
      <c r="M11" s="2749"/>
      <c r="N11" s="2749"/>
    </row>
    <row r="12" spans="1:14" ht="14.25">
      <c r="A12" s="2757"/>
      <c r="B12" s="2759" t="e">
        <f t="shared" ca="1" si="0"/>
        <v>#REF!</v>
      </c>
      <c r="C12" s="2754" t="s">
        <v>2196</v>
      </c>
      <c r="D12" s="2751"/>
      <c r="E12" s="2752" t="e">
        <f t="shared" ca="1" si="1"/>
        <v>#REF!</v>
      </c>
      <c r="F12" s="2752" t="e">
        <f t="shared" ca="1" si="2"/>
        <v>#REF!</v>
      </c>
      <c r="G12" s="2749"/>
      <c r="H12" s="2749"/>
      <c r="I12" s="2749"/>
      <c r="J12" s="2749"/>
      <c r="K12" s="2749"/>
      <c r="L12" s="2749"/>
      <c r="M12" s="2749"/>
      <c r="N12" s="2749"/>
    </row>
    <row r="13" spans="1:14" ht="14.25">
      <c r="A13" s="2757"/>
      <c r="B13" s="2759" t="e">
        <f t="shared" ca="1" si="0"/>
        <v>#REF!</v>
      </c>
      <c r="C13" s="2754" t="s">
        <v>2196</v>
      </c>
      <c r="D13" s="2751"/>
      <c r="E13" s="2752" t="e">
        <f t="shared" ca="1" si="1"/>
        <v>#REF!</v>
      </c>
      <c r="F13" s="2752" t="e">
        <f t="shared" ca="1" si="2"/>
        <v>#REF!</v>
      </c>
      <c r="G13" s="2749"/>
      <c r="H13" s="2749"/>
      <c r="I13" s="2749"/>
      <c r="J13" s="2749"/>
      <c r="K13" s="2749"/>
      <c r="L13" s="2749"/>
      <c r="M13" s="2749"/>
      <c r="N13" s="2749"/>
    </row>
    <row r="14" spans="1:14" ht="14.25">
      <c r="A14" s="2758"/>
      <c r="B14" s="2759" t="e">
        <f t="shared" ca="1" si="0"/>
        <v>#REF!</v>
      </c>
      <c r="C14" s="2754" t="s">
        <v>2196</v>
      </c>
      <c r="D14" s="2751"/>
      <c r="E14" s="2752" t="e">
        <f t="shared" ca="1" si="1"/>
        <v>#REF!</v>
      </c>
      <c r="F14" s="2752" t="e">
        <f t="shared" ca="1" si="2"/>
        <v>#REF!</v>
      </c>
      <c r="G14" s="2749"/>
      <c r="H14" s="2749"/>
      <c r="I14" s="2749"/>
      <c r="J14" s="2749"/>
      <c r="K14" s="2749"/>
      <c r="L14" s="2749"/>
      <c r="M14" s="2749"/>
      <c r="N14" s="2749"/>
    </row>
    <row r="15" spans="1:14">
      <c r="A15" s="2749"/>
      <c r="B15" s="2749"/>
      <c r="C15" s="2749"/>
      <c r="D15" s="2749"/>
      <c r="E15" s="2749"/>
      <c r="F15" s="2749"/>
      <c r="G15" s="2749"/>
      <c r="H15" s="2749"/>
      <c r="I15" s="2749"/>
      <c r="J15" s="2749"/>
      <c r="K15" s="2749"/>
      <c r="L15" s="2749"/>
      <c r="M15" s="2749"/>
      <c r="N15" s="2749"/>
    </row>
    <row r="16" spans="1:14">
      <c r="A16" s="2749"/>
      <c r="B16" s="2749"/>
      <c r="C16" s="2749"/>
      <c r="D16" s="2749"/>
      <c r="E16" s="2749"/>
      <c r="F16" s="2749"/>
      <c r="G16" s="2749"/>
      <c r="H16" s="2749"/>
      <c r="I16" s="2749"/>
      <c r="J16" s="2749"/>
      <c r="K16" s="2749"/>
      <c r="L16" s="2749"/>
      <c r="M16" s="2749"/>
      <c r="N16" s="2749"/>
    </row>
    <row r="17" spans="1:14">
      <c r="A17" s="2749"/>
      <c r="B17" s="2749"/>
      <c r="C17" s="2749"/>
      <c r="D17" s="2749"/>
      <c r="E17" s="2749"/>
      <c r="F17" s="2749"/>
      <c r="G17" s="2749"/>
      <c r="H17" s="2749"/>
      <c r="I17" s="2749"/>
      <c r="J17" s="2749"/>
      <c r="K17" s="2749"/>
      <c r="L17" s="2749"/>
      <c r="M17" s="2749"/>
      <c r="N17" s="2749"/>
    </row>
    <row r="18" spans="1:14">
      <c r="A18" s="2749"/>
      <c r="B18" s="2749"/>
      <c r="C18" s="2749"/>
      <c r="D18" s="2749"/>
      <c r="E18" s="2749"/>
      <c r="F18" s="2749"/>
      <c r="G18" s="2749"/>
      <c r="H18" s="2749"/>
      <c r="I18" s="2749"/>
      <c r="J18" s="2749"/>
      <c r="K18" s="2749"/>
      <c r="L18" s="2749"/>
      <c r="M18" s="2749"/>
      <c r="N18" s="2749"/>
    </row>
    <row r="19" spans="1:14">
      <c r="A19" s="2749"/>
      <c r="B19" s="2749"/>
      <c r="C19" s="2749"/>
      <c r="D19" s="2749"/>
      <c r="E19" s="2749"/>
      <c r="F19" s="2749"/>
      <c r="G19" s="2749"/>
      <c r="H19" s="2749"/>
      <c r="I19" s="2749"/>
      <c r="J19" s="2749"/>
      <c r="K19" s="2749"/>
      <c r="L19" s="2749"/>
      <c r="M19" s="2749"/>
      <c r="N19" s="2749"/>
    </row>
    <row r="20" spans="1:14">
      <c r="A20" s="2749"/>
      <c r="B20" s="2749"/>
      <c r="C20" s="2749"/>
      <c r="D20" s="2749"/>
      <c r="E20" s="2749"/>
      <c r="F20" s="2749"/>
      <c r="G20" s="2749"/>
      <c r="H20" s="2749"/>
      <c r="I20" s="2749"/>
      <c r="J20" s="2749"/>
      <c r="K20" s="2749"/>
      <c r="L20" s="2749"/>
      <c r="M20" s="2749"/>
      <c r="N20" s="2749"/>
    </row>
    <row r="21" spans="1:14">
      <c r="A21" s="2749"/>
      <c r="B21" s="2749"/>
      <c r="C21" s="2749"/>
      <c r="D21" s="2749"/>
      <c r="E21" s="2749"/>
      <c r="F21" s="2749"/>
      <c r="G21" s="2749"/>
      <c r="H21" s="2749"/>
      <c r="I21" s="2749"/>
      <c r="J21" s="2749"/>
      <c r="K21" s="2749"/>
      <c r="L21" s="2749"/>
      <c r="M21" s="2749"/>
      <c r="N21" s="2749"/>
    </row>
    <row r="22" spans="1:14">
      <c r="A22" s="2749"/>
      <c r="B22" s="2749"/>
      <c r="C22" s="2749"/>
      <c r="D22" s="2749"/>
      <c r="E22" s="2749"/>
      <c r="F22" s="2749"/>
      <c r="G22" s="2749"/>
      <c r="H22" s="2749"/>
      <c r="I22" s="2749"/>
      <c r="J22" s="2749"/>
      <c r="K22" s="2749"/>
      <c r="L22" s="2749"/>
      <c r="M22" s="2749"/>
      <c r="N22" s="2749"/>
    </row>
    <row r="23" spans="1:14">
      <c r="A23" s="2749"/>
      <c r="B23" s="2749"/>
      <c r="C23" s="2749"/>
      <c r="D23" s="2749"/>
      <c r="E23" s="2749"/>
      <c r="F23" s="2749"/>
      <c r="G23" s="2749"/>
      <c r="H23" s="2749"/>
      <c r="I23" s="2749"/>
      <c r="J23" s="2749"/>
      <c r="K23" s="2749"/>
      <c r="L23" s="2749"/>
      <c r="M23" s="2749"/>
      <c r="N23" s="2749"/>
    </row>
    <row r="24" spans="1:14">
      <c r="A24" s="2749"/>
      <c r="B24" s="2749"/>
      <c r="C24" s="2749"/>
      <c r="D24" s="2749"/>
      <c r="E24" s="2749"/>
      <c r="F24" s="2749"/>
      <c r="G24" s="2749"/>
      <c r="H24" s="2749"/>
      <c r="I24" s="2749"/>
      <c r="J24" s="2749"/>
      <c r="K24" s="2749"/>
      <c r="L24" s="2749"/>
      <c r="M24" s="2749"/>
      <c r="N24" s="2749"/>
    </row>
    <row r="25" spans="1:14">
      <c r="A25" s="2749"/>
      <c r="B25" s="2749"/>
      <c r="C25" s="2749"/>
      <c r="D25" s="2749"/>
      <c r="E25" s="2749"/>
      <c r="F25" s="2749"/>
      <c r="G25" s="2749"/>
      <c r="H25" s="2749"/>
      <c r="I25" s="2749"/>
      <c r="J25" s="2749"/>
      <c r="K25" s="2749"/>
      <c r="L25" s="2749"/>
      <c r="M25" s="2749"/>
      <c r="N25" s="2749"/>
    </row>
    <row r="26" spans="1:14">
      <c r="A26" s="2749"/>
      <c r="B26" s="2749"/>
      <c r="C26" s="2749"/>
      <c r="D26" s="2749"/>
      <c r="E26" s="2749"/>
      <c r="F26" s="2749"/>
      <c r="G26" s="2749"/>
      <c r="H26" s="2749"/>
      <c r="I26" s="2749"/>
      <c r="J26" s="2749"/>
      <c r="K26" s="2749"/>
      <c r="L26" s="2749"/>
      <c r="M26" s="2749"/>
      <c r="N26" s="2749"/>
    </row>
    <row r="27" spans="1:14">
      <c r="A27" s="2749"/>
      <c r="B27" s="2749"/>
      <c r="C27" s="2749"/>
      <c r="D27" s="2749"/>
      <c r="E27" s="2749"/>
      <c r="F27" s="2749"/>
      <c r="G27" s="2749"/>
      <c r="H27" s="2749"/>
      <c r="I27" s="2749"/>
      <c r="J27" s="2749"/>
      <c r="K27" s="2749"/>
      <c r="L27" s="2749"/>
      <c r="M27" s="2749"/>
      <c r="N27" s="2749"/>
    </row>
    <row r="28" spans="1:14">
      <c r="A28" s="2749"/>
      <c r="B28" s="2749"/>
      <c r="C28" s="2749"/>
      <c r="D28" s="2749"/>
      <c r="E28" s="2749"/>
      <c r="F28" s="2749"/>
      <c r="G28" s="2749"/>
      <c r="H28" s="2749"/>
      <c r="I28" s="2749"/>
      <c r="J28" s="2749"/>
      <c r="K28" s="2749"/>
      <c r="L28" s="2749"/>
      <c r="M28" s="2749"/>
      <c r="N28" s="2749"/>
    </row>
    <row r="29" spans="1:14">
      <c r="A29" s="2749"/>
      <c r="B29" s="2749"/>
      <c r="C29" s="2749"/>
      <c r="D29" s="2749"/>
      <c r="E29" s="2749"/>
      <c r="F29" s="2749"/>
      <c r="G29" s="2749"/>
      <c r="H29" s="2749"/>
      <c r="I29" s="2749"/>
      <c r="J29" s="2749"/>
      <c r="K29" s="2749"/>
      <c r="L29" s="2749"/>
      <c r="M29" s="2749"/>
      <c r="N29" s="274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-2</v>
      </c>
      <c r="G1" s="709">
        <f>MATCH(C1,'数据-取费表'!A6:A16,0)+5</f>
        <v>8</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738" t="s">
        <v>1807</v>
      </c>
      <c r="C8" s="1517">
        <f ca="1">ROUND(F8*F10*F9*(1-F11)/10000,0)</f>
        <v>0</v>
      </c>
      <c r="D8" s="317" t="s">
        <v>1817</v>
      </c>
      <c r="E8" s="57" t="s">
        <v>585</v>
      </c>
      <c r="F8" s="720">
        <f ca="1">INDIRECT("'数据-取费表'!u"&amp;$G$1)</f>
        <v>0</v>
      </c>
      <c r="G8" s="1145"/>
      <c r="H8" s="2010" t="s">
        <v>1353</v>
      </c>
      <c r="I8" s="3738" t="s">
        <v>1807</v>
      </c>
      <c r="J8" s="718">
        <f ca="1">ROUND(M8*M10*M9*(1-M11)/10000,0)</f>
        <v>0</v>
      </c>
      <c r="K8" s="315" t="s">
        <v>1817</v>
      </c>
      <c r="L8" s="719" t="s">
        <v>1267</v>
      </c>
      <c r="M8" s="720">
        <f ca="1">INDIRECT("'数据-取费表'!z"&amp;$G$1)</f>
        <v>0</v>
      </c>
    </row>
    <row r="9" spans="1:25" ht="18" customHeight="1">
      <c r="A9" s="2006"/>
      <c r="B9" s="3739"/>
      <c r="C9" s="1518"/>
      <c r="D9" s="330"/>
      <c r="E9" s="57" t="s">
        <v>586</v>
      </c>
      <c r="F9" s="720">
        <f ca="1">IF(INDIRECT("'数据-取费表'!ah"&amp;$G$1)="",INDIRECT("'数据-取费表'!k"&amp;$G$1),INDIRECT("'数据-取费表'!ah"&amp;$G$1))</f>
        <v>0</v>
      </c>
      <c r="G9" s="1145"/>
      <c r="H9" s="1995"/>
      <c r="I9" s="3739"/>
      <c r="J9" s="723"/>
      <c r="K9" s="724"/>
      <c r="L9" s="719" t="s">
        <v>1268</v>
      </c>
      <c r="M9" s="720">
        <f ca="1">F9</f>
        <v>0</v>
      </c>
    </row>
    <row r="10" spans="1:25" ht="18" customHeight="1">
      <c r="A10" s="1999"/>
      <c r="B10" s="3740"/>
      <c r="C10" s="1518"/>
      <c r="D10" s="330"/>
      <c r="E10" s="57" t="s">
        <v>587</v>
      </c>
      <c r="F10" s="720">
        <f ca="1">INDIRECT("'数据-取费表'!ai"&amp;$G$1)</f>
        <v>0</v>
      </c>
      <c r="G10" s="1145"/>
      <c r="H10" s="1995"/>
      <c r="I10" s="3740"/>
      <c r="J10" s="723"/>
      <c r="K10" s="724"/>
      <c r="L10" s="719" t="s">
        <v>1269</v>
      </c>
      <c r="M10" s="720">
        <f ca="1">INDIRECT("'数据-取费表'!ai"&amp;$G$1)</f>
        <v>0</v>
      </c>
    </row>
    <row r="11" spans="1:25" ht="18" customHeight="1">
      <c r="A11" s="721"/>
      <c r="B11" s="3741"/>
      <c r="C11" s="1518"/>
      <c r="D11" s="330"/>
      <c r="E11" s="57" t="s">
        <v>588</v>
      </c>
      <c r="F11" s="729">
        <f ca="1">INDIRECT("'数据-取费表'!w"&amp;$G$1)</f>
        <v>0</v>
      </c>
      <c r="G11" s="1145"/>
      <c r="H11" s="2011"/>
      <c r="I11" s="3740"/>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2221</v>
      </c>
      <c r="E12" s="2004" t="s">
        <v>1808</v>
      </c>
      <c r="F12" s="2077"/>
      <c r="G12" s="1145"/>
      <c r="H12" s="2038" t="s">
        <v>1354</v>
      </c>
      <c r="I12" s="2042" t="s">
        <v>1803</v>
      </c>
      <c r="J12" s="718">
        <f ca="1">ROUND(IF(M12="押一",J8/12*M13,IF(M12="押二",J8/12*2*M13,IF(M12="押三",J8/12*3*M13,J13*M13))),0)</f>
        <v>0</v>
      </c>
      <c r="K12" s="2007" t="s">
        <v>2221</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2101</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0.05</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6">
        <f ca="1">ROUND(IF(AND(项目基本情况!B11="自然人",项目基本情况!B10="北京市"),J8*M19/(1+'数据-取费表'!C42),J20+J21+J22),0)</f>
        <v>0</v>
      </c>
      <c r="K19" s="906" t="s">
        <v>605</v>
      </c>
      <c r="L19" s="907" t="s">
        <v>606</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0.02</v>
      </c>
      <c r="G20" s="1326"/>
      <c r="H20" s="738" t="s">
        <v>1360</v>
      </c>
      <c r="I20" s="719" t="s">
        <v>608</v>
      </c>
      <c r="J20" s="49">
        <f ca="1">ROUND(J8*M20/(1+'数据-取费表'!C42),1)</f>
        <v>0</v>
      </c>
      <c r="K20" s="907" t="s">
        <v>609</v>
      </c>
      <c r="L20" s="719" t="s">
        <v>597</v>
      </c>
      <c r="M20" s="744">
        <f>'数据-取费表'!B41</f>
        <v>5.6000000000000001E-2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3231</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8</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0.03</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(建造成本+管理费用)×((1+利率)^(建设周期÷2)-1)</v>
      </c>
      <c r="E25" s="719" t="s">
        <v>625</v>
      </c>
      <c r="F25" s="587">
        <f>'数据-取费表'!B20</f>
        <v>2</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8.9999999999999998E-4</v>
      </c>
      <c r="D26" s="2045" t="str">
        <f>IF(F25&lt;=1,"销售费用×利率×(建设周期÷2)","销售费用×((1+利率)^(建设周期÷2)-1)")</f>
        <v>销售费用×((1+利率)^(建设周期÷2)-1)</v>
      </c>
      <c r="E26" s="719" t="s">
        <v>629</v>
      </c>
      <c r="F26" s="753">
        <f ca="1">'数据-取费表'!B40</f>
        <v>3.1300000000000001E-2</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2098</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5.33E-2</v>
      </c>
      <c r="D30" s="746" t="s">
        <v>656</v>
      </c>
      <c r="E30" s="719" t="s">
        <v>597</v>
      </c>
      <c r="F30" s="744">
        <f>'数据-取费表'!B41</f>
        <v>5.6000000000000001E-2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2099</v>
      </c>
      <c r="C31" s="2021">
        <f ca="1">ROUND((C21+C22+C25+C28)/(1-F23-C26-C29-C30),0)</f>
        <v>0</v>
      </c>
      <c r="D31" s="2022"/>
      <c r="E31" s="2023"/>
      <c r="F31" s="2024"/>
      <c r="G31" s="1326"/>
      <c r="H31" s="757" t="s">
        <v>1397</v>
      </c>
      <c r="I31" s="2300" t="s">
        <v>2100</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f ca="1">IF(项目基本情况!B11="企业","——",IF(M48="住宅",IF(F8*F9*F10/12/(1+'数据-取费表'!F30)&gt;100000,4%,2.5%),IF(F8*F9*F10/12/(1+'数据-取费表'!F30)&gt;100000,12%,7%)))</f>
        <v>7.0000000000000007E-2</v>
      </c>
      <c r="G33" s="1669"/>
      <c r="H33" s="2760" t="s">
        <v>2267</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5.6000000000000001E-2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3231</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8</v>
      </c>
      <c r="G36" s="1669"/>
      <c r="H36" s="1678"/>
      <c r="I36" s="3737"/>
      <c r="J36" s="1691"/>
      <c r="K36" s="1692"/>
      <c r="L36" s="1691"/>
      <c r="M36" s="1691"/>
    </row>
    <row r="37" spans="1:18" ht="18" customHeight="1">
      <c r="A37" s="749"/>
      <c r="B37" s="728"/>
      <c r="C37" s="65"/>
      <c r="D37" s="750"/>
      <c r="E37" s="719" t="s">
        <v>621</v>
      </c>
      <c r="F37" s="720">
        <f ca="1">INDIRECT("'数据-取费表'!r"&amp;$G$1)</f>
        <v>0</v>
      </c>
      <c r="G37" s="1669"/>
      <c r="H37" s="1678"/>
      <c r="I37" s="3737"/>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2211</v>
      </c>
      <c r="F43" s="2362">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2214</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29.25" thickBot="1">
      <c r="A54" s="1705"/>
      <c r="I54" s="2371" t="s">
        <v>2225</v>
      </c>
      <c r="J54" s="2417">
        <f ca="1">IF(M48="住宅",MAX(J52,L49-'数据-取费表'!B20),MIN(J52,L49-'数据-取费表'!B20))</f>
        <v>-2</v>
      </c>
      <c r="K54" s="3742"/>
      <c r="L54" s="3743"/>
      <c r="O54" s="1961" t="s">
        <v>1742</v>
      </c>
      <c r="P54" s="1959" t="s">
        <v>1743</v>
      </c>
      <c r="Q54" s="1960">
        <f ca="1">J54</f>
        <v>-2</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5"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3.5"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29.25" thickBot="1">
      <c r="A58" s="1705"/>
      <c r="B58" s="1706"/>
      <c r="C58" s="1706"/>
      <c r="I58" s="2384" t="s">
        <v>1712</v>
      </c>
      <c r="J58" s="2385">
        <f ca="1">IF(OR(M48="住宅",J52&lt;L49,J57="是"),"——",J52-L49)</f>
        <v>0</v>
      </c>
      <c r="K58" s="2365" t="s">
        <v>1717</v>
      </c>
      <c r="L58" s="1568">
        <f ca="1">IF(L49&lt;J52,"——",IF(L56="比较法",L50,IF(L56="基准地价",L51,L52)))</f>
        <v>0</v>
      </c>
      <c r="O58" s="1958" t="s">
        <v>1733</v>
      </c>
      <c r="P58" s="1959" t="s">
        <v>1759</v>
      </c>
      <c r="Q58" s="1960">
        <f ca="1">C41+J31</f>
        <v>0</v>
      </c>
      <c r="R58" s="1959" t="s">
        <v>1734</v>
      </c>
    </row>
    <row r="59" spans="1:18" s="1673" customFormat="1" ht="29.25"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29.25"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6" t="s">
        <v>1715</v>
      </c>
      <c r="J61" s="2387" t="e">
        <f ca="1">IF(OR(M48="住宅",J52&lt;L49,J57="是"),"0",ROUND(J60/(1+J53)^J54,0))</f>
        <v>#DIV/0!</v>
      </c>
      <c r="K61" s="2388" t="s">
        <v>1720</v>
      </c>
      <c r="L61" s="2387" t="e">
        <f ca="1">IF(OR(M48="住宅",L49&lt;J52),0,ROUND(L58*(L59/L60-1),0))</f>
        <v>#DIV/0!</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9" t="s">
        <v>1721</v>
      </c>
      <c r="J63" s="2390" t="s">
        <v>1722</v>
      </c>
      <c r="K63" s="2390" t="s">
        <v>1723</v>
      </c>
      <c r="L63" s="2390" t="s">
        <v>1704</v>
      </c>
      <c r="M63" s="2391" t="s">
        <v>2194</v>
      </c>
      <c r="O63" s="1961" t="s">
        <v>1742</v>
      </c>
      <c r="P63" s="1959" t="s">
        <v>1750</v>
      </c>
      <c r="Q63" s="1960">
        <f ca="1">L60</f>
        <v>0</v>
      </c>
      <c r="R63" s="1963" t="s">
        <v>1751</v>
      </c>
    </row>
    <row r="64" spans="1:18" s="1673" customFormat="1" ht="15.75"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5" thickBot="1">
      <c r="A65" s="1705"/>
      <c r="B65" s="1706"/>
      <c r="C65" s="1706"/>
      <c r="I65" s="2389" t="s">
        <v>1725</v>
      </c>
      <c r="J65" s="2390">
        <v>50</v>
      </c>
      <c r="K65" s="2390">
        <v>35</v>
      </c>
      <c r="L65" s="2390">
        <v>60</v>
      </c>
      <c r="M65" s="780">
        <v>0</v>
      </c>
      <c r="O65" s="1964" t="s">
        <v>1769</v>
      </c>
      <c r="P65" s="1145"/>
      <c r="Q65" s="1331"/>
      <c r="R65" s="1145"/>
    </row>
    <row r="66" spans="1:18" s="1673" customFormat="1" ht="15.75"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#DIV/0!</v>
      </c>
      <c r="R68" s="1963" t="s">
        <v>1768</v>
      </c>
    </row>
    <row r="69" spans="1:18" s="1673" customFormat="1" ht="21.75" thickBot="1">
      <c r="A69" s="1705"/>
      <c r="B69" s="1706"/>
      <c r="C69" s="1706"/>
      <c r="K69" s="1697"/>
      <c r="O69" s="1961" t="s">
        <v>1737</v>
      </c>
      <c r="P69" s="1959" t="s">
        <v>1767</v>
      </c>
      <c r="Q69" s="1965">
        <f ca="1">L52</f>
        <v>0</v>
      </c>
      <c r="R69" s="1966" t="s">
        <v>1770</v>
      </c>
    </row>
    <row r="70" spans="1:18" s="1673" customFormat="1" ht="20.25" thickBot="1">
      <c r="A70" s="1705"/>
      <c r="B70" s="1706"/>
      <c r="C70" s="1706"/>
      <c r="K70" s="1697"/>
      <c r="O70" s="1961" t="s">
        <v>1738</v>
      </c>
      <c r="P70" s="1967" t="s">
        <v>1752</v>
      </c>
      <c r="Q70" s="1960">
        <f ca="1">ROUND(Q71-Q72*Q73,0)</f>
        <v>0</v>
      </c>
      <c r="R70" s="1963"/>
    </row>
    <row r="71" spans="1:18" s="1673" customFormat="1" ht="15.75" thickBot="1">
      <c r="A71" s="1705"/>
      <c r="B71" s="1706"/>
      <c r="C71" s="1706"/>
      <c r="K71" s="1697"/>
      <c r="O71" s="1961" t="s">
        <v>1753</v>
      </c>
      <c r="P71" s="1967" t="s">
        <v>1754</v>
      </c>
      <c r="Q71" s="1960">
        <f ca="1">C42</f>
        <v>0</v>
      </c>
      <c r="R71" s="1959" t="s">
        <v>1734</v>
      </c>
    </row>
    <row r="72" spans="1:18" s="1673" customFormat="1" ht="15.75" thickBot="1">
      <c r="A72" s="1705"/>
      <c r="B72" s="1706"/>
      <c r="C72" s="1706"/>
      <c r="K72" s="1697"/>
      <c r="O72" s="1961" t="s">
        <v>1755</v>
      </c>
      <c r="P72" s="1967" t="s">
        <v>1756</v>
      </c>
      <c r="Q72" s="1960">
        <f ca="1">C15</f>
        <v>0</v>
      </c>
      <c r="R72" s="1959" t="s">
        <v>1734</v>
      </c>
    </row>
    <row r="73" spans="1:18" s="1673" customFormat="1" ht="15.75" thickBot="1">
      <c r="A73" s="1705"/>
      <c r="B73" s="1706"/>
      <c r="C73" s="1706"/>
      <c r="K73" s="1697"/>
      <c r="O73" s="1961" t="s">
        <v>1757</v>
      </c>
      <c r="P73" s="1967" t="s">
        <v>1758</v>
      </c>
      <c r="Q73" s="1962">
        <f ca="1">F43</f>
        <v>0</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8" zoomScale="85" zoomScaleNormal="60" zoomScaleSheetLayoutView="85" workbookViewId="0">
      <selection activeCell="M34" sqref="M34"/>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t="s">
        <v>851</v>
      </c>
      <c r="E1" s="1736"/>
      <c r="F1" s="2119" t="s">
        <v>3536</v>
      </c>
      <c r="G1" s="1329" t="s">
        <v>668</v>
      </c>
      <c r="H1" s="457"/>
      <c r="I1" s="457"/>
      <c r="J1" s="457"/>
      <c r="K1" s="458"/>
      <c r="L1" s="2719"/>
      <c r="M1" s="2720"/>
      <c r="N1" s="2720"/>
      <c r="O1" s="2720"/>
      <c r="P1" s="455"/>
      <c r="Q1" s="455"/>
      <c r="R1" s="455"/>
      <c r="S1" s="455"/>
      <c r="T1" s="455"/>
      <c r="U1" s="455"/>
      <c r="V1" s="455"/>
      <c r="W1" s="455"/>
      <c r="X1" s="455"/>
      <c r="Y1" s="455"/>
      <c r="Z1" s="455"/>
      <c r="AA1" s="455"/>
      <c r="AB1" s="455"/>
      <c r="AC1" s="398"/>
    </row>
    <row r="2" spans="1:29" s="1156" customFormat="1" ht="28.5" customHeight="1">
      <c r="A2" s="393" t="s">
        <v>427</v>
      </c>
      <c r="B2" s="2078">
        <f>ROUND(B3*D3/10000,0)</f>
        <v>67355</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f>C49</f>
        <v>8417</v>
      </c>
      <c r="C3" s="786" t="s">
        <v>669</v>
      </c>
      <c r="D3" s="785">
        <f>SUMIF('数据-汇总表'!$C19:$C33,D1,'数据-汇总表'!$E19:$E33)</f>
        <v>80022.38</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644" t="s">
        <v>471</v>
      </c>
      <c r="D4" s="3645"/>
      <c r="E4" s="3682" t="s">
        <v>472</v>
      </c>
      <c r="F4" s="3683"/>
      <c r="G4" s="3644" t="s">
        <v>473</v>
      </c>
      <c r="H4" s="3645"/>
      <c r="I4" s="3644" t="s">
        <v>474</v>
      </c>
      <c r="J4" s="3645"/>
      <c r="K4" s="787" t="s">
        <v>475</v>
      </c>
      <c r="L4" s="1742"/>
      <c r="M4" s="1743"/>
      <c r="N4" s="1743"/>
      <c r="O4" s="1743"/>
      <c r="P4" s="3646" t="s">
        <v>476</v>
      </c>
      <c r="Q4" s="3647"/>
      <c r="R4" s="3630" t="s">
        <v>472</v>
      </c>
      <c r="S4" s="3631"/>
      <c r="T4" s="3630" t="s">
        <v>473</v>
      </c>
      <c r="U4" s="3631"/>
      <c r="V4" s="3652" t="s">
        <v>474</v>
      </c>
      <c r="W4" s="3652"/>
      <c r="X4" s="1303"/>
      <c r="Y4" s="3630" t="s">
        <v>476</v>
      </c>
      <c r="Z4" s="3631"/>
      <c r="AA4" s="3625" t="s">
        <v>472</v>
      </c>
      <c r="AB4" s="3625" t="s">
        <v>473</v>
      </c>
      <c r="AC4" s="3625" t="s">
        <v>474</v>
      </c>
    </row>
    <row r="5" spans="1:29" ht="15">
      <c r="A5" s="466"/>
      <c r="B5" s="467"/>
      <c r="C5" s="3655" t="s">
        <v>2181</v>
      </c>
      <c r="D5" s="3656"/>
      <c r="E5" s="3744" t="s">
        <v>3572</v>
      </c>
      <c r="F5" s="3685"/>
      <c r="G5" s="3745" t="s">
        <v>3573</v>
      </c>
      <c r="H5" s="3656"/>
      <c r="I5" s="3745" t="s">
        <v>3574</v>
      </c>
      <c r="J5" s="3656"/>
      <c r="K5" s="788"/>
      <c r="L5" s="1742"/>
      <c r="M5" s="1743"/>
      <c r="N5" s="1743"/>
      <c r="O5" s="1743"/>
      <c r="P5" s="3648"/>
      <c r="Q5" s="3649"/>
      <c r="R5" s="3632"/>
      <c r="S5" s="3633"/>
      <c r="T5" s="3632"/>
      <c r="U5" s="3633"/>
      <c r="V5" s="3652"/>
      <c r="W5" s="3652"/>
      <c r="X5" s="1303"/>
      <c r="Y5" s="3632"/>
      <c r="Z5" s="3633"/>
      <c r="AA5" s="3626"/>
      <c r="AB5" s="3626"/>
      <c r="AC5" s="3626"/>
    </row>
    <row r="6" spans="1:29" ht="15.75" thickBot="1">
      <c r="A6" s="468"/>
      <c r="B6" s="469"/>
      <c r="C6" s="3653" t="s">
        <v>2185</v>
      </c>
      <c r="D6" s="3654"/>
      <c r="E6" s="3686" t="s">
        <v>2185</v>
      </c>
      <c r="F6" s="3687"/>
      <c r="G6" s="3653" t="s">
        <v>2185</v>
      </c>
      <c r="H6" s="3654"/>
      <c r="I6" s="3653" t="s">
        <v>2185</v>
      </c>
      <c r="J6" s="3654"/>
      <c r="K6" s="788" t="s">
        <v>477</v>
      </c>
      <c r="L6" s="1742"/>
      <c r="M6" s="1743"/>
      <c r="N6" s="1743"/>
      <c r="O6" s="1743"/>
      <c r="P6" s="3650"/>
      <c r="Q6" s="3651"/>
      <c r="R6" s="3632"/>
      <c r="S6" s="3633"/>
      <c r="T6" s="3634"/>
      <c r="U6" s="3635"/>
      <c r="V6" s="3652"/>
      <c r="W6" s="3652"/>
      <c r="X6" s="1303"/>
      <c r="Y6" s="3634"/>
      <c r="Z6" s="3635"/>
      <c r="AA6" s="3627"/>
      <c r="AB6" s="3627"/>
      <c r="AC6" s="3627"/>
    </row>
    <row r="7" spans="1:29" s="1060" customFormat="1" ht="15.75" thickBot="1">
      <c r="A7" s="2210"/>
      <c r="B7" s="2217" t="s">
        <v>478</v>
      </c>
      <c r="C7" s="470">
        <f>'数据-取费表'!B2</f>
        <v>46000</v>
      </c>
      <c r="D7" s="471">
        <v>100</v>
      </c>
      <c r="E7" s="472">
        <f>C7</f>
        <v>46000</v>
      </c>
      <c r="F7" s="473">
        <f>SUMIF(58:58,YEAR(E7)&amp;"-"&amp;MONTH(E7),59:59)</f>
        <v>100</v>
      </c>
      <c r="G7" s="474">
        <f>C7</f>
        <v>46000</v>
      </c>
      <c r="H7" s="471">
        <f>SUMIF(58:58,YEAR(G7)&amp;"-"&amp;MONTH(G7),59:59)</f>
        <v>100</v>
      </c>
      <c r="I7" s="474">
        <f>C7</f>
        <v>46000</v>
      </c>
      <c r="J7" s="471">
        <f>SUMIF(58:58,YEAR(I7)&amp;"-"&amp;MONTH(I7),59:59)</f>
        <v>100</v>
      </c>
      <c r="K7" s="789"/>
      <c r="L7" s="1744"/>
      <c r="M7" s="1641"/>
      <c r="N7" s="1641"/>
      <c r="O7" s="1641"/>
      <c r="P7" s="3628" t="s">
        <v>479</v>
      </c>
      <c r="Q7" s="3637"/>
      <c r="R7" s="1304" t="s">
        <v>10</v>
      </c>
      <c r="S7" s="1305">
        <f t="shared" ref="S7:S15" si="0">F7</f>
        <v>100</v>
      </c>
      <c r="T7" s="1304" t="s">
        <v>10</v>
      </c>
      <c r="U7" s="1305">
        <f t="shared" ref="U7:U15" si="1">H7</f>
        <v>100</v>
      </c>
      <c r="V7" s="1304" t="s">
        <v>10</v>
      </c>
      <c r="W7" s="1305">
        <f t="shared" ref="W7:W15" si="2">J7</f>
        <v>100</v>
      </c>
      <c r="X7" s="1306"/>
      <c r="Y7" s="3628" t="s">
        <v>479</v>
      </c>
      <c r="Z7" s="3629"/>
      <c r="AA7" s="997">
        <f>D7/F7</f>
        <v>1</v>
      </c>
      <c r="AB7" s="997">
        <f>D7/H7</f>
        <v>1</v>
      </c>
      <c r="AC7" s="997">
        <f>D7/J7</f>
        <v>1</v>
      </c>
    </row>
    <row r="8" spans="1:29" s="1060" customFormat="1" ht="15.75" thickBot="1">
      <c r="A8" s="2211"/>
      <c r="B8" s="2218" t="s">
        <v>480</v>
      </c>
      <c r="C8" s="475" t="s">
        <v>524</v>
      </c>
      <c r="D8" s="471">
        <v>100</v>
      </c>
      <c r="E8" s="790" t="s">
        <v>3424</v>
      </c>
      <c r="F8" s="473">
        <f>SUMIF(61:61,E8,62:62)-SUMIF(61:61,C8,62:62)+100</f>
        <v>100</v>
      </c>
      <c r="G8" s="475" t="s">
        <v>3424</v>
      </c>
      <c r="H8" s="471">
        <f>SUMIF(61:61,G8,62:62)-SUMIF(61:61,C8,62:62)+100</f>
        <v>100</v>
      </c>
      <c r="I8" s="790" t="s">
        <v>3424</v>
      </c>
      <c r="J8" s="471">
        <f>SUMIF(61:61,I8,62:62)-SUMIF(61:61,C8,62:62)+100</f>
        <v>100</v>
      </c>
      <c r="K8" s="789"/>
      <c r="L8" s="1744"/>
      <c r="M8" s="1641"/>
      <c r="N8" s="1641"/>
      <c r="O8" s="1641"/>
      <c r="P8" s="3628" t="s">
        <v>482</v>
      </c>
      <c r="Q8" s="3629"/>
      <c r="R8" s="1304" t="s">
        <v>10</v>
      </c>
      <c r="S8" s="1305">
        <f t="shared" si="0"/>
        <v>100</v>
      </c>
      <c r="T8" s="1304" t="s">
        <v>10</v>
      </c>
      <c r="U8" s="1305">
        <f t="shared" si="1"/>
        <v>100</v>
      </c>
      <c r="V8" s="1304" t="s">
        <v>10</v>
      </c>
      <c r="W8" s="1305">
        <f t="shared" si="2"/>
        <v>100</v>
      </c>
      <c r="X8" s="1306"/>
      <c r="Y8" s="3628" t="s">
        <v>482</v>
      </c>
      <c r="Z8" s="3629"/>
      <c r="AA8" s="997">
        <f t="shared" ref="AA8:AA46" si="3">D8/F8</f>
        <v>1</v>
      </c>
      <c r="AB8" s="997">
        <f t="shared" ref="AB8:AB46" si="4">D8/H8</f>
        <v>1</v>
      </c>
      <c r="AC8" s="997">
        <f t="shared" ref="AC8:AC46" si="5">D8/J8</f>
        <v>1</v>
      </c>
    </row>
    <row r="9" spans="1:29" s="1060" customFormat="1" ht="15">
      <c r="A9" s="2212"/>
      <c r="B9" s="2219" t="s">
        <v>2037</v>
      </c>
      <c r="C9" s="3421" t="s">
        <v>3543</v>
      </c>
      <c r="D9" s="154">
        <v>100</v>
      </c>
      <c r="E9" s="792" t="s">
        <v>851</v>
      </c>
      <c r="F9" s="156">
        <f>SUMIF(63:63,E9,64:64)-SUMIF(63:63,C9,64:64)+100</f>
        <v>100</v>
      </c>
      <c r="G9" s="793" t="s">
        <v>851</v>
      </c>
      <c r="H9" s="154">
        <f>SUMIF(63:63,G9,64:64)-SUMIF(63:63,C9,64:64)+100</f>
        <v>100</v>
      </c>
      <c r="I9" s="793" t="s">
        <v>851</v>
      </c>
      <c r="J9" s="154">
        <f>SUMIF(63:63,I9,64:64)-SUMIF(63:63,C9,64:64)+100</f>
        <v>100</v>
      </c>
      <c r="K9" s="789"/>
      <c r="L9" s="1744"/>
      <c r="M9" s="1641"/>
      <c r="N9" s="1641"/>
      <c r="O9" s="1745"/>
      <c r="P9" s="3636" t="s">
        <v>484</v>
      </c>
      <c r="Q9" s="818" t="str">
        <f t="shared" ref="Q9:Q15" si="6">B9</f>
        <v>用途</v>
      </c>
      <c r="R9" s="1304" t="s">
        <v>5</v>
      </c>
      <c r="S9" s="1305">
        <f t="shared" si="0"/>
        <v>100</v>
      </c>
      <c r="T9" s="1304" t="s">
        <v>5</v>
      </c>
      <c r="U9" s="1305">
        <f t="shared" si="1"/>
        <v>100</v>
      </c>
      <c r="V9" s="1304" t="s">
        <v>5</v>
      </c>
      <c r="W9" s="1305">
        <f t="shared" si="2"/>
        <v>100</v>
      </c>
      <c r="X9" s="1306"/>
      <c r="Y9" s="3587" t="s">
        <v>485</v>
      </c>
      <c r="Z9" s="997" t="str">
        <f t="shared" ref="Z9:Z15" si="7">Q9</f>
        <v>用途</v>
      </c>
      <c r="AA9" s="997">
        <f t="shared" si="3"/>
        <v>1</v>
      </c>
      <c r="AB9" s="997">
        <f t="shared" si="4"/>
        <v>1</v>
      </c>
      <c r="AC9" s="997">
        <f t="shared" si="5"/>
        <v>1</v>
      </c>
    </row>
    <row r="10" spans="1:29" s="1133" customFormat="1" ht="27">
      <c r="A10" s="2213"/>
      <c r="B10" s="2218" t="s">
        <v>2038</v>
      </c>
      <c r="C10" s="3387" t="s">
        <v>3544</v>
      </c>
      <c r="D10" s="235">
        <v>100</v>
      </c>
      <c r="E10" s="3388" t="s">
        <v>3544</v>
      </c>
      <c r="F10" s="477">
        <f>SUMIF(65:65,E10,66:66)-SUMIF(65:65,C10,66:66)+100</f>
        <v>100</v>
      </c>
      <c r="G10" s="3387" t="s">
        <v>3544</v>
      </c>
      <c r="H10" s="235">
        <f>SUMIF(65:65,G10,66:66)-SUMIF(65:65,C10,66:66)+100</f>
        <v>100</v>
      </c>
      <c r="I10" s="3387" t="s">
        <v>3544</v>
      </c>
      <c r="J10" s="235">
        <f>SUMIF(65:65,I10,66:66)-SUMIF(65:65,C10,66:66)+100</f>
        <v>100</v>
      </c>
      <c r="K10" s="789"/>
      <c r="L10" s="1746"/>
      <c r="M10" s="1779"/>
      <c r="N10" s="1779"/>
      <c r="O10" s="1747"/>
      <c r="P10" s="3636"/>
      <c r="Q10" s="818" t="str">
        <f t="shared" si="6"/>
        <v>土地使用年限（年）</v>
      </c>
      <c r="R10" s="1304" t="s">
        <v>5</v>
      </c>
      <c r="S10" s="1305">
        <f t="shared" si="0"/>
        <v>100</v>
      </c>
      <c r="T10" s="1304" t="s">
        <v>5</v>
      </c>
      <c r="U10" s="1305">
        <f t="shared" si="1"/>
        <v>100</v>
      </c>
      <c r="V10" s="1304" t="s">
        <v>5</v>
      </c>
      <c r="W10" s="1305">
        <f t="shared" si="2"/>
        <v>100</v>
      </c>
      <c r="X10" s="1306"/>
      <c r="Y10" s="3587"/>
      <c r="Z10" s="997" t="str">
        <f t="shared" si="7"/>
        <v>土地使用年限（年）</v>
      </c>
      <c r="AA10" s="997">
        <f t="shared" si="3"/>
        <v>1</v>
      </c>
      <c r="AB10" s="997">
        <f t="shared" si="4"/>
        <v>1</v>
      </c>
      <c r="AC10" s="997">
        <f t="shared" si="5"/>
        <v>1</v>
      </c>
    </row>
    <row r="11" spans="1:29" ht="15.75" thickBot="1">
      <c r="A11" s="2214"/>
      <c r="B11" s="2218" t="s">
        <v>2039</v>
      </c>
      <c r="C11" s="483">
        <f>'数据-汇总表'!I6</f>
        <v>3</v>
      </c>
      <c r="D11" s="235">
        <v>100</v>
      </c>
      <c r="E11" s="484">
        <v>2.5</v>
      </c>
      <c r="F11" s="477">
        <f>LOOKUP(E11,68:68,69:69)-LOOKUP(C11,68:68,69:69)+100</f>
        <v>102</v>
      </c>
      <c r="G11" s="483">
        <v>2</v>
      </c>
      <c r="H11" s="235">
        <f>LOOKUP(G11,68:68,69:69)-LOOKUP(C11,68:68,69:69)+100</f>
        <v>102</v>
      </c>
      <c r="I11" s="483">
        <v>1.8</v>
      </c>
      <c r="J11" s="235">
        <f>LOOKUP(I11,68:68,69:69)-LOOKUP(C11,68:68,69:69)+100</f>
        <v>104</v>
      </c>
      <c r="K11" s="794">
        <v>2</v>
      </c>
      <c r="L11" s="1748"/>
      <c r="M11" s="1743"/>
      <c r="N11" s="1743"/>
      <c r="O11" s="1749"/>
      <c r="P11" s="3636"/>
      <c r="Q11" s="818" t="str">
        <f t="shared" si="6"/>
        <v>容积率</v>
      </c>
      <c r="R11" s="1304" t="s">
        <v>8</v>
      </c>
      <c r="S11" s="1305">
        <f t="shared" si="0"/>
        <v>102</v>
      </c>
      <c r="T11" s="1304" t="s">
        <v>8</v>
      </c>
      <c r="U11" s="1305">
        <f t="shared" si="1"/>
        <v>102</v>
      </c>
      <c r="V11" s="1304" t="s">
        <v>8</v>
      </c>
      <c r="W11" s="1305">
        <f t="shared" si="2"/>
        <v>104</v>
      </c>
      <c r="X11" s="1306"/>
      <c r="Y11" s="3587"/>
      <c r="Z11" s="997" t="str">
        <f t="shared" si="7"/>
        <v>容积率</v>
      </c>
      <c r="AA11" s="997">
        <f t="shared" si="3"/>
        <v>0.98039215686274506</v>
      </c>
      <c r="AB11" s="997">
        <f t="shared" si="4"/>
        <v>0.98039215686274506</v>
      </c>
      <c r="AC11" s="997">
        <f t="shared" si="5"/>
        <v>0.96153846153846156</v>
      </c>
    </row>
    <row r="12" spans="1:29" s="1060" customFormat="1" ht="15" hidden="1">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636"/>
      <c r="Q12" s="818">
        <f t="shared" si="6"/>
        <v>111</v>
      </c>
      <c r="R12" s="1304" t="s">
        <v>8</v>
      </c>
      <c r="S12" s="1305">
        <f t="shared" si="0"/>
        <v>100</v>
      </c>
      <c r="T12" s="1304" t="s">
        <v>8</v>
      </c>
      <c r="U12" s="1305">
        <f t="shared" si="1"/>
        <v>100</v>
      </c>
      <c r="V12" s="1304" t="s">
        <v>8</v>
      </c>
      <c r="W12" s="1305">
        <f t="shared" si="2"/>
        <v>100</v>
      </c>
      <c r="X12" s="1306"/>
      <c r="Y12" s="3587"/>
      <c r="Z12" s="997">
        <f t="shared" si="7"/>
        <v>111</v>
      </c>
      <c r="AA12" s="997">
        <f>D12/F12</f>
        <v>1</v>
      </c>
      <c r="AB12" s="997">
        <f>D12/H12</f>
        <v>1</v>
      </c>
      <c r="AC12" s="997">
        <f>D12/J12</f>
        <v>1</v>
      </c>
    </row>
    <row r="13" spans="1:29" ht="15" hidden="1">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636"/>
      <c r="Q13" s="818">
        <f t="shared" si="6"/>
        <v>111</v>
      </c>
      <c r="R13" s="1304" t="s">
        <v>8</v>
      </c>
      <c r="S13" s="1305">
        <f t="shared" si="0"/>
        <v>100</v>
      </c>
      <c r="T13" s="1304" t="s">
        <v>8</v>
      </c>
      <c r="U13" s="1305">
        <f t="shared" si="1"/>
        <v>100</v>
      </c>
      <c r="V13" s="1304" t="s">
        <v>8</v>
      </c>
      <c r="W13" s="1305">
        <f t="shared" si="2"/>
        <v>100</v>
      </c>
      <c r="X13" s="1306"/>
      <c r="Y13" s="3587"/>
      <c r="Z13" s="997">
        <f t="shared" si="7"/>
        <v>111</v>
      </c>
      <c r="AA13" s="997">
        <f t="shared" si="3"/>
        <v>1</v>
      </c>
      <c r="AB13" s="997">
        <f t="shared" si="4"/>
        <v>1</v>
      </c>
      <c r="AC13" s="997">
        <f t="shared" si="5"/>
        <v>1</v>
      </c>
    </row>
    <row r="14" spans="1:29" ht="15.75" hidden="1"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636"/>
      <c r="Q14" s="818">
        <f t="shared" si="6"/>
        <v>111</v>
      </c>
      <c r="R14" s="1304" t="s">
        <v>8</v>
      </c>
      <c r="S14" s="1305">
        <f t="shared" si="0"/>
        <v>100</v>
      </c>
      <c r="T14" s="1304" t="s">
        <v>8</v>
      </c>
      <c r="U14" s="1305">
        <f t="shared" si="1"/>
        <v>100</v>
      </c>
      <c r="V14" s="1304" t="s">
        <v>8</v>
      </c>
      <c r="W14" s="1305">
        <f t="shared" si="2"/>
        <v>100</v>
      </c>
      <c r="X14" s="1306"/>
      <c r="Y14" s="3587"/>
      <c r="Z14" s="997">
        <f t="shared" si="7"/>
        <v>111</v>
      </c>
      <c r="AA14" s="997">
        <f t="shared" si="3"/>
        <v>1</v>
      </c>
      <c r="AB14" s="997">
        <f t="shared" si="4"/>
        <v>1</v>
      </c>
      <c r="AC14" s="997">
        <f t="shared" si="5"/>
        <v>1</v>
      </c>
    </row>
    <row r="15" spans="1:29" ht="15">
      <c r="A15" s="2208" t="s">
        <v>2035</v>
      </c>
      <c r="B15" s="150" t="s">
        <v>261</v>
      </c>
      <c r="C15" s="797">
        <f>估价对象房地状况!C3</f>
        <v>0</v>
      </c>
      <c r="D15" s="499">
        <v>100</v>
      </c>
      <c r="E15" s="500"/>
      <c r="F15" s="501">
        <f>SUMIF(76:76,E16,77:77)-SUMIF(76:76,C16,77:77)+100</f>
        <v>103</v>
      </c>
      <c r="G15" s="502"/>
      <c r="H15" s="499">
        <f>SUMIF(76:76,G16,77:77)-SUMIF(76:76,C16,77:77)+100</f>
        <v>103</v>
      </c>
      <c r="I15" s="500"/>
      <c r="J15" s="499">
        <f>SUMIF(76:76,I16,77:77)-SUMIF(76:76,C16,77:77)+100</f>
        <v>103</v>
      </c>
      <c r="K15" s="798">
        <v>3</v>
      </c>
      <c r="L15" s="1750"/>
      <c r="M15" s="1743"/>
      <c r="N15" s="1743"/>
      <c r="O15" s="1749"/>
      <c r="P15" s="3638" t="s">
        <v>489</v>
      </c>
      <c r="Q15" s="1307" t="str">
        <f t="shared" si="6"/>
        <v>居住社区成熟度</v>
      </c>
      <c r="R15" s="1308" t="s">
        <v>8</v>
      </c>
      <c r="S15" s="1309">
        <f t="shared" si="0"/>
        <v>103</v>
      </c>
      <c r="T15" s="1308" t="s">
        <v>8</v>
      </c>
      <c r="U15" s="1309">
        <f t="shared" si="1"/>
        <v>103</v>
      </c>
      <c r="V15" s="1308" t="s">
        <v>8</v>
      </c>
      <c r="W15" s="1309">
        <f t="shared" si="2"/>
        <v>103</v>
      </c>
      <c r="X15" s="1303"/>
      <c r="Y15" s="3638" t="s">
        <v>489</v>
      </c>
      <c r="Z15" s="1310" t="str">
        <f t="shared" si="7"/>
        <v>居住社区成熟度</v>
      </c>
      <c r="AA15" s="1310">
        <f t="shared" si="3"/>
        <v>0.970873786407767</v>
      </c>
      <c r="AB15" s="1310">
        <f t="shared" si="4"/>
        <v>0.970873786407767</v>
      </c>
      <c r="AC15" s="1310">
        <f t="shared" si="5"/>
        <v>0.970873786407767</v>
      </c>
    </row>
    <row r="16" spans="1:29" ht="15">
      <c r="A16" s="482"/>
      <c r="B16" s="799"/>
      <c r="C16" s="526" t="s">
        <v>3428</v>
      </c>
      <c r="D16" s="505"/>
      <c r="E16" s="506" t="s">
        <v>3431</v>
      </c>
      <c r="F16" s="507"/>
      <c r="G16" s="506" t="s">
        <v>3431</v>
      </c>
      <c r="H16" s="509"/>
      <c r="I16" s="506" t="s">
        <v>3431</v>
      </c>
      <c r="J16" s="505"/>
      <c r="K16" s="800"/>
      <c r="L16" s="1750"/>
      <c r="M16" s="1743"/>
      <c r="N16" s="1743"/>
      <c r="O16" s="1749"/>
      <c r="P16" s="3639"/>
      <c r="Q16" s="1307"/>
      <c r="R16" s="1308"/>
      <c r="S16" s="1309"/>
      <c r="T16" s="1308"/>
      <c r="U16" s="1309"/>
      <c r="V16" s="1308"/>
      <c r="W16" s="1309"/>
      <c r="X16" s="1303"/>
      <c r="Y16" s="3639"/>
      <c r="Z16" s="1310"/>
      <c r="AA16" s="1310">
        <v>1</v>
      </c>
      <c r="AB16" s="1310">
        <v>1</v>
      </c>
      <c r="AC16" s="1310">
        <v>1</v>
      </c>
    </row>
    <row r="17" spans="1:29" ht="15">
      <c r="A17" s="482"/>
      <c r="B17" s="677" t="s">
        <v>262</v>
      </c>
      <c r="C17" s="801">
        <f>估价对象房地状况!C6</f>
        <v>0</v>
      </c>
      <c r="D17" s="509">
        <v>100</v>
      </c>
      <c r="E17" s="512"/>
      <c r="F17" s="513">
        <f>SUMIF(78:78,E18,79:79)-SUMIF(78:78,C18,79:79)+100</f>
        <v>104</v>
      </c>
      <c r="G17" s="514"/>
      <c r="H17" s="515">
        <f>SUMIF(78:78,G18,79:79)-SUMIF(78:78,C18,79:79)+100</f>
        <v>104</v>
      </c>
      <c r="I17" s="512"/>
      <c r="J17" s="515">
        <f>SUMIF(78:78,I18,79:79)-SUMIF(78:78,C18,79:79)+100</f>
        <v>104</v>
      </c>
      <c r="K17" s="798">
        <v>2</v>
      </c>
      <c r="L17" s="1750"/>
      <c r="M17" s="1743"/>
      <c r="N17" s="1743"/>
      <c r="O17" s="1749"/>
      <c r="P17" s="3639"/>
      <c r="Q17" s="1307" t="str">
        <f>B17</f>
        <v>交通便捷度</v>
      </c>
      <c r="R17" s="1308" t="s">
        <v>8</v>
      </c>
      <c r="S17" s="1309">
        <f>F17</f>
        <v>104</v>
      </c>
      <c r="T17" s="1308" t="s">
        <v>8</v>
      </c>
      <c r="U17" s="1309">
        <f>H17</f>
        <v>104</v>
      </c>
      <c r="V17" s="1308" t="s">
        <v>8</v>
      </c>
      <c r="W17" s="1309">
        <f>J17</f>
        <v>104</v>
      </c>
      <c r="X17" s="1303"/>
      <c r="Y17" s="3639"/>
      <c r="Z17" s="1310" t="str">
        <f>Q17</f>
        <v>交通便捷度</v>
      </c>
      <c r="AA17" s="1310">
        <f t="shared" si="3"/>
        <v>0.96153846153846156</v>
      </c>
      <c r="AB17" s="1310">
        <f t="shared" si="4"/>
        <v>0.96153846153846156</v>
      </c>
      <c r="AC17" s="1310">
        <f t="shared" si="5"/>
        <v>0.96153846153846156</v>
      </c>
    </row>
    <row r="18" spans="1:29" ht="15">
      <c r="A18" s="482"/>
      <c r="B18" s="544"/>
      <c r="C18" s="802" t="s">
        <v>3429</v>
      </c>
      <c r="D18" s="509"/>
      <c r="E18" s="506" t="s">
        <v>3431</v>
      </c>
      <c r="F18" s="513"/>
      <c r="G18" s="506" t="s">
        <v>3431</v>
      </c>
      <c r="H18" s="505"/>
      <c r="I18" s="506" t="s">
        <v>3431</v>
      </c>
      <c r="J18" s="505"/>
      <c r="K18" s="800"/>
      <c r="L18" s="1750"/>
      <c r="M18" s="1743"/>
      <c r="N18" s="1743"/>
      <c r="O18" s="1749"/>
      <c r="P18" s="3639"/>
      <c r="Q18" s="1307"/>
      <c r="R18" s="1308"/>
      <c r="S18" s="1309"/>
      <c r="T18" s="1308"/>
      <c r="U18" s="1309"/>
      <c r="V18" s="1308"/>
      <c r="W18" s="1309"/>
      <c r="X18" s="1303"/>
      <c r="Y18" s="3639"/>
      <c r="Z18" s="1310"/>
      <c r="AA18" s="1310">
        <v>1</v>
      </c>
      <c r="AB18" s="1310">
        <v>1</v>
      </c>
      <c r="AC18" s="1310">
        <v>1</v>
      </c>
    </row>
    <row r="19" spans="1:29" ht="15">
      <c r="A19" s="482"/>
      <c r="B19" s="2060" t="s">
        <v>1829</v>
      </c>
      <c r="C19" s="801">
        <f>估价对象房地状况!C7</f>
        <v>0</v>
      </c>
      <c r="D19" s="515">
        <v>100</v>
      </c>
      <c r="E19" s="520"/>
      <c r="F19" s="521">
        <f>SUMIF(80:80,E20,81:81)-SUMIF(80:80,C20,81:81)+100</f>
        <v>102</v>
      </c>
      <c r="G19" s="522"/>
      <c r="H19" s="509">
        <f>SUMIF(80:80,G20,81:81)-SUMIF(80:80,C20,81:81)+100</f>
        <v>102</v>
      </c>
      <c r="I19" s="520"/>
      <c r="J19" s="509">
        <f>SUMIF(80:80,I20,81:81)-SUMIF(80:80,C20,81:81)+100</f>
        <v>102</v>
      </c>
      <c r="K19" s="798">
        <v>2</v>
      </c>
      <c r="L19" s="1750"/>
      <c r="M19" s="1743"/>
      <c r="N19" s="1743"/>
      <c r="O19" s="1749"/>
      <c r="P19" s="3639"/>
      <c r="Q19" s="1307" t="str">
        <f>B19</f>
        <v>公共配套设施</v>
      </c>
      <c r="R19" s="1308" t="s">
        <v>8</v>
      </c>
      <c r="S19" s="1309">
        <f>F19</f>
        <v>102</v>
      </c>
      <c r="T19" s="1308" t="s">
        <v>8</v>
      </c>
      <c r="U19" s="1309">
        <f>H19</f>
        <v>102</v>
      </c>
      <c r="V19" s="1308" t="s">
        <v>8</v>
      </c>
      <c r="W19" s="1309">
        <f>J19</f>
        <v>102</v>
      </c>
      <c r="X19" s="1303"/>
      <c r="Y19" s="3639"/>
      <c r="Z19" s="1310" t="str">
        <f>Q19</f>
        <v>公共配套设施</v>
      </c>
      <c r="AA19" s="1310">
        <f t="shared" si="3"/>
        <v>0.98039215686274506</v>
      </c>
      <c r="AB19" s="1310">
        <f t="shared" si="4"/>
        <v>0.98039215686274506</v>
      </c>
      <c r="AC19" s="1310">
        <f t="shared" si="5"/>
        <v>0.98039215686274506</v>
      </c>
    </row>
    <row r="20" spans="1:29" ht="15">
      <c r="A20" s="482"/>
      <c r="B20" s="544"/>
      <c r="C20" s="526" t="s">
        <v>3428</v>
      </c>
      <c r="D20" s="505"/>
      <c r="E20" s="506" t="s">
        <v>3431</v>
      </c>
      <c r="F20" s="507"/>
      <c r="G20" s="506" t="s">
        <v>3431</v>
      </c>
      <c r="H20" s="505"/>
      <c r="I20" s="506" t="s">
        <v>3431</v>
      </c>
      <c r="J20" s="505"/>
      <c r="K20" s="800"/>
      <c r="L20" s="1750"/>
      <c r="M20" s="1743"/>
      <c r="N20" s="1743"/>
      <c r="O20" s="1749"/>
      <c r="P20" s="3639"/>
      <c r="Q20" s="1307"/>
      <c r="R20" s="1308"/>
      <c r="S20" s="1309"/>
      <c r="T20" s="1308"/>
      <c r="U20" s="1309"/>
      <c r="V20" s="1308"/>
      <c r="W20" s="1309"/>
      <c r="X20" s="1303"/>
      <c r="Y20" s="3639"/>
      <c r="Z20" s="1310"/>
      <c r="AA20" s="1310">
        <v>1</v>
      </c>
      <c r="AB20" s="1310">
        <v>1</v>
      </c>
      <c r="AC20" s="1310">
        <v>1</v>
      </c>
    </row>
    <row r="21" spans="1:29" ht="15">
      <c r="A21" s="482"/>
      <c r="B21" s="2053"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v>4</v>
      </c>
      <c r="L21" s="1750"/>
      <c r="M21" s="1743"/>
      <c r="N21" s="1743"/>
      <c r="O21" s="1749"/>
      <c r="P21" s="3639"/>
      <c r="Q21" s="1307" t="str">
        <f>B21</f>
        <v>基础设施水平</v>
      </c>
      <c r="R21" s="1308" t="s">
        <v>8</v>
      </c>
      <c r="S21" s="1309">
        <f>F21</f>
        <v>100</v>
      </c>
      <c r="T21" s="1308" t="s">
        <v>8</v>
      </c>
      <c r="U21" s="1309">
        <f>H21</f>
        <v>100</v>
      </c>
      <c r="V21" s="1308" t="s">
        <v>8</v>
      </c>
      <c r="W21" s="1309">
        <f>J21</f>
        <v>100</v>
      </c>
      <c r="X21" s="1303"/>
      <c r="Y21" s="3639"/>
      <c r="Z21" s="1310" t="str">
        <f>Q21</f>
        <v>基础设施水平</v>
      </c>
      <c r="AA21" s="1310">
        <f>D21/F21</f>
        <v>1</v>
      </c>
      <c r="AB21" s="1310">
        <f>D21/H21</f>
        <v>1</v>
      </c>
      <c r="AC21" s="1310">
        <f>D21/J21</f>
        <v>1</v>
      </c>
    </row>
    <row r="22" spans="1:29" ht="15">
      <c r="A22" s="482"/>
      <c r="B22" s="844"/>
      <c r="C22" s="802" t="s">
        <v>3430</v>
      </c>
      <c r="D22" s="505"/>
      <c r="E22" s="526" t="s">
        <v>3430</v>
      </c>
      <c r="F22" s="507"/>
      <c r="G22" s="526" t="s">
        <v>3430</v>
      </c>
      <c r="H22" s="505"/>
      <c r="I22" s="526" t="s">
        <v>3430</v>
      </c>
      <c r="J22" s="505"/>
      <c r="K22" s="2059"/>
      <c r="L22" s="1750"/>
      <c r="M22" s="1743"/>
      <c r="N22" s="1743"/>
      <c r="O22" s="1749"/>
      <c r="P22" s="3639"/>
      <c r="Q22" s="1307"/>
      <c r="R22" s="1308"/>
      <c r="S22" s="1309"/>
      <c r="T22" s="1308"/>
      <c r="U22" s="1309"/>
      <c r="V22" s="1308"/>
      <c r="W22" s="1309"/>
      <c r="X22" s="1303"/>
      <c r="Y22" s="3639"/>
      <c r="Z22" s="1310"/>
      <c r="AA22" s="1310">
        <v>1</v>
      </c>
      <c r="AB22" s="1310">
        <v>1</v>
      </c>
      <c r="AC22" s="1310">
        <v>1</v>
      </c>
    </row>
    <row r="23" spans="1:29" ht="15">
      <c r="A23" s="482"/>
      <c r="B23" s="677" t="s">
        <v>263</v>
      </c>
      <c r="C23" s="801">
        <f>估价对象房地状况!C9</f>
        <v>0</v>
      </c>
      <c r="D23" s="509">
        <v>100</v>
      </c>
      <c r="E23" s="512"/>
      <c r="F23" s="513">
        <f>SUMIF(84:84,E24,85:85)-SUMIF(84:84,C24,85:85)+100</f>
        <v>103</v>
      </c>
      <c r="G23" s="514"/>
      <c r="H23" s="509">
        <f>SUMIF(84:84,G24,85:85)-SUMIF(84:84,C24,85:85)+100</f>
        <v>103</v>
      </c>
      <c r="I23" s="512"/>
      <c r="J23" s="509">
        <f>SUMIF(84:84,I24,85:85)-SUMIF(84:84,C24,85:85)+100</f>
        <v>103</v>
      </c>
      <c r="K23" s="798">
        <v>3</v>
      </c>
      <c r="L23" s="1750"/>
      <c r="M23" s="1743"/>
      <c r="N23" s="1743"/>
      <c r="O23" s="1749"/>
      <c r="P23" s="3639"/>
      <c r="Q23" s="1307" t="str">
        <f>B23</f>
        <v>自然及人文环境</v>
      </c>
      <c r="R23" s="1308" t="s">
        <v>8</v>
      </c>
      <c r="S23" s="1309">
        <f>F23</f>
        <v>103</v>
      </c>
      <c r="T23" s="1308" t="s">
        <v>8</v>
      </c>
      <c r="U23" s="1309">
        <f>H23</f>
        <v>103</v>
      </c>
      <c r="V23" s="1308" t="s">
        <v>8</v>
      </c>
      <c r="W23" s="1309">
        <f>J23</f>
        <v>103</v>
      </c>
      <c r="X23" s="1303"/>
      <c r="Y23" s="3639"/>
      <c r="Z23" s="1310" t="str">
        <f>Q23</f>
        <v>自然及人文环境</v>
      </c>
      <c r="AA23" s="1310">
        <f t="shared" si="3"/>
        <v>0.970873786407767</v>
      </c>
      <c r="AB23" s="1310">
        <f t="shared" si="4"/>
        <v>0.970873786407767</v>
      </c>
      <c r="AC23" s="1310">
        <f t="shared" si="5"/>
        <v>0.970873786407767</v>
      </c>
    </row>
    <row r="24" spans="1:29" ht="15.75" thickBot="1">
      <c r="A24" s="482"/>
      <c r="B24" s="544"/>
      <c r="C24" s="526" t="s">
        <v>3428</v>
      </c>
      <c r="D24" s="505"/>
      <c r="E24" s="506" t="s">
        <v>3431</v>
      </c>
      <c r="F24" s="507"/>
      <c r="G24" s="506" t="s">
        <v>3431</v>
      </c>
      <c r="H24" s="505"/>
      <c r="I24" s="506" t="s">
        <v>3431</v>
      </c>
      <c r="J24" s="505"/>
      <c r="K24" s="800"/>
      <c r="L24" s="1750"/>
      <c r="M24" s="1743"/>
      <c r="N24" s="1743"/>
      <c r="O24" s="1749"/>
      <c r="P24" s="3639"/>
      <c r="Q24" s="1307"/>
      <c r="R24" s="1308"/>
      <c r="S24" s="1309"/>
      <c r="T24" s="1308"/>
      <c r="U24" s="1309"/>
      <c r="V24" s="1308"/>
      <c r="W24" s="1309"/>
      <c r="X24" s="1303"/>
      <c r="Y24" s="3639"/>
      <c r="Z24" s="1310"/>
      <c r="AA24" s="1310">
        <v>1</v>
      </c>
      <c r="AB24" s="1310">
        <v>1</v>
      </c>
      <c r="AC24" s="1310">
        <v>1</v>
      </c>
    </row>
    <row r="25" spans="1:29" ht="15" hidden="1">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39"/>
      <c r="Q25" s="1307" t="str">
        <f t="shared" ref="Q25:Q46" si="8">B25</f>
        <v>楼层-1</v>
      </c>
      <c r="R25" s="1308" t="s">
        <v>8</v>
      </c>
      <c r="S25" s="1309">
        <f>F25</f>
        <v>100</v>
      </c>
      <c r="T25" s="1308" t="s">
        <v>8</v>
      </c>
      <c r="U25" s="1309">
        <f>H25</f>
        <v>100</v>
      </c>
      <c r="V25" s="1308" t="s">
        <v>8</v>
      </c>
      <c r="W25" s="1309">
        <f>J25</f>
        <v>100</v>
      </c>
      <c r="X25" s="1303"/>
      <c r="Y25" s="3639"/>
      <c r="Z25" s="1310" t="str">
        <f>Q25</f>
        <v>楼层-1</v>
      </c>
      <c r="AA25" s="1310">
        <f t="shared" si="3"/>
        <v>1</v>
      </c>
      <c r="AB25" s="1310">
        <f t="shared" si="4"/>
        <v>1</v>
      </c>
      <c r="AC25" s="1310">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39"/>
      <c r="Q26" s="1307" t="str">
        <f t="shared" si="8"/>
        <v>朝向</v>
      </c>
      <c r="R26" s="1308" t="s">
        <v>8</v>
      </c>
      <c r="S26" s="1309">
        <f>F26</f>
        <v>100</v>
      </c>
      <c r="T26" s="1308" t="s">
        <v>8</v>
      </c>
      <c r="U26" s="1309">
        <f>H26</f>
        <v>100</v>
      </c>
      <c r="V26" s="1308" t="s">
        <v>8</v>
      </c>
      <c r="W26" s="1309">
        <f>J26</f>
        <v>100</v>
      </c>
      <c r="X26" s="1303"/>
      <c r="Y26" s="3639"/>
      <c r="Z26" s="1310" t="str">
        <f>Q26</f>
        <v>朝向</v>
      </c>
      <c r="AA26" s="1310">
        <f t="shared" si="3"/>
        <v>1</v>
      </c>
      <c r="AB26" s="1310">
        <f t="shared" si="4"/>
        <v>1</v>
      </c>
      <c r="AC26" s="1310">
        <f t="shared" si="5"/>
        <v>1</v>
      </c>
    </row>
    <row r="27" spans="1:29" s="1060"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39"/>
      <c r="Q27" s="818" t="str">
        <f t="shared" si="8"/>
        <v>道路级别</v>
      </c>
      <c r="R27" s="1304" t="s">
        <v>8</v>
      </c>
      <c r="S27" s="1305">
        <f>F27</f>
        <v>100</v>
      </c>
      <c r="T27" s="1304" t="s">
        <v>8</v>
      </c>
      <c r="U27" s="1305">
        <f>H27</f>
        <v>100</v>
      </c>
      <c r="V27" s="1304" t="s">
        <v>8</v>
      </c>
      <c r="W27" s="1305">
        <f>J27</f>
        <v>100</v>
      </c>
      <c r="X27" s="1306"/>
      <c r="Y27" s="3639"/>
      <c r="Z27" s="997" t="str">
        <f>Q27</f>
        <v>道路级别</v>
      </c>
      <c r="AA27" s="1310">
        <f>D27/F27</f>
        <v>1</v>
      </c>
      <c r="AB27" s="1310">
        <f>D27/H27</f>
        <v>1</v>
      </c>
      <c r="AC27" s="1310">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39"/>
      <c r="Q28" s="1307">
        <f t="shared" si="8"/>
        <v>111</v>
      </c>
      <c r="R28" s="1308" t="s">
        <v>8</v>
      </c>
      <c r="S28" s="1309">
        <f t="shared" ref="S28:S46" si="9">F28</f>
        <v>100</v>
      </c>
      <c r="T28" s="1308" t="s">
        <v>8</v>
      </c>
      <c r="U28" s="1309">
        <f t="shared" ref="U28:U46" si="10">H28</f>
        <v>100</v>
      </c>
      <c r="V28" s="1308" t="s">
        <v>8</v>
      </c>
      <c r="W28" s="1309">
        <f t="shared" ref="W28:W46" si="11">J28</f>
        <v>100</v>
      </c>
      <c r="X28" s="1303"/>
      <c r="Y28" s="3639"/>
      <c r="Z28" s="1310">
        <f t="shared" ref="Z28:Z46" si="12">Q28</f>
        <v>111</v>
      </c>
      <c r="AA28" s="1310">
        <f t="shared" si="3"/>
        <v>1</v>
      </c>
      <c r="AB28" s="1310">
        <f t="shared" si="4"/>
        <v>1</v>
      </c>
      <c r="AC28" s="1310">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39"/>
      <c r="Q29" s="1307">
        <f t="shared" si="8"/>
        <v>111</v>
      </c>
      <c r="R29" s="1308" t="s">
        <v>8</v>
      </c>
      <c r="S29" s="1309">
        <f t="shared" si="9"/>
        <v>100</v>
      </c>
      <c r="T29" s="1308" t="s">
        <v>8</v>
      </c>
      <c r="U29" s="1309">
        <f t="shared" si="10"/>
        <v>100</v>
      </c>
      <c r="V29" s="1308" t="s">
        <v>8</v>
      </c>
      <c r="W29" s="1309">
        <f t="shared" si="11"/>
        <v>100</v>
      </c>
      <c r="X29" s="1303"/>
      <c r="Y29" s="3639"/>
      <c r="Z29" s="1310">
        <f t="shared" si="12"/>
        <v>111</v>
      </c>
      <c r="AA29" s="1310">
        <f t="shared" si="3"/>
        <v>1</v>
      </c>
      <c r="AB29" s="1310">
        <f t="shared" si="4"/>
        <v>1</v>
      </c>
      <c r="AC29" s="1310">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39"/>
      <c r="Q30" s="1307">
        <f t="shared" si="8"/>
        <v>111</v>
      </c>
      <c r="R30" s="1308" t="s">
        <v>8</v>
      </c>
      <c r="S30" s="1309">
        <f t="shared" si="9"/>
        <v>100</v>
      </c>
      <c r="T30" s="1308" t="s">
        <v>8</v>
      </c>
      <c r="U30" s="1309">
        <f t="shared" si="10"/>
        <v>100</v>
      </c>
      <c r="V30" s="1308" t="s">
        <v>8</v>
      </c>
      <c r="W30" s="1309">
        <f t="shared" si="11"/>
        <v>100</v>
      </c>
      <c r="X30" s="1303"/>
      <c r="Y30" s="3639"/>
      <c r="Z30" s="1310">
        <f t="shared" si="12"/>
        <v>111</v>
      </c>
      <c r="AA30" s="1310">
        <f t="shared" si="3"/>
        <v>1</v>
      </c>
      <c r="AB30" s="1310">
        <f t="shared" si="4"/>
        <v>1</v>
      </c>
      <c r="AC30" s="1310">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39"/>
      <c r="Q31" s="1307">
        <f t="shared" si="8"/>
        <v>111</v>
      </c>
      <c r="R31" s="1308" t="s">
        <v>8</v>
      </c>
      <c r="S31" s="1309">
        <f t="shared" si="9"/>
        <v>100</v>
      </c>
      <c r="T31" s="1308" t="s">
        <v>8</v>
      </c>
      <c r="U31" s="1309">
        <f t="shared" si="10"/>
        <v>100</v>
      </c>
      <c r="V31" s="1308" t="s">
        <v>8</v>
      </c>
      <c r="W31" s="1309">
        <f t="shared" si="11"/>
        <v>100</v>
      </c>
      <c r="X31" s="1303"/>
      <c r="Y31" s="3639"/>
      <c r="Z31" s="1310">
        <f t="shared" si="12"/>
        <v>111</v>
      </c>
      <c r="AA31" s="1310">
        <f t="shared" si="3"/>
        <v>1</v>
      </c>
      <c r="AB31" s="1310">
        <f t="shared" si="4"/>
        <v>1</v>
      </c>
      <c r="AC31" s="1310">
        <f t="shared" si="5"/>
        <v>1</v>
      </c>
    </row>
    <row r="32" spans="1:29" ht="15">
      <c r="A32" s="2205" t="s">
        <v>2036</v>
      </c>
      <c r="B32" s="156" t="s">
        <v>672</v>
      </c>
      <c r="C32" s="804" t="s">
        <v>3550</v>
      </c>
      <c r="D32" s="546">
        <v>100</v>
      </c>
      <c r="E32" s="805" t="s">
        <v>3550</v>
      </c>
      <c r="F32" s="525">
        <f>SUMIF(100:100,E32,101:101)-SUMIF(100:100,C32,101:101)+100</f>
        <v>100</v>
      </c>
      <c r="G32" s="804" t="s">
        <v>3550</v>
      </c>
      <c r="H32" s="546">
        <f>SUMIF(100:100,G32,101:101)-SUMIF(100:100,C32,101:101)+100</f>
        <v>100</v>
      </c>
      <c r="I32" s="805" t="s">
        <v>3550</v>
      </c>
      <c r="J32" s="490">
        <f>SUMIF(100:100,I32,101:101)-SUMIF(100:100,C32,101:101)+100</f>
        <v>100</v>
      </c>
      <c r="K32" s="794">
        <v>5</v>
      </c>
      <c r="L32" s="1750"/>
      <c r="M32" s="1743"/>
      <c r="N32" s="1743"/>
      <c r="O32" s="1749"/>
      <c r="P32" s="3640" t="s">
        <v>499</v>
      </c>
      <c r="Q32" s="1307" t="str">
        <f t="shared" si="8"/>
        <v>建筑类型</v>
      </c>
      <c r="R32" s="1308" t="s">
        <v>8</v>
      </c>
      <c r="S32" s="1309">
        <f t="shared" si="9"/>
        <v>100</v>
      </c>
      <c r="T32" s="1308" t="s">
        <v>8</v>
      </c>
      <c r="U32" s="1309">
        <f t="shared" si="10"/>
        <v>100</v>
      </c>
      <c r="V32" s="1308" t="s">
        <v>8</v>
      </c>
      <c r="W32" s="1309">
        <f t="shared" si="11"/>
        <v>100</v>
      </c>
      <c r="X32" s="1303"/>
      <c r="Y32" s="3641" t="s">
        <v>499</v>
      </c>
      <c r="Z32" s="1310" t="str">
        <f t="shared" si="12"/>
        <v>建筑类型</v>
      </c>
      <c r="AA32" s="1310">
        <f t="shared" si="3"/>
        <v>1</v>
      </c>
      <c r="AB32" s="1310">
        <f t="shared" si="4"/>
        <v>1</v>
      </c>
      <c r="AC32" s="1310">
        <f t="shared" si="5"/>
        <v>1</v>
      </c>
    </row>
    <row r="33" spans="1:29" s="1134" customFormat="1" ht="15">
      <c r="A33" s="552"/>
      <c r="B33" s="477" t="s">
        <v>673</v>
      </c>
      <c r="C33" s="806">
        <f>'数据-汇总表'!E3</f>
        <v>100027.98000000001</v>
      </c>
      <c r="D33" s="235">
        <v>100</v>
      </c>
      <c r="E33" s="484">
        <v>511492</v>
      </c>
      <c r="F33" s="477">
        <f>LOOKUP(E33,103:103,104:104)-LOOKUP(C33,103:103,104:104)+100</f>
        <v>102</v>
      </c>
      <c r="G33" s="483">
        <v>257598.7</v>
      </c>
      <c r="H33" s="235">
        <f>LOOKUP(G33,103:103,104:104)-LOOKUP(C33,103:103,104:104)+100</f>
        <v>101</v>
      </c>
      <c r="I33" s="484">
        <v>28573</v>
      </c>
      <c r="J33" s="235">
        <f>LOOKUP(I33,103:103,104:104)-LOOKUP(C33,103:103,104:104)+100</f>
        <v>100</v>
      </c>
      <c r="K33" s="795"/>
      <c r="L33" s="1748"/>
      <c r="M33" s="1772"/>
      <c r="N33" s="1772"/>
      <c r="O33" s="1751"/>
      <c r="P33" s="3641"/>
      <c r="Q33" s="819" t="str">
        <f t="shared" si="8"/>
        <v>项目建筑规模</v>
      </c>
      <c r="R33" s="1311" t="s">
        <v>8</v>
      </c>
      <c r="S33" s="1312">
        <f t="shared" si="9"/>
        <v>102</v>
      </c>
      <c r="T33" s="1311" t="s">
        <v>8</v>
      </c>
      <c r="U33" s="1312">
        <f t="shared" si="10"/>
        <v>101</v>
      </c>
      <c r="V33" s="1311" t="s">
        <v>8</v>
      </c>
      <c r="W33" s="1312">
        <f t="shared" si="11"/>
        <v>100</v>
      </c>
      <c r="X33" s="1313"/>
      <c r="Y33" s="3641"/>
      <c r="Z33" s="1314" t="str">
        <f t="shared" si="12"/>
        <v>项目建筑规模</v>
      </c>
      <c r="AA33" s="1310">
        <f t="shared" si="3"/>
        <v>0.98039215686274506</v>
      </c>
      <c r="AB33" s="1310">
        <f t="shared" si="4"/>
        <v>0.99009900990099009</v>
      </c>
      <c r="AC33" s="1310">
        <f t="shared" si="5"/>
        <v>1</v>
      </c>
    </row>
    <row r="34" spans="1:29" ht="15">
      <c r="A34" s="543"/>
      <c r="B34" s="477" t="s">
        <v>674</v>
      </c>
      <c r="C34" s="524" t="s">
        <v>3538</v>
      </c>
      <c r="D34" s="490">
        <v>100</v>
      </c>
      <c r="E34" s="524" t="s">
        <v>3538</v>
      </c>
      <c r="F34" s="525">
        <f>SUMIF(105:105,E34,106:106)-SUMIF(105:105,C34,106:106)+100</f>
        <v>100</v>
      </c>
      <c r="G34" s="524" t="s">
        <v>3538</v>
      </c>
      <c r="H34" s="490">
        <f>SUMIF(105:105,G34,106:106)-SUMIF(105:105,C34,106:106)+100</f>
        <v>100</v>
      </c>
      <c r="I34" s="524" t="s">
        <v>3538</v>
      </c>
      <c r="J34" s="490">
        <f>SUMIF(105:105,I34,106:106)-SUMIF(105:105,C34,106:106)+100</f>
        <v>100</v>
      </c>
      <c r="K34" s="794">
        <v>1</v>
      </c>
      <c r="L34" s="1750"/>
      <c r="M34" s="1743"/>
      <c r="N34" s="1743"/>
      <c r="O34" s="1749"/>
      <c r="P34" s="3641"/>
      <c r="Q34" s="1307" t="str">
        <f t="shared" si="8"/>
        <v>建筑结构</v>
      </c>
      <c r="R34" s="1308" t="s">
        <v>8</v>
      </c>
      <c r="S34" s="1309">
        <f t="shared" si="9"/>
        <v>100</v>
      </c>
      <c r="T34" s="1308" t="s">
        <v>8</v>
      </c>
      <c r="U34" s="1309">
        <f t="shared" si="10"/>
        <v>100</v>
      </c>
      <c r="V34" s="1308" t="s">
        <v>8</v>
      </c>
      <c r="W34" s="1309">
        <f t="shared" si="11"/>
        <v>100</v>
      </c>
      <c r="X34" s="1303"/>
      <c r="Y34" s="3641"/>
      <c r="Z34" s="1310" t="str">
        <f t="shared" si="12"/>
        <v>建筑结构</v>
      </c>
      <c r="AA34" s="1310">
        <f t="shared" si="3"/>
        <v>1</v>
      </c>
      <c r="AB34" s="1310">
        <f t="shared" si="4"/>
        <v>1</v>
      </c>
      <c r="AC34" s="1310">
        <f t="shared" si="5"/>
        <v>1</v>
      </c>
    </row>
    <row r="35" spans="1:29" ht="15">
      <c r="A35" s="543"/>
      <c r="B35" s="477" t="s">
        <v>675</v>
      </c>
      <c r="C35" s="548" t="s">
        <v>3551</v>
      </c>
      <c r="D35" s="490">
        <v>100</v>
      </c>
      <c r="E35" s="548" t="s">
        <v>3551</v>
      </c>
      <c r="F35" s="525">
        <f>SUMIF(107:107,E35,108:108)-SUMIF(107:107,C35,108:108)+100</f>
        <v>100</v>
      </c>
      <c r="G35" s="548" t="s">
        <v>3551</v>
      </c>
      <c r="H35" s="490">
        <f>SUMIF(107:107,G35,108:108)-SUMIF(107:107,C35,108:108)+100</f>
        <v>100</v>
      </c>
      <c r="I35" s="548" t="s">
        <v>3551</v>
      </c>
      <c r="J35" s="490">
        <f>SUMIF(107:107,I35,108:108)-SUMIF(107:107,C35,108:108)+100</f>
        <v>100</v>
      </c>
      <c r="K35" s="794">
        <v>1</v>
      </c>
      <c r="L35" s="1750"/>
      <c r="M35" s="1743"/>
      <c r="N35" s="1743"/>
      <c r="O35" s="1749"/>
      <c r="P35" s="3641"/>
      <c r="Q35" s="1307" t="str">
        <f t="shared" si="8"/>
        <v>建筑品质</v>
      </c>
      <c r="R35" s="1308" t="s">
        <v>8</v>
      </c>
      <c r="S35" s="1309">
        <f t="shared" si="9"/>
        <v>100</v>
      </c>
      <c r="T35" s="1308" t="s">
        <v>8</v>
      </c>
      <c r="U35" s="1309">
        <f t="shared" si="10"/>
        <v>100</v>
      </c>
      <c r="V35" s="1308" t="s">
        <v>8</v>
      </c>
      <c r="W35" s="1309">
        <f t="shared" si="11"/>
        <v>100</v>
      </c>
      <c r="X35" s="1303"/>
      <c r="Y35" s="3641"/>
      <c r="Z35" s="1310" t="str">
        <f t="shared" si="12"/>
        <v>建筑品质</v>
      </c>
      <c r="AA35" s="1310">
        <f t="shared" si="3"/>
        <v>1</v>
      </c>
      <c r="AB35" s="1310">
        <f t="shared" si="4"/>
        <v>1</v>
      </c>
      <c r="AC35" s="1310">
        <f t="shared" si="5"/>
        <v>1</v>
      </c>
    </row>
    <row r="36" spans="1:29" ht="15">
      <c r="A36" s="543"/>
      <c r="B36" s="477" t="s">
        <v>676</v>
      </c>
      <c r="C36" s="548" t="s">
        <v>3532</v>
      </c>
      <c r="D36" s="490">
        <v>100</v>
      </c>
      <c r="E36" s="548" t="s">
        <v>3532</v>
      </c>
      <c r="F36" s="525">
        <f>SUMIF(109:109,E36,110:110)-SUMIF(109:109,C36,110:110)+100</f>
        <v>100</v>
      </c>
      <c r="G36" s="548" t="s">
        <v>3532</v>
      </c>
      <c r="H36" s="490">
        <f>SUMIF(109:109,G36,110:110)-SUMIF(109:109,C36,110:110)+100</f>
        <v>100</v>
      </c>
      <c r="I36" s="548" t="s">
        <v>3532</v>
      </c>
      <c r="J36" s="490">
        <f>SUMIF(109:109,I36,110:110)-SUMIF(109:109,C36,110:110)+100</f>
        <v>100</v>
      </c>
      <c r="K36" s="794">
        <v>1</v>
      </c>
      <c r="L36" s="1750"/>
      <c r="M36" s="1743"/>
      <c r="N36" s="1743"/>
      <c r="O36" s="1749"/>
      <c r="P36" s="3641"/>
      <c r="Q36" s="1307" t="str">
        <f t="shared" si="8"/>
        <v>公共部分装修</v>
      </c>
      <c r="R36" s="1308" t="s">
        <v>8</v>
      </c>
      <c r="S36" s="1309">
        <f t="shared" si="9"/>
        <v>100</v>
      </c>
      <c r="T36" s="1308" t="s">
        <v>8</v>
      </c>
      <c r="U36" s="1309">
        <f t="shared" si="10"/>
        <v>100</v>
      </c>
      <c r="V36" s="1308" t="s">
        <v>8</v>
      </c>
      <c r="W36" s="1309">
        <f t="shared" si="11"/>
        <v>100</v>
      </c>
      <c r="X36" s="1303"/>
      <c r="Y36" s="3641"/>
      <c r="Z36" s="1310" t="str">
        <f t="shared" si="12"/>
        <v>公共部分装修</v>
      </c>
      <c r="AA36" s="1310">
        <f t="shared" si="3"/>
        <v>1</v>
      </c>
      <c r="AB36" s="1310">
        <f t="shared" si="4"/>
        <v>1</v>
      </c>
      <c r="AC36" s="1310">
        <f t="shared" si="5"/>
        <v>1</v>
      </c>
    </row>
    <row r="37" spans="1:29" s="1060" customFormat="1" ht="15">
      <c r="A37" s="549"/>
      <c r="B37" s="477" t="s">
        <v>677</v>
      </c>
      <c r="C37" s="808">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v>1</v>
      </c>
      <c r="L37" s="1744"/>
      <c r="M37" s="1641"/>
      <c r="N37" s="1641"/>
      <c r="O37" s="1745"/>
      <c r="P37" s="3641"/>
      <c r="Q37" s="818" t="str">
        <f t="shared" si="8"/>
        <v>成新度</v>
      </c>
      <c r="R37" s="1304" t="s">
        <v>8</v>
      </c>
      <c r="S37" s="1305">
        <f t="shared" si="9"/>
        <v>100</v>
      </c>
      <c r="T37" s="1304" t="s">
        <v>8</v>
      </c>
      <c r="U37" s="1305">
        <f t="shared" si="10"/>
        <v>100</v>
      </c>
      <c r="V37" s="1304" t="s">
        <v>8</v>
      </c>
      <c r="W37" s="1305">
        <f t="shared" si="11"/>
        <v>100</v>
      </c>
      <c r="X37" s="1306"/>
      <c r="Y37" s="3641"/>
      <c r="Z37" s="997" t="str">
        <f t="shared" si="12"/>
        <v>成新度</v>
      </c>
      <c r="AA37" s="997">
        <f t="shared" si="3"/>
        <v>1</v>
      </c>
      <c r="AB37" s="997">
        <f t="shared" si="4"/>
        <v>1</v>
      </c>
      <c r="AC37" s="997">
        <f t="shared" si="5"/>
        <v>1</v>
      </c>
    </row>
    <row r="38" spans="1:29" ht="15">
      <c r="A38" s="543"/>
      <c r="B38" s="477" t="s">
        <v>678</v>
      </c>
      <c r="C38" s="548" t="s">
        <v>3552</v>
      </c>
      <c r="D38" s="490">
        <v>100</v>
      </c>
      <c r="E38" s="548" t="s">
        <v>3552</v>
      </c>
      <c r="F38" s="525">
        <f>SUMIF(114:114,E38,115:115)-SUMIF(114:114,C38,115:115)+100</f>
        <v>100</v>
      </c>
      <c r="G38" s="548" t="s">
        <v>3552</v>
      </c>
      <c r="H38" s="490">
        <f>SUMIF(114:114,G38,115:115)-SUMIF(114:114,C38,115:115)+100</f>
        <v>100</v>
      </c>
      <c r="I38" s="548" t="s">
        <v>3552</v>
      </c>
      <c r="J38" s="490">
        <f>SUMIF(114:114,I38,115:115)-SUMIF(114:114,C38,115:115)+100</f>
        <v>100</v>
      </c>
      <c r="K38" s="794">
        <v>1</v>
      </c>
      <c r="L38" s="1750"/>
      <c r="M38" s="1743"/>
      <c r="N38" s="1743"/>
      <c r="O38" s="1749"/>
      <c r="P38" s="3641" t="s">
        <v>499</v>
      </c>
      <c r="Q38" s="1307" t="str">
        <f t="shared" si="8"/>
        <v>物业管理</v>
      </c>
      <c r="R38" s="1308" t="s">
        <v>8</v>
      </c>
      <c r="S38" s="1309">
        <f t="shared" si="9"/>
        <v>100</v>
      </c>
      <c r="T38" s="1308" t="s">
        <v>8</v>
      </c>
      <c r="U38" s="1309">
        <f t="shared" si="10"/>
        <v>100</v>
      </c>
      <c r="V38" s="1308" t="s">
        <v>8</v>
      </c>
      <c r="W38" s="1309">
        <f t="shared" si="11"/>
        <v>100</v>
      </c>
      <c r="X38" s="1303"/>
      <c r="Y38" s="3641" t="s">
        <v>499</v>
      </c>
      <c r="Z38" s="1310" t="str">
        <f t="shared" si="12"/>
        <v>物业管理</v>
      </c>
      <c r="AA38" s="1310">
        <f t="shared" si="3"/>
        <v>1</v>
      </c>
      <c r="AB38" s="1310">
        <f t="shared" si="4"/>
        <v>1</v>
      </c>
      <c r="AC38" s="1310">
        <f t="shared" si="5"/>
        <v>1</v>
      </c>
    </row>
    <row r="39" spans="1:29" ht="15">
      <c r="A39" s="543"/>
      <c r="B39" s="1555" t="s">
        <v>1847</v>
      </c>
      <c r="C39" s="548" t="s">
        <v>3430</v>
      </c>
      <c r="D39" s="490">
        <v>100</v>
      </c>
      <c r="E39" s="548" t="s">
        <v>3430</v>
      </c>
      <c r="F39" s="525">
        <f>SUMIF(116:116,E39,117:117)-SUMIF(116:116,C39,117:117)+100</f>
        <v>100</v>
      </c>
      <c r="G39" s="548" t="s">
        <v>3430</v>
      </c>
      <c r="H39" s="490">
        <f>SUMIF(116:116,G39,117:117)-SUMIF(116:116,C39,117:117)+100</f>
        <v>100</v>
      </c>
      <c r="I39" s="548" t="s">
        <v>3430</v>
      </c>
      <c r="J39" s="490">
        <f>SUMIF(116:116,I39,117:117)-SUMIF(116:116,C39,117:117)+100</f>
        <v>100</v>
      </c>
      <c r="K39" s="794">
        <v>1</v>
      </c>
      <c r="L39" s="1750"/>
      <c r="M39" s="1743"/>
      <c r="N39" s="1743"/>
      <c r="O39" s="1749"/>
      <c r="P39" s="3641"/>
      <c r="Q39" s="1307" t="str">
        <f t="shared" si="8"/>
        <v>市政基础设施</v>
      </c>
      <c r="R39" s="1308" t="s">
        <v>8</v>
      </c>
      <c r="S39" s="1309">
        <f t="shared" si="9"/>
        <v>100</v>
      </c>
      <c r="T39" s="1308" t="s">
        <v>8</v>
      </c>
      <c r="U39" s="1309">
        <f t="shared" si="10"/>
        <v>100</v>
      </c>
      <c r="V39" s="1308" t="s">
        <v>8</v>
      </c>
      <c r="W39" s="1309">
        <f t="shared" si="11"/>
        <v>100</v>
      </c>
      <c r="X39" s="1303"/>
      <c r="Y39" s="3641"/>
      <c r="Z39" s="1310" t="str">
        <f t="shared" si="12"/>
        <v>市政基础设施</v>
      </c>
      <c r="AA39" s="1310">
        <f t="shared" si="3"/>
        <v>1</v>
      </c>
      <c r="AB39" s="1310">
        <f t="shared" si="4"/>
        <v>1</v>
      </c>
      <c r="AC39" s="1310">
        <f t="shared" si="5"/>
        <v>1</v>
      </c>
    </row>
    <row r="40" spans="1:29" ht="15">
      <c r="A40" s="543"/>
      <c r="B40" s="477" t="s">
        <v>679</v>
      </c>
      <c r="C40" s="548" t="s">
        <v>3553</v>
      </c>
      <c r="D40" s="490">
        <v>100</v>
      </c>
      <c r="E40" s="548" t="s">
        <v>3553</v>
      </c>
      <c r="F40" s="525">
        <f>SUMIF(118:118,E40,119:119)-SUMIF(118:118,C40,119:119)+100</f>
        <v>100</v>
      </c>
      <c r="G40" s="548" t="s">
        <v>3553</v>
      </c>
      <c r="H40" s="490">
        <f>SUMIF(118:118,G40,119:119)-SUMIF(118:118,C40,119:119)+100</f>
        <v>100</v>
      </c>
      <c r="I40" s="548" t="s">
        <v>3553</v>
      </c>
      <c r="J40" s="490">
        <f>SUMIF(118:118,I40,119:119)-SUMIF(118:118,C40,119:119)+100</f>
        <v>100</v>
      </c>
      <c r="K40" s="794">
        <v>1</v>
      </c>
      <c r="L40" s="1750"/>
      <c r="M40" s="1743"/>
      <c r="N40" s="1743"/>
      <c r="O40" s="1749"/>
      <c r="P40" s="3641"/>
      <c r="Q40" s="1307" t="str">
        <f t="shared" si="8"/>
        <v>房型</v>
      </c>
      <c r="R40" s="1308" t="s">
        <v>8</v>
      </c>
      <c r="S40" s="1309">
        <f t="shared" si="9"/>
        <v>100</v>
      </c>
      <c r="T40" s="1308" t="s">
        <v>8</v>
      </c>
      <c r="U40" s="1309">
        <f t="shared" si="10"/>
        <v>100</v>
      </c>
      <c r="V40" s="1308" t="s">
        <v>8</v>
      </c>
      <c r="W40" s="1309">
        <f t="shared" si="11"/>
        <v>100</v>
      </c>
      <c r="X40" s="1303"/>
      <c r="Y40" s="3641"/>
      <c r="Z40" s="1310" t="str">
        <f t="shared" si="12"/>
        <v>房型</v>
      </c>
      <c r="AA40" s="1310">
        <f t="shared" si="3"/>
        <v>1</v>
      </c>
      <c r="AB40" s="1310">
        <f t="shared" si="4"/>
        <v>1</v>
      </c>
      <c r="AC40" s="1310">
        <f t="shared" si="5"/>
        <v>1</v>
      </c>
    </row>
    <row r="41" spans="1:29" s="1134" customFormat="1" ht="28.5" hidden="1">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41"/>
      <c r="Q41" s="819" t="str">
        <f t="shared" si="8"/>
        <v>单套/主力户型建筑面积</v>
      </c>
      <c r="R41" s="1311" t="s">
        <v>8</v>
      </c>
      <c r="S41" s="1312">
        <f t="shared" si="9"/>
        <v>100</v>
      </c>
      <c r="T41" s="1311" t="s">
        <v>8</v>
      </c>
      <c r="U41" s="1312">
        <f t="shared" si="10"/>
        <v>100</v>
      </c>
      <c r="V41" s="1311" t="s">
        <v>8</v>
      </c>
      <c r="W41" s="1312">
        <f t="shared" si="11"/>
        <v>100</v>
      </c>
      <c r="X41" s="1313"/>
      <c r="Y41" s="3641"/>
      <c r="Z41" s="1314" t="str">
        <f t="shared" si="12"/>
        <v>单套/主力户型建筑面积</v>
      </c>
      <c r="AA41" s="1310">
        <f t="shared" si="3"/>
        <v>1</v>
      </c>
      <c r="AB41" s="1310">
        <f t="shared" si="4"/>
        <v>1</v>
      </c>
      <c r="AC41" s="1310">
        <f t="shared" si="5"/>
        <v>1</v>
      </c>
    </row>
    <row r="42" spans="1:29" ht="15">
      <c r="A42" s="543"/>
      <c r="B42" s="477" t="s">
        <v>681</v>
      </c>
      <c r="C42" s="548" t="s">
        <v>3535</v>
      </c>
      <c r="D42" s="490">
        <v>100</v>
      </c>
      <c r="E42" s="548" t="s">
        <v>3532</v>
      </c>
      <c r="F42" s="525">
        <f>SUMIF(122:122,E42,123:123)-SUMIF(122:122,C42,123:123)+100</f>
        <v>103</v>
      </c>
      <c r="G42" s="548" t="s">
        <v>3535</v>
      </c>
      <c r="H42" s="490">
        <f>SUMIF(122:122,G42,123:123)-SUMIF(122:122,C42,123:123)+100</f>
        <v>100</v>
      </c>
      <c r="I42" s="548" t="s">
        <v>3532</v>
      </c>
      <c r="J42" s="490">
        <f>SUMIF(122:122,I42,123:123)-SUMIF(122:122,C42,123:123)+100</f>
        <v>103</v>
      </c>
      <c r="K42" s="794">
        <v>1</v>
      </c>
      <c r="L42" s="1750"/>
      <c r="M42" s="1743"/>
      <c r="N42" s="1743"/>
      <c r="O42" s="1749"/>
      <c r="P42" s="3641"/>
      <c r="Q42" s="1307" t="str">
        <f t="shared" si="8"/>
        <v>内部装修</v>
      </c>
      <c r="R42" s="1308" t="s">
        <v>8</v>
      </c>
      <c r="S42" s="1309">
        <f t="shared" si="9"/>
        <v>103</v>
      </c>
      <c r="T42" s="1308" t="s">
        <v>8</v>
      </c>
      <c r="U42" s="1309">
        <f t="shared" si="10"/>
        <v>100</v>
      </c>
      <c r="V42" s="1308" t="s">
        <v>8</v>
      </c>
      <c r="W42" s="1309">
        <f t="shared" si="11"/>
        <v>103</v>
      </c>
      <c r="X42" s="1303"/>
      <c r="Y42" s="3641"/>
      <c r="Z42" s="1310" t="str">
        <f t="shared" si="12"/>
        <v>内部装修</v>
      </c>
      <c r="AA42" s="1310">
        <f t="shared" si="3"/>
        <v>0.970873786407767</v>
      </c>
      <c r="AB42" s="1310">
        <f t="shared" si="4"/>
        <v>1</v>
      </c>
      <c r="AC42" s="1310">
        <f t="shared" si="5"/>
        <v>0.970873786407767</v>
      </c>
    </row>
    <row r="43" spans="1:29" ht="27.75" thickBot="1">
      <c r="A43" s="543"/>
      <c r="B43" s="477" t="s">
        <v>682</v>
      </c>
      <c r="C43" s="548" t="s">
        <v>3431</v>
      </c>
      <c r="D43" s="490">
        <v>100</v>
      </c>
      <c r="E43" s="548" t="s">
        <v>3431</v>
      </c>
      <c r="F43" s="525">
        <f>SUMIF(124:124,E43,125:125)-SUMIF(124:124,C43,125:125)+100</f>
        <v>100</v>
      </c>
      <c r="G43" s="548" t="s">
        <v>3431</v>
      </c>
      <c r="H43" s="490">
        <f>SUMIF(124:124,G43,125:125)-SUMIF(124:124,C43,125:125)+100</f>
        <v>100</v>
      </c>
      <c r="I43" s="548" t="s">
        <v>3431</v>
      </c>
      <c r="J43" s="490">
        <f>SUMIF(124:124,I43,125:125)-SUMIF(124:124,C43,125:125)+100</f>
        <v>100</v>
      </c>
      <c r="K43" s="794">
        <v>1</v>
      </c>
      <c r="L43" s="1750"/>
      <c r="M43" s="1743"/>
      <c r="N43" s="1743"/>
      <c r="O43" s="1749"/>
      <c r="P43" s="3641"/>
      <c r="Q43" s="1307" t="str">
        <f t="shared" si="8"/>
        <v>内部装修维护情况</v>
      </c>
      <c r="R43" s="1308" t="s">
        <v>8</v>
      </c>
      <c r="S43" s="1309">
        <f t="shared" si="9"/>
        <v>100</v>
      </c>
      <c r="T43" s="1308" t="s">
        <v>8</v>
      </c>
      <c r="U43" s="1309">
        <f t="shared" si="10"/>
        <v>100</v>
      </c>
      <c r="V43" s="1308" t="s">
        <v>8</v>
      </c>
      <c r="W43" s="1309">
        <f t="shared" si="11"/>
        <v>100</v>
      </c>
      <c r="X43" s="1303"/>
      <c r="Y43" s="3641"/>
      <c r="Z43" s="1310" t="str">
        <f t="shared" si="12"/>
        <v>内部装修维护情况</v>
      </c>
      <c r="AA43" s="1310">
        <f t="shared" si="3"/>
        <v>1</v>
      </c>
      <c r="AB43" s="1310">
        <f t="shared" si="4"/>
        <v>1</v>
      </c>
      <c r="AC43" s="1310">
        <f t="shared" si="5"/>
        <v>1</v>
      </c>
    </row>
    <row r="44" spans="1:29" s="1060" customFormat="1" ht="15" hidden="1">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41"/>
      <c r="Q44" s="818">
        <f t="shared" si="8"/>
        <v>111</v>
      </c>
      <c r="R44" s="1304" t="s">
        <v>8</v>
      </c>
      <c r="S44" s="1305">
        <f t="shared" si="9"/>
        <v>100</v>
      </c>
      <c r="T44" s="1304" t="s">
        <v>8</v>
      </c>
      <c r="U44" s="1305">
        <f t="shared" si="10"/>
        <v>100</v>
      </c>
      <c r="V44" s="1304" t="s">
        <v>8</v>
      </c>
      <c r="W44" s="1305">
        <f t="shared" si="11"/>
        <v>100</v>
      </c>
      <c r="X44" s="1306"/>
      <c r="Y44" s="3641"/>
      <c r="Z44" s="997">
        <f t="shared" si="12"/>
        <v>111</v>
      </c>
      <c r="AA44" s="997">
        <f t="shared" si="3"/>
        <v>1</v>
      </c>
      <c r="AB44" s="997">
        <f t="shared" si="4"/>
        <v>1</v>
      </c>
      <c r="AC44" s="997">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41"/>
      <c r="Q45" s="1307">
        <f t="shared" si="8"/>
        <v>111</v>
      </c>
      <c r="R45" s="1308" t="s">
        <v>8</v>
      </c>
      <c r="S45" s="1309">
        <f t="shared" si="9"/>
        <v>100</v>
      </c>
      <c r="T45" s="1308" t="s">
        <v>8</v>
      </c>
      <c r="U45" s="1309">
        <f t="shared" si="10"/>
        <v>100</v>
      </c>
      <c r="V45" s="1308" t="s">
        <v>8</v>
      </c>
      <c r="W45" s="1309">
        <f t="shared" si="11"/>
        <v>100</v>
      </c>
      <c r="X45" s="1303"/>
      <c r="Y45" s="3641"/>
      <c r="Z45" s="1310">
        <f t="shared" si="12"/>
        <v>111</v>
      </c>
      <c r="AA45" s="1310">
        <f t="shared" si="3"/>
        <v>1</v>
      </c>
      <c r="AB45" s="1310">
        <f t="shared" si="4"/>
        <v>1</v>
      </c>
      <c r="AC45" s="1310">
        <f t="shared" si="5"/>
        <v>1</v>
      </c>
    </row>
    <row r="46" spans="1:29" ht="15.75" hidden="1"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47"/>
      <c r="Q46" s="1307">
        <f t="shared" si="8"/>
        <v>111</v>
      </c>
      <c r="R46" s="1308" t="s">
        <v>7</v>
      </c>
      <c r="S46" s="1309">
        <f t="shared" si="9"/>
        <v>100</v>
      </c>
      <c r="T46" s="1308" t="s">
        <v>7</v>
      </c>
      <c r="U46" s="1309">
        <f t="shared" si="10"/>
        <v>100</v>
      </c>
      <c r="V46" s="1308" t="s">
        <v>7</v>
      </c>
      <c r="W46" s="1309">
        <f t="shared" si="11"/>
        <v>100</v>
      </c>
      <c r="X46" s="1303"/>
      <c r="Y46" s="3747"/>
      <c r="Z46" s="1310">
        <f t="shared" si="12"/>
        <v>111</v>
      </c>
      <c r="AA46" s="1310">
        <f t="shared" si="3"/>
        <v>1</v>
      </c>
      <c r="AB46" s="1310">
        <f t="shared" si="4"/>
        <v>1</v>
      </c>
      <c r="AC46" s="1310">
        <f t="shared" si="5"/>
        <v>1</v>
      </c>
    </row>
    <row r="47" spans="1:29" ht="15">
      <c r="A47" s="556" t="s">
        <v>683</v>
      </c>
      <c r="B47" s="812"/>
      <c r="C47" s="2082" t="s">
        <v>6</v>
      </c>
      <c r="D47" s="559"/>
      <c r="E47" s="560">
        <f>旭辉天府未来城!D16</f>
        <v>9472</v>
      </c>
      <c r="F47" s="561"/>
      <c r="G47" s="562">
        <f>天府映屿!D16</f>
        <v>10097</v>
      </c>
      <c r="H47" s="563"/>
      <c r="I47" s="560">
        <f>天府龙智壹号小区!D16</f>
        <v>10474</v>
      </c>
      <c r="J47" s="563"/>
      <c r="K47" s="1332"/>
      <c r="L47" s="1752"/>
      <c r="M47" s="1743"/>
      <c r="N47" s="1743"/>
      <c r="O47" s="1743"/>
      <c r="P47" s="3636" t="str">
        <f>A47</f>
        <v>成交单价（元/平方米）</v>
      </c>
      <c r="Q47" s="3636"/>
      <c r="R47" s="3652">
        <f>E47</f>
        <v>9472</v>
      </c>
      <c r="S47" s="3652"/>
      <c r="T47" s="3652">
        <f>G47</f>
        <v>10097</v>
      </c>
      <c r="U47" s="3652"/>
      <c r="V47" s="3652">
        <f>I47</f>
        <v>10474</v>
      </c>
      <c r="W47" s="3652"/>
      <c r="X47" s="799"/>
      <c r="Y47" s="1315"/>
      <c r="Z47" s="799"/>
      <c r="AA47" s="799"/>
      <c r="AB47" s="799"/>
      <c r="AC47" s="799"/>
    </row>
    <row r="48" spans="1:29" ht="15.75" thickBot="1">
      <c r="A48" s="564" t="s">
        <v>2041</v>
      </c>
      <c r="B48" s="813"/>
      <c r="C48" s="2083">
        <f>R49</f>
        <v>8417</v>
      </c>
      <c r="D48" s="2551" t="s">
        <v>2250</v>
      </c>
      <c r="E48" s="2084">
        <f>R48</f>
        <v>7854</v>
      </c>
      <c r="F48" s="2552"/>
      <c r="G48" s="2083">
        <f>T48</f>
        <v>8709</v>
      </c>
      <c r="H48" s="2552"/>
      <c r="I48" s="2084">
        <f>V48</f>
        <v>8688</v>
      </c>
      <c r="J48" s="2552"/>
      <c r="K48" s="2559">
        <f>F48+H48+J48</f>
        <v>0</v>
      </c>
      <c r="L48" s="1752"/>
      <c r="M48" s="1743"/>
      <c r="N48" s="1743"/>
      <c r="O48" s="1743"/>
      <c r="P48" s="3636" t="str">
        <f>A48</f>
        <v>比较价格（元/平方米）</v>
      </c>
      <c r="Q48" s="3636"/>
      <c r="R48" s="3652">
        <f>IF(F1="售价",ROUND(PRODUCT(R47,AA7:AA46),0),ROUND(PRODUCT(R47,AA7:AA46),1))</f>
        <v>7854</v>
      </c>
      <c r="S48" s="3652"/>
      <c r="T48" s="3652">
        <f>IF(F1="售价",ROUND(PRODUCT(T47,AB7:AB46),0),ROUND(PRODUCT(T47,AB7:AB46),1))</f>
        <v>8709</v>
      </c>
      <c r="U48" s="3652"/>
      <c r="V48" s="3652">
        <f>IF(F1="售价",ROUND(PRODUCT(V47,AC7:AC46),0),ROUND(PRODUCT(V47,AC7:AC46),1))</f>
        <v>8688</v>
      </c>
      <c r="W48" s="3652"/>
      <c r="X48" s="799"/>
      <c r="Y48" s="799"/>
      <c r="Z48" s="799"/>
      <c r="AA48" s="799"/>
      <c r="AB48" s="799"/>
      <c r="AC48" s="799"/>
    </row>
    <row r="49" spans="1:29" ht="15.75" thickBot="1">
      <c r="A49" s="568" t="s">
        <v>2187</v>
      </c>
      <c r="B49" s="569"/>
      <c r="C49" s="469">
        <f>R49</f>
        <v>8417</v>
      </c>
      <c r="D49" s="469"/>
      <c r="E49" s="469"/>
      <c r="F49" s="469"/>
      <c r="G49" s="469"/>
      <c r="H49" s="469"/>
      <c r="I49" s="469"/>
      <c r="J49" s="469"/>
      <c r="K49" s="1333"/>
      <c r="L49" s="1752"/>
      <c r="M49" s="1743"/>
      <c r="N49" s="1743"/>
      <c r="O49" s="1743"/>
      <c r="P49" s="3642" t="str">
        <f>A49</f>
        <v>估价对象XX用房的比较价格（楼面单价，元/平方米）</v>
      </c>
      <c r="Q49" s="3643"/>
      <c r="R49" s="3746">
        <f>IF(F1="售价",ROUND(IF(D48="简单平均",AVERAGE(R48:V48),R48*F48+T48*H48+V48*J48),0),ROUND(IF(D48="简单平均",AVERAGE(R48:V48),R48*F48+T48*H48+V48*J48),1))</f>
        <v>8417</v>
      </c>
      <c r="S49" s="3746"/>
      <c r="T49" s="3746"/>
      <c r="U49" s="3746"/>
      <c r="V49" s="3746"/>
      <c r="W49" s="3746"/>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f>IF(E47&lt;E48,E48/E47-1,E47/E48-1)</f>
        <v>0.20600967659791181</v>
      </c>
      <c r="F52" s="574" t="str">
        <f>IF(OR(E52&gt;=0.3,E52&lt;=-0.3),"超过30%","")</f>
        <v/>
      </c>
      <c r="G52" s="573">
        <f>IF(G47&lt;G48,G48/G47-1,G47/G48-1)</f>
        <v>0.15937535882420484</v>
      </c>
      <c r="H52" s="574" t="str">
        <f>IF(OR(G52&gt;=0.3,G52&lt;=-0.3),"超过30%","")</f>
        <v/>
      </c>
      <c r="I52" s="573">
        <f>IF(I47&lt;I48,I48/I47-1,I47/I48-1)</f>
        <v>0.2055709023941068</v>
      </c>
      <c r="J52" s="574" t="str">
        <f>IF(OR(I52&gt;=0.3,I52&lt;=-0.3),"超过30%","")</f>
        <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f>IF(E48&lt;G48,G48/E48-1,E48/G48-1)</f>
        <v>0.10886172650878523</v>
      </c>
      <c r="F53" s="574" t="str">
        <f>IF(OR(E53&gt;=0.2,E53&lt;=-0.2),"超过20%","")</f>
        <v/>
      </c>
      <c r="G53" s="573">
        <f>IF(G48&lt;I48,I48/G48-1,G48/I48-1)</f>
        <v>2.4171270718231774E-3</v>
      </c>
      <c r="H53" s="574" t="str">
        <f>IF(OR(G53&gt;=0.2,G53&lt;=-0.2),"超过20%","")</f>
        <v/>
      </c>
      <c r="I53" s="573">
        <f>IF(I48&lt;E48,E48/I48-1,I48/E48-1)</f>
        <v>0.10618792971734159</v>
      </c>
      <c r="J53" s="574" t="str">
        <f>IF(OR(I53&gt;=0.2,I53&lt;=-0.2),"超过20%","")</f>
        <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f>IF(E47&lt;G47,G47/E47-1,E47/G47-1)</f>
        <v>6.5983952702702631E-2</v>
      </c>
      <c r="F54" s="574" t="str">
        <f>IF(OR(E54&gt;=0.3,E54&lt;=-0.3),"超过30%","")</f>
        <v/>
      </c>
      <c r="G54" s="573">
        <f>IF(G47&lt;I47,I47/G47-1,G47/I47-1)</f>
        <v>3.7337823115777047E-2</v>
      </c>
      <c r="H54" s="574" t="str">
        <f>IF(OR(G54&gt;=0.3,G54&lt;=-0.3),"超过30%","")</f>
        <v/>
      </c>
      <c r="I54" s="573">
        <f>IF(I47&lt;E47,E47/I47-1,I47/E47-1)</f>
        <v>0.10578547297297303</v>
      </c>
      <c r="J54" s="574" t="str">
        <f>IF(OR(I54&gt;=0.3,I54&lt;=-0.3),"超过30%","")</f>
        <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2025-12</v>
      </c>
      <c r="D58" s="2116">
        <f>EDATE(C58,-1)</f>
        <v>45962</v>
      </c>
      <c r="E58" s="2116">
        <f t="shared" ref="E58:O58" si="13">EDATE(D58,-1)</f>
        <v>45931</v>
      </c>
      <c r="F58" s="2116">
        <f t="shared" si="13"/>
        <v>45901</v>
      </c>
      <c r="G58" s="2116">
        <f t="shared" si="13"/>
        <v>45870</v>
      </c>
      <c r="H58" s="2116">
        <f t="shared" si="13"/>
        <v>45839</v>
      </c>
      <c r="I58" s="2116">
        <f t="shared" si="13"/>
        <v>45809</v>
      </c>
      <c r="J58" s="2116">
        <f t="shared" si="13"/>
        <v>45778</v>
      </c>
      <c r="K58" s="2116">
        <f t="shared" si="13"/>
        <v>45748</v>
      </c>
      <c r="L58" s="2116">
        <f t="shared" si="13"/>
        <v>45717</v>
      </c>
      <c r="M58" s="2116">
        <f t="shared" si="13"/>
        <v>45689</v>
      </c>
      <c r="N58" s="2116">
        <f t="shared" si="13"/>
        <v>45658</v>
      </c>
      <c r="O58" s="2116">
        <f t="shared" si="13"/>
        <v>45627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t="str">
        <f>C9</f>
        <v>住宅</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v>0</v>
      </c>
      <c r="D68" s="491">
        <v>1</v>
      </c>
      <c r="E68" s="491">
        <v>2</v>
      </c>
      <c r="F68" s="491">
        <v>3</v>
      </c>
      <c r="G68" s="491">
        <v>4</v>
      </c>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97</v>
      </c>
      <c r="E77" s="621">
        <f>D77-$K15</f>
        <v>94</v>
      </c>
      <c r="F77" s="621">
        <f>E77-$K15</f>
        <v>91</v>
      </c>
      <c r="G77" s="621">
        <f>F77-$K15</f>
        <v>88</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98</v>
      </c>
      <c r="E79" s="621">
        <f>D79-$K17</f>
        <v>96</v>
      </c>
      <c r="F79" s="621">
        <f>E79-$K17</f>
        <v>94</v>
      </c>
      <c r="G79" s="621">
        <f>F79-$K17</f>
        <v>92</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98</v>
      </c>
      <c r="E81" s="621">
        <f>D81-$K19</f>
        <v>96</v>
      </c>
      <c r="F81" s="621">
        <f>E81-$K19</f>
        <v>94</v>
      </c>
      <c r="G81" s="621">
        <f>F81-$K19</f>
        <v>92</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96</v>
      </c>
      <c r="E83" s="621">
        <f>D83-$K21</f>
        <v>92</v>
      </c>
      <c r="F83" s="621">
        <f>E83-$K21</f>
        <v>88</v>
      </c>
      <c r="G83" s="621">
        <f>F83-$K21</f>
        <v>84</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97</v>
      </c>
      <c r="E85" s="621">
        <f>D85-$K23</f>
        <v>94</v>
      </c>
      <c r="F85" s="621">
        <f>E85-$K23</f>
        <v>91</v>
      </c>
      <c r="G85" s="621">
        <f>F85-$K23</f>
        <v>88</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3415" t="s">
        <v>3545</v>
      </c>
      <c r="D100" s="3415" t="s">
        <v>1619</v>
      </c>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95</v>
      </c>
      <c r="E101" s="621">
        <f t="shared" si="18"/>
        <v>90</v>
      </c>
      <c r="F101" s="621">
        <f t="shared" si="18"/>
        <v>85</v>
      </c>
      <c r="G101" s="621">
        <f t="shared" si="18"/>
        <v>80</v>
      </c>
      <c r="H101" s="621">
        <f t="shared" si="18"/>
        <v>75</v>
      </c>
      <c r="I101" s="621">
        <f t="shared" si="18"/>
        <v>70</v>
      </c>
      <c r="J101" s="621">
        <f t="shared" si="18"/>
        <v>65</v>
      </c>
      <c r="K101" s="621">
        <f t="shared" si="18"/>
        <v>60</v>
      </c>
      <c r="L101" s="621">
        <f t="shared" si="18"/>
        <v>55</v>
      </c>
      <c r="M101" s="621">
        <f t="shared" si="18"/>
        <v>50</v>
      </c>
      <c r="N101" s="1769"/>
      <c r="O101" s="1769"/>
      <c r="P101" s="1767"/>
      <c r="Q101" s="1764"/>
      <c r="R101" s="1743"/>
      <c r="S101" s="1743"/>
      <c r="T101" s="1743"/>
      <c r="U101" s="1743"/>
      <c r="V101" s="1743"/>
      <c r="W101" s="1743"/>
      <c r="X101" s="1743"/>
      <c r="Y101" s="1743"/>
      <c r="Z101" s="1743"/>
      <c r="AA101" s="1743"/>
      <c r="AB101" s="1743"/>
      <c r="AC101" s="1743"/>
    </row>
    <row r="102" spans="1:29" ht="29.25" thickTop="1">
      <c r="A102" s="482"/>
      <c r="B102" s="615" t="s">
        <v>688</v>
      </c>
      <c r="C102" s="649" t="str">
        <f>C103&amp;"(含)"&amp;"-"&amp;D103</f>
        <v>0(含)-200000</v>
      </c>
      <c r="D102" s="649" t="str">
        <f t="shared" ref="D102:L102" si="19">D103&amp;"(含)"&amp;"-"&amp;E103</f>
        <v>200000(含)-400000</v>
      </c>
      <c r="E102" s="649" t="str">
        <f t="shared" si="19"/>
        <v>400000(含)-600000</v>
      </c>
      <c r="F102" s="649" t="str">
        <f t="shared" si="19"/>
        <v>600000(含)-800000</v>
      </c>
      <c r="G102" s="649" t="str">
        <f t="shared" si="19"/>
        <v>800000(含)-1000000</v>
      </c>
      <c r="H102" s="649" t="str">
        <f t="shared" si="19"/>
        <v>1000000(含)-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v>0</v>
      </c>
      <c r="D103" s="79">
        <v>200000</v>
      </c>
      <c r="E103" s="79">
        <v>400000</v>
      </c>
      <c r="F103" s="79">
        <v>600000</v>
      </c>
      <c r="G103" s="79">
        <v>800000</v>
      </c>
      <c r="H103" s="79">
        <v>1000000</v>
      </c>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v>100</v>
      </c>
      <c r="D104" s="613">
        <v>101</v>
      </c>
      <c r="E104" s="634">
        <v>102</v>
      </c>
      <c r="F104" s="613">
        <v>103</v>
      </c>
      <c r="G104" s="634">
        <v>104</v>
      </c>
      <c r="H104" s="613">
        <v>105</v>
      </c>
      <c r="I104" s="634"/>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3419" t="s">
        <v>1725</v>
      </c>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99</v>
      </c>
      <c r="E106" s="621">
        <f t="shared" si="20"/>
        <v>98</v>
      </c>
      <c r="F106" s="621">
        <f t="shared" si="20"/>
        <v>97</v>
      </c>
      <c r="G106" s="621">
        <f t="shared" si="20"/>
        <v>96</v>
      </c>
      <c r="H106" s="621">
        <f t="shared" si="20"/>
        <v>95</v>
      </c>
      <c r="I106" s="621">
        <f t="shared" si="20"/>
        <v>94</v>
      </c>
      <c r="J106" s="621">
        <f t="shared" si="20"/>
        <v>93</v>
      </c>
      <c r="K106" s="621">
        <f t="shared" si="20"/>
        <v>92</v>
      </c>
      <c r="L106" s="621">
        <f t="shared" si="20"/>
        <v>91</v>
      </c>
      <c r="M106" s="621">
        <f t="shared" si="20"/>
        <v>90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3420" t="s">
        <v>3546</v>
      </c>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99</v>
      </c>
      <c r="E108" s="621">
        <f t="shared" si="21"/>
        <v>98</v>
      </c>
      <c r="F108" s="621">
        <f t="shared" si="21"/>
        <v>97</v>
      </c>
      <c r="G108" s="621">
        <f t="shared" si="21"/>
        <v>96</v>
      </c>
      <c r="H108" s="621">
        <f t="shared" si="21"/>
        <v>95</v>
      </c>
      <c r="I108" s="621">
        <f t="shared" si="21"/>
        <v>94</v>
      </c>
      <c r="J108" s="621">
        <f t="shared" si="21"/>
        <v>93</v>
      </c>
      <c r="K108" s="621">
        <f t="shared" si="21"/>
        <v>92</v>
      </c>
      <c r="L108" s="621">
        <f t="shared" si="21"/>
        <v>91</v>
      </c>
      <c r="M108" s="621">
        <f t="shared" si="21"/>
        <v>90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3419" t="s">
        <v>3547</v>
      </c>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99</v>
      </c>
      <c r="E110" s="621">
        <f t="shared" si="22"/>
        <v>98</v>
      </c>
      <c r="F110" s="621">
        <f t="shared" si="22"/>
        <v>97</v>
      </c>
      <c r="G110" s="621">
        <f t="shared" si="22"/>
        <v>96</v>
      </c>
      <c r="H110" s="621">
        <f t="shared" si="22"/>
        <v>95</v>
      </c>
      <c r="I110" s="621">
        <f t="shared" si="22"/>
        <v>94</v>
      </c>
      <c r="J110" s="621">
        <f t="shared" si="22"/>
        <v>93</v>
      </c>
      <c r="K110" s="621">
        <f t="shared" si="22"/>
        <v>92</v>
      </c>
      <c r="L110" s="621">
        <f t="shared" si="22"/>
        <v>91</v>
      </c>
      <c r="M110" s="621">
        <f t="shared" si="22"/>
        <v>90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3419" t="s">
        <v>3548</v>
      </c>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99</v>
      </c>
      <c r="E115" s="621">
        <f t="shared" si="23"/>
        <v>98</v>
      </c>
      <c r="F115" s="621">
        <f t="shared" si="23"/>
        <v>97</v>
      </c>
      <c r="G115" s="621">
        <f t="shared" si="23"/>
        <v>96</v>
      </c>
      <c r="H115" s="621">
        <f t="shared" si="23"/>
        <v>95</v>
      </c>
      <c r="I115" s="621">
        <f t="shared" si="23"/>
        <v>94</v>
      </c>
      <c r="J115" s="621">
        <f t="shared" si="23"/>
        <v>93</v>
      </c>
      <c r="K115" s="621">
        <f t="shared" si="23"/>
        <v>92</v>
      </c>
      <c r="L115" s="621">
        <f t="shared" si="23"/>
        <v>91</v>
      </c>
      <c r="M115" s="621">
        <f t="shared" si="23"/>
        <v>90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3419" t="s">
        <v>1501</v>
      </c>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3420" t="s">
        <v>3549</v>
      </c>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99</v>
      </c>
      <c r="E119" s="621">
        <f t="shared" si="24"/>
        <v>98</v>
      </c>
      <c r="F119" s="621">
        <f t="shared" si="24"/>
        <v>97</v>
      </c>
      <c r="G119" s="621">
        <f t="shared" si="24"/>
        <v>96</v>
      </c>
      <c r="H119" s="621">
        <f t="shared" si="24"/>
        <v>95</v>
      </c>
      <c r="I119" s="621">
        <f t="shared" si="24"/>
        <v>94</v>
      </c>
      <c r="J119" s="621">
        <f t="shared" si="24"/>
        <v>93</v>
      </c>
      <c r="K119" s="621">
        <f t="shared" si="24"/>
        <v>92</v>
      </c>
      <c r="L119" s="621">
        <f t="shared" si="24"/>
        <v>91</v>
      </c>
      <c r="M119" s="621">
        <f t="shared" si="24"/>
        <v>90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3419" t="s">
        <v>3532</v>
      </c>
      <c r="D122" s="3419" t="s">
        <v>3533</v>
      </c>
      <c r="E122" s="3419" t="s">
        <v>3534</v>
      </c>
      <c r="F122" s="3420" t="s">
        <v>3535</v>
      </c>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99</v>
      </c>
      <c r="E125" s="621">
        <f>D125-$K43</f>
        <v>98</v>
      </c>
      <c r="F125" s="621">
        <f>E125-$K43</f>
        <v>97</v>
      </c>
      <c r="G125" s="621">
        <f>F125-$K43</f>
        <v>96</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34" sqref="K34"/>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2726</v>
      </c>
      <c r="D1" s="2364" t="s">
        <v>3542</v>
      </c>
      <c r="E1" s="1948" t="s">
        <v>1728</v>
      </c>
      <c r="F1" s="1949">
        <f ca="1">J53</f>
        <v>25.54</v>
      </c>
      <c r="G1" s="2761">
        <f>MATCH(C1,'数据-取费表'!A6:A16,0)+5</f>
        <v>7</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f ca="1">C40+J29+L46</f>
        <v>10255</v>
      </c>
      <c r="C2" s="2766"/>
      <c r="D2" s="2765"/>
      <c r="E2" s="2767"/>
      <c r="F2" s="2767"/>
      <c r="G2" s="2762"/>
      <c r="H2" s="1671"/>
      <c r="I2" s="1671"/>
      <c r="J2" s="1671"/>
      <c r="K2" s="1672"/>
      <c r="L2" s="1671"/>
      <c r="M2" s="1671"/>
    </row>
    <row r="3" spans="1:33" ht="18" customHeight="1" thickBot="1">
      <c r="A3" s="767" t="s">
        <v>1256</v>
      </c>
      <c r="B3" s="768">
        <f ca="1">IF(ISERROR(B2*10000/F43),0,ROUND(B2*10000/F43,0))</f>
        <v>5126</v>
      </c>
      <c r="C3" s="2766"/>
      <c r="D3" s="2765"/>
      <c r="E3" s="2767"/>
      <c r="F3" s="2767"/>
      <c r="G3" s="2762"/>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f ca="1">C6+C10+C12</f>
        <v>877</v>
      </c>
      <c r="D5" s="2002" t="s">
        <v>1805</v>
      </c>
      <c r="E5" s="1996"/>
      <c r="F5" s="1997"/>
      <c r="G5" s="1669"/>
      <c r="H5" s="716">
        <v>1</v>
      </c>
      <c r="I5" s="717" t="s">
        <v>1802</v>
      </c>
      <c r="J5" s="51">
        <f ca="1">J6+J10+J12</f>
        <v>0</v>
      </c>
      <c r="K5" s="2002" t="s">
        <v>1805</v>
      </c>
      <c r="L5" s="1996"/>
      <c r="M5" s="1997"/>
    </row>
    <row r="6" spans="1:33" ht="18" customHeight="1">
      <c r="A6" s="1522" t="s">
        <v>1353</v>
      </c>
      <c r="B6" s="3738" t="s">
        <v>1807</v>
      </c>
      <c r="C6" s="718">
        <f ca="1">ROUND(F6*F8*F7*(1-F9)/10000,0)</f>
        <v>876</v>
      </c>
      <c r="D6" s="2003" t="s">
        <v>1806</v>
      </c>
      <c r="E6" s="719" t="s">
        <v>1267</v>
      </c>
      <c r="F6" s="720">
        <f ca="1">INDIRECT("'数据-取费表'!u"&amp;$G$1)</f>
        <v>1.5</v>
      </c>
      <c r="G6" s="1669"/>
      <c r="H6" s="2010" t="s">
        <v>1812</v>
      </c>
      <c r="I6" s="3738" t="s">
        <v>1807</v>
      </c>
      <c r="J6" s="718">
        <f ca="1">ROUND(M6*M8*M7*(1-M9)/10000,0)</f>
        <v>0</v>
      </c>
      <c r="K6" s="315" t="s">
        <v>1266</v>
      </c>
      <c r="L6" s="719" t="s">
        <v>1267</v>
      </c>
      <c r="M6" s="720">
        <f ca="1">INDIRECT("'数据-取费表'!z"&amp;$G$1)</f>
        <v>0</v>
      </c>
    </row>
    <row r="7" spans="1:33" ht="18" customHeight="1">
      <c r="A7" s="2006"/>
      <c r="B7" s="3739"/>
      <c r="C7" s="723"/>
      <c r="D7" s="724"/>
      <c r="E7" s="719" t="s">
        <v>1268</v>
      </c>
      <c r="F7" s="720">
        <f ca="1">IF(INDIRECT("'数据-取费表'!ah"&amp;$G$1)="",INDIRECT("'数据-取费表'!k"&amp;$G$1),INDIRECT("'数据-取费表'!ah"&amp;$G$1))</f>
        <v>20005.599999999999</v>
      </c>
      <c r="G7" s="1669"/>
      <c r="H7" s="1995"/>
      <c r="I7" s="3739"/>
      <c r="J7" s="723"/>
      <c r="K7" s="724"/>
      <c r="L7" s="719" t="s">
        <v>1268</v>
      </c>
      <c r="M7" s="720">
        <f ca="1">F7</f>
        <v>20005.599999999999</v>
      </c>
    </row>
    <row r="8" spans="1:33" ht="18" customHeight="1">
      <c r="A8" s="1999"/>
      <c r="B8" s="3740"/>
      <c r="C8" s="723"/>
      <c r="D8" s="724"/>
      <c r="E8" s="719" t="s">
        <v>1269</v>
      </c>
      <c r="F8" s="720">
        <f ca="1">INDIRECT("'数据-取费表'!ai"&amp;$G$1)</f>
        <v>365</v>
      </c>
      <c r="G8" s="1669"/>
      <c r="H8" s="1995"/>
      <c r="I8" s="3740"/>
      <c r="J8" s="723"/>
      <c r="K8" s="724"/>
      <c r="L8" s="719" t="s">
        <v>1269</v>
      </c>
      <c r="M8" s="720">
        <f ca="1">INDIRECT("'数据-取费表'!ai"&amp;$G$1)</f>
        <v>365</v>
      </c>
    </row>
    <row r="9" spans="1:33" ht="18" customHeight="1">
      <c r="A9" s="721"/>
      <c r="B9" s="3741"/>
      <c r="C9" s="723"/>
      <c r="D9" s="724"/>
      <c r="E9" s="719" t="s">
        <v>1270</v>
      </c>
      <c r="F9" s="729">
        <f ca="1">INDIRECT("'数据-取费表'!w"&amp;$G$1)</f>
        <v>0.2</v>
      </c>
      <c r="G9" s="1669"/>
      <c r="H9" s="2011"/>
      <c r="I9" s="3740"/>
      <c r="J9" s="723"/>
      <c r="K9" s="724"/>
      <c r="L9" s="730" t="s">
        <v>1270</v>
      </c>
      <c r="M9" s="731">
        <f ca="1">INDIRECT("'数据-取费表'!ab"&amp;$G$1)</f>
        <v>0</v>
      </c>
    </row>
    <row r="10" spans="1:33" ht="18" customHeight="1">
      <c r="A10" s="1522" t="s">
        <v>1810</v>
      </c>
      <c r="B10" s="2000" t="s">
        <v>1803</v>
      </c>
      <c r="C10" s="734">
        <f ca="1">ROUND(IF(F10="押一",C6/12*F11,IF(F10="押二",C6/12*2*F11,IF(F10="押三",C6/12*3*F11,C11*F11))),0)</f>
        <v>1</v>
      </c>
      <c r="D10" s="2007" t="s">
        <v>2221</v>
      </c>
      <c r="E10" s="2004" t="s">
        <v>1808</v>
      </c>
      <c r="F10" s="2077" t="s">
        <v>3537</v>
      </c>
      <c r="G10" s="1669"/>
      <c r="H10" s="2038" t="s">
        <v>1813</v>
      </c>
      <c r="I10" s="2042" t="s">
        <v>1803</v>
      </c>
      <c r="J10" s="718">
        <f ca="1">ROUND(IF(M10="押一",J6/12*M11,IF(M10="押二",J6/12*2*M11,IF(M10="押三",J6/12*3*M11,J11*M11))),0)</f>
        <v>0</v>
      </c>
      <c r="K10" s="2007" t="s">
        <v>2221</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f ca="1">ROUND(C29*F13,0)</f>
        <v>9062</v>
      </c>
      <c r="D13" s="1526" t="s">
        <v>1654</v>
      </c>
      <c r="E13" s="1526" t="s">
        <v>1273</v>
      </c>
      <c r="F13" s="2013">
        <f ca="1">INDIRECT("'数据-取费表'!y"&amp;$G$1)</f>
        <v>1</v>
      </c>
      <c r="G13" s="1669"/>
      <c r="H13" s="1521">
        <v>2</v>
      </c>
      <c r="I13" s="1519" t="s">
        <v>1271</v>
      </c>
      <c r="J13" s="1513">
        <f ca="1">ROUND(J14*J15,0)</f>
        <v>0</v>
      </c>
      <c r="K13" s="1515" t="s">
        <v>1272</v>
      </c>
      <c r="L13" s="2029"/>
      <c r="M13" s="2030"/>
    </row>
    <row r="14" spans="1:33" ht="18" customHeight="1">
      <c r="A14" s="1369" t="s">
        <v>1409</v>
      </c>
      <c r="B14" s="719" t="s">
        <v>593</v>
      </c>
      <c r="C14" s="739">
        <f ca="1">INDIRECT("'数据-取费表'!m"&amp;$G$1)+INDIRECT("'数据-取费表'!t"&amp;$G$1)</f>
        <v>5762</v>
      </c>
      <c r="D14" s="906" t="s">
        <v>1274</v>
      </c>
      <c r="E14" s="905"/>
      <c r="F14" s="740"/>
      <c r="G14" s="1669"/>
      <c r="H14" s="1370" t="s">
        <v>1359</v>
      </c>
      <c r="I14" s="1826" t="s">
        <v>2102</v>
      </c>
      <c r="J14" s="49">
        <f ca="1">C29</f>
        <v>9062</v>
      </c>
      <c r="K14" s="22"/>
      <c r="L14" s="736"/>
      <c r="M14" s="737"/>
    </row>
    <row r="15" spans="1:33" s="1677" customFormat="1" ht="18" customHeight="1" thickBot="1">
      <c r="A15" s="1369" t="s">
        <v>1410</v>
      </c>
      <c r="B15" s="719" t="s">
        <v>595</v>
      </c>
      <c r="C15" s="49">
        <f ca="1">ROUND(C14*F15,0)</f>
        <v>288</v>
      </c>
      <c r="D15" s="741" t="s">
        <v>1275</v>
      </c>
      <c r="E15" s="741" t="s">
        <v>1276</v>
      </c>
      <c r="F15" s="742">
        <f>'数据-取费表'!B33</f>
        <v>0.05</v>
      </c>
      <c r="G15" s="2763"/>
      <c r="H15" s="2028" t="s">
        <v>1414</v>
      </c>
      <c r="I15" s="2023" t="s">
        <v>1273</v>
      </c>
      <c r="J15" s="2032">
        <f ca="1">INDIRECT("'数据-取费表'!ad"&amp;$G$1)</f>
        <v>0</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f ca="1">ROUND(INDIRECT("'数据-取费表'!m"&amp;$G$1)*F16,0)</f>
        <v>0</v>
      </c>
      <c r="D16" s="719" t="s">
        <v>1275</v>
      </c>
      <c r="E16" s="719" t="s">
        <v>1276</v>
      </c>
      <c r="F16" s="744">
        <f ca="1">IF(INDIRECT("'数据-取费表'!c"&amp;$G$1)="住宅",'数据-取费表'!B34,0)</f>
        <v>0</v>
      </c>
      <c r="G16" s="1669"/>
      <c r="H16" s="1521" t="s">
        <v>1277</v>
      </c>
      <c r="I16" s="1519" t="s">
        <v>1278</v>
      </c>
      <c r="J16" s="727">
        <f ca="1">ROUND(J17+J22+J23+J24,0)</f>
        <v>23</v>
      </c>
      <c r="K16" s="1515" t="s">
        <v>1279</v>
      </c>
      <c r="L16" s="909"/>
      <c r="M16" s="1997"/>
    </row>
    <row r="17" spans="1:33" s="1677" customFormat="1" ht="18" customHeight="1">
      <c r="A17" s="1369" t="s">
        <v>1412</v>
      </c>
      <c r="B17" s="719" t="s">
        <v>601</v>
      </c>
      <c r="C17" s="49">
        <f ca="1">ROUND(F17*(F43+INDIRECT("'数据-取费表'!S"&amp;$G$1))/10000,0)</f>
        <v>400</v>
      </c>
      <c r="D17" s="719" t="s">
        <v>1280</v>
      </c>
      <c r="E17" s="719" t="s">
        <v>1281</v>
      </c>
      <c r="F17" s="52">
        <f>'数据-取费表'!B35</f>
        <v>200</v>
      </c>
      <c r="G17" s="2763"/>
      <c r="H17" s="1370" t="s">
        <v>1359</v>
      </c>
      <c r="I17" s="719" t="s">
        <v>604</v>
      </c>
      <c r="J17" s="2556">
        <f ca="1">ROUND(IF(AND(项目基本情况!B11="自然人",项目基本情况!B10="北京市"),J6*M17/(1+'数据-取费表'!C42),J18+J19+J20),2)</f>
        <v>5.33</v>
      </c>
      <c r="K17" s="906" t="s">
        <v>1282</v>
      </c>
      <c r="L17" s="907" t="s">
        <v>1283</v>
      </c>
      <c r="M17" s="2555">
        <f ca="1">IF(项目基本情况!B11="企业","——",IF('数据-取费表'!B10="住宅",IF(M6*M7*M8/12/(1+'数据-取费表'!F30)&gt;100000,4%,2.5%),IF(M6*M7*M8/12/(1+'数据-取费表'!F30)&gt;100000,12%,7%)))</f>
        <v>7.0000000000000007E-2</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f ca="1">ROUND(C14*F18,0)</f>
        <v>115</v>
      </c>
      <c r="D18" s="719" t="s">
        <v>1275</v>
      </c>
      <c r="E18" s="719" t="s">
        <v>1276</v>
      </c>
      <c r="F18" s="744">
        <f>'数据-取费表'!B36</f>
        <v>0.02</v>
      </c>
      <c r="G18" s="2763"/>
      <c r="H18" s="1369" t="s">
        <v>1409</v>
      </c>
      <c r="I18" s="719" t="s">
        <v>1284</v>
      </c>
      <c r="J18" s="49">
        <f ca="1">ROUND(J6*M18/(1+'数据-取费表'!C42),2)</f>
        <v>0</v>
      </c>
      <c r="K18" s="907" t="s">
        <v>1285</v>
      </c>
      <c r="L18" s="719" t="s">
        <v>1276</v>
      </c>
      <c r="M18" s="744">
        <f>'数据-取费表'!B41</f>
        <v>5.6000000000000001E-2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f ca="1">SUM(C14:C18)</f>
        <v>6565</v>
      </c>
      <c r="D19" s="241" t="s">
        <v>1286</v>
      </c>
      <c r="E19" s="915"/>
      <c r="F19" s="52"/>
      <c r="G19" s="1669"/>
      <c r="H19" s="1369" t="s">
        <v>1410</v>
      </c>
      <c r="I19" s="719" t="s">
        <v>1287</v>
      </c>
      <c r="J19" s="49">
        <f ca="1">IF(K19="按租金收入计税",ROUND(J6*M19/(1+'数据-取费表'!C42),1),ROUND(C29*F33*0.7,2))</f>
        <v>0</v>
      </c>
      <c r="K19" s="745" t="s">
        <v>3231</v>
      </c>
      <c r="L19" s="719" t="s">
        <v>1276</v>
      </c>
      <c r="M19" s="744">
        <f>IF(K19="按租金收入计税",'数据-取费表'!B51,'数据-取费表'!B50)</f>
        <v>0.12</v>
      </c>
    </row>
    <row r="20" spans="1:33" s="1677" customFormat="1" ht="18" customHeight="1">
      <c r="A20" s="1370" t="s">
        <v>1414</v>
      </c>
      <c r="B20" s="719" t="s">
        <v>613</v>
      </c>
      <c r="C20" s="49">
        <f ca="1">ROUND(C19*F20,0)</f>
        <v>131</v>
      </c>
      <c r="D20" s="746" t="s">
        <v>1288</v>
      </c>
      <c r="E20" s="719" t="s">
        <v>1276</v>
      </c>
      <c r="F20" s="744">
        <f>'数据-取费表'!B37</f>
        <v>0.02</v>
      </c>
      <c r="G20" s="2763"/>
      <c r="H20" s="1372" t="s">
        <v>1405</v>
      </c>
      <c r="I20" s="315" t="s">
        <v>1289</v>
      </c>
      <c r="J20" s="50">
        <f ca="1">ROUND(M20*M21/10000,2)</f>
        <v>5.33</v>
      </c>
      <c r="K20" s="748" t="s">
        <v>1290</v>
      </c>
      <c r="L20" s="719" t="s">
        <v>1291</v>
      </c>
      <c r="M20" s="587">
        <f>'数据-取费表'!B52</f>
        <v>8</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0.03</v>
      </c>
      <c r="G21" s="2763"/>
      <c r="H21" s="2012"/>
      <c r="I21" s="728"/>
      <c r="J21" s="65"/>
      <c r="K21" s="750"/>
      <c r="L21" s="719" t="s">
        <v>1295</v>
      </c>
      <c r="M21" s="720">
        <f ca="1">INDIRECT("'数据-取费表'!r"&amp;$G$1)</f>
        <v>6668.53</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复利计息。建造成本、管理费用、销售费用产生的利息。</v>
      </c>
      <c r="E22" s="915"/>
      <c r="F22" s="52"/>
      <c r="G22" s="1669"/>
      <c r="H22" s="1370" t="s">
        <v>1414</v>
      </c>
      <c r="I22" s="719" t="s">
        <v>1297</v>
      </c>
      <c r="J22" s="49">
        <f ca="1">ROUND(J14*M22,2)</f>
        <v>18.12</v>
      </c>
      <c r="K22" s="907" t="s">
        <v>1298</v>
      </c>
      <c r="L22" s="719" t="s">
        <v>1276</v>
      </c>
      <c r="M22" s="751">
        <f ca="1">INDIRECT("'数据-取费表'!Ak"&amp;$G$1)</f>
        <v>2E-3</v>
      </c>
    </row>
    <row r="23" spans="1:33" s="1677" customFormat="1" ht="18" customHeight="1">
      <c r="A23" s="1369" t="s">
        <v>1360</v>
      </c>
      <c r="B23" s="719" t="s">
        <v>1818</v>
      </c>
      <c r="C23" s="49">
        <f ca="1">ROUND(IF('数据-取费表'!B22&lt;=1,(C19+C20)*F24*F23/2,(C19+C20)*(POWER((1+F24),F23/2)-1)),0)</f>
        <v>210</v>
      </c>
      <c r="D23" s="2045" t="str">
        <f>IF(F23&lt;=1,"(建造成本+管理费用)×利率×(建设周期÷2)","(建造成本+管理费用)×((1+利率)^(建设周期÷2)-1)")</f>
        <v>(建造成本+管理费用)×((1+利率)^(建设周期÷2)-1)</v>
      </c>
      <c r="E23" s="719" t="s">
        <v>1299</v>
      </c>
      <c r="F23" s="587">
        <f>'数据-取费表'!B20</f>
        <v>2</v>
      </c>
      <c r="G23" s="2763"/>
      <c r="H23" s="1370" t="s">
        <v>1415</v>
      </c>
      <c r="I23" s="719" t="s">
        <v>626</v>
      </c>
      <c r="J23" s="49">
        <f ca="1">ROUND(J13*M23,2)</f>
        <v>0</v>
      </c>
      <c r="K23" s="907" t="s">
        <v>1300</v>
      </c>
      <c r="L23" s="719" t="s">
        <v>1276</v>
      </c>
      <c r="M23" s="752">
        <f ca="1">INDIRECT("'数据-取费表'!Al"&amp;$G$1)</f>
        <v>1E-3</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8.9999999999999998E-4</v>
      </c>
      <c r="D24" s="2045" t="str">
        <f>IF(F23&lt;=1,"销售费用×利率×(建设周期÷2)","销售费用×((1+利率)^(建设周期÷2)-1)")</f>
        <v>销售费用×((1+利率)^(建设周期÷2)-1)</v>
      </c>
      <c r="E24" s="719" t="s">
        <v>1302</v>
      </c>
      <c r="F24" s="753">
        <f ca="1">'数据-取费表'!B40</f>
        <v>3.1300000000000001E-2</v>
      </c>
      <c r="G24" s="2763"/>
      <c r="H24" s="2028" t="s">
        <v>1416</v>
      </c>
      <c r="I24" s="2023" t="s">
        <v>613</v>
      </c>
      <c r="J24" s="2021">
        <f ca="1">ROUND(J5*M24,2)</f>
        <v>0</v>
      </c>
      <c r="K24" s="2022" t="s">
        <v>1303</v>
      </c>
      <c r="L24" s="2023" t="s">
        <v>1276</v>
      </c>
      <c r="M24" s="2019">
        <f ca="1">INDIRECT("'数据-取费表'!Am"&amp;$G$1)</f>
        <v>0.01</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2098</v>
      </c>
      <c r="J25" s="727">
        <f ca="1">J5-J16</f>
        <v>-23</v>
      </c>
      <c r="K25" s="2025" t="s">
        <v>1306</v>
      </c>
      <c r="L25" s="2026"/>
      <c r="M25" s="2027"/>
    </row>
    <row r="26" spans="1:33" ht="18" customHeight="1">
      <c r="A26" s="1369" t="s">
        <v>1360</v>
      </c>
      <c r="B26" s="719" t="s">
        <v>1785</v>
      </c>
      <c r="C26" s="49">
        <f ca="1">ROUND((C19+C20)*F26,0)</f>
        <v>1339</v>
      </c>
      <c r="D26" s="746" t="s">
        <v>1307</v>
      </c>
      <c r="E26" s="730" t="s">
        <v>1308</v>
      </c>
      <c r="F26" s="729">
        <f ca="1">INDIRECT("'数据-取费表'!q"&amp;$G$1)</f>
        <v>0.2</v>
      </c>
      <c r="G26" s="1669"/>
      <c r="H26" s="2008" t="s">
        <v>1309</v>
      </c>
      <c r="I26" s="1827" t="s">
        <v>2103</v>
      </c>
      <c r="J26" s="718">
        <f ca="1">IF(J5&lt;&gt;0,ROUND(J25*(1-((1+M28)/(1+M26))^M27)/(M26-M28),0),0)</f>
        <v>0</v>
      </c>
      <c r="K26" s="748" t="s">
        <v>1310</v>
      </c>
      <c r="L26" s="719" t="s">
        <v>1773</v>
      </c>
      <c r="M26" s="729">
        <f ca="1">INDIRECT("'数据-取费表'!I"&amp;$G$1)</f>
        <v>0.06</v>
      </c>
    </row>
    <row r="27" spans="1:33" ht="18" customHeight="1">
      <c r="A27" s="1369" t="s">
        <v>1361</v>
      </c>
      <c r="B27" s="719" t="s">
        <v>633</v>
      </c>
      <c r="C27" s="49">
        <f ca="1">ROUND(F21*F26,4)</f>
        <v>6.0000000000000001E-3</v>
      </c>
      <c r="D27" s="746" t="s">
        <v>1311</v>
      </c>
      <c r="E27" s="741"/>
      <c r="F27" s="742"/>
      <c r="G27" s="1669"/>
      <c r="H27" s="2009"/>
      <c r="I27" s="722"/>
      <c r="J27" s="723"/>
      <c r="K27" s="755" t="s">
        <v>1312</v>
      </c>
      <c r="L27" s="719" t="s">
        <v>1313</v>
      </c>
      <c r="M27" s="756">
        <f ca="1">INDIRECT("'数据-取费表'!ag"&amp;$G$1)</f>
        <v>0</v>
      </c>
    </row>
    <row r="28" spans="1:33" s="1677" customFormat="1" ht="18" customHeight="1">
      <c r="A28" s="1371" t="s">
        <v>1370</v>
      </c>
      <c r="B28" s="719" t="s">
        <v>634</v>
      </c>
      <c r="C28" s="49">
        <f>ROUND(F28/(1+'数据-取费表'!C42),4)</f>
        <v>5.33E-2</v>
      </c>
      <c r="D28" s="746" t="s">
        <v>1656</v>
      </c>
      <c r="E28" s="719" t="s">
        <v>1314</v>
      </c>
      <c r="F28" s="744">
        <f>'数据-取费表'!B41</f>
        <v>5.6000000000000001E-2</v>
      </c>
      <c r="G28" s="2763"/>
      <c r="H28" s="1521"/>
      <c r="I28" s="726"/>
      <c r="J28" s="727"/>
      <c r="K28" s="750"/>
      <c r="L28" s="719" t="s">
        <v>1315</v>
      </c>
      <c r="M28" s="729">
        <f ca="1">INDIRECT("'数据-取费表'!aa"&amp;$G$1)</f>
        <v>0</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f ca="1">ROUND((C19+C20+C23+C26)/(1-F21-C24-C27-C28),0)</f>
        <v>9062</v>
      </c>
      <c r="D29" s="2022"/>
      <c r="E29" s="2023"/>
      <c r="F29" s="2024"/>
      <c r="G29" s="2763"/>
      <c r="H29" s="757" t="s">
        <v>1316</v>
      </c>
      <c r="I29" s="758" t="s">
        <v>1317</v>
      </c>
      <c r="J29" s="759">
        <f ca="1">ROUND(J26/(1+F40)^F41,0)</f>
        <v>0</v>
      </c>
      <c r="K29" s="760" t="s">
        <v>1318</v>
      </c>
      <c r="L29" s="761"/>
      <c r="M29" s="762">
        <f ca="1">INDIRECT("'数据-取费表'!k"&amp;$G$1)</f>
        <v>20005.599999999999</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f ca="1">ROUND(C31+C36+C37+C38,0)</f>
        <v>188</v>
      </c>
      <c r="D30" s="1515" t="s">
        <v>1320</v>
      </c>
      <c r="E30" s="909"/>
      <c r="F30" s="1997"/>
      <c r="G30" s="1669"/>
      <c r="H30" s="1678"/>
      <c r="I30" s="1679"/>
      <c r="J30" s="1680"/>
      <c r="K30" s="1637"/>
      <c r="L30" s="1681"/>
      <c r="M30" s="1682"/>
    </row>
    <row r="31" spans="1:33" ht="18" customHeight="1">
      <c r="A31" s="1370" t="s">
        <v>1359</v>
      </c>
      <c r="B31" s="719" t="s">
        <v>604</v>
      </c>
      <c r="C31" s="2556">
        <f ca="1">ROUND(IF(AND(项目基本情况!B11="自然人",项目基本情况!B10="北京市"),C6*F31/(1+'数据-取费表'!C42),C32+C33+C34),2)</f>
        <v>152.16</v>
      </c>
      <c r="D31" s="906" t="s">
        <v>1321</v>
      </c>
      <c r="E31" s="907" t="s">
        <v>1322</v>
      </c>
      <c r="F31" s="2555">
        <f ca="1">IF(项目基本情况!B11="企业","——",IF(M47="住宅",IF(F6*F7*F8/12/(1+'数据-取费表'!F30)&gt;100000,4%,2.5%),IF(F6*F7*F8/12/(1+'数据-取费表'!F30)&gt;100000,12%,7%)))</f>
        <v>0.12</v>
      </c>
      <c r="G31" s="1669"/>
      <c r="H31" s="2760" t="s">
        <v>2268</v>
      </c>
      <c r="I31" s="1679"/>
      <c r="J31" s="1680"/>
      <c r="K31" s="1637"/>
      <c r="L31" s="1681"/>
      <c r="M31" s="1682"/>
    </row>
    <row r="32" spans="1:33" ht="18" customHeight="1">
      <c r="A32" s="1369" t="s">
        <v>1360</v>
      </c>
      <c r="B32" s="719" t="s">
        <v>1323</v>
      </c>
      <c r="C32" s="49">
        <f ca="1">ROUND(C6*F32/(1+'数据-取费表'!C42),2)</f>
        <v>46.72</v>
      </c>
      <c r="D32" s="907" t="s">
        <v>1324</v>
      </c>
      <c r="E32" s="719" t="s">
        <v>1325</v>
      </c>
      <c r="F32" s="744">
        <f>'数据-取费表'!B41</f>
        <v>5.6000000000000001E-2</v>
      </c>
      <c r="G32" s="1669"/>
      <c r="H32" s="1683"/>
      <c r="I32" s="1684"/>
      <c r="J32" s="1685"/>
      <c r="K32" s="1686"/>
      <c r="L32" s="1687"/>
      <c r="M32" s="1688"/>
    </row>
    <row r="33" spans="1:18" ht="18" customHeight="1">
      <c r="A33" s="1369" t="s">
        <v>1361</v>
      </c>
      <c r="B33" s="719" t="s">
        <v>1326</v>
      </c>
      <c r="C33" s="49">
        <f ca="1">IF(D33="按租金收入计税",ROUND(C6*F33/(1+'数据-取费表'!C42),2),IF(D33="按房产原值计税",ROUND(C29*F33*0.7,2),INDIRECT("'数据-取费表'!Aj"&amp;$G$1)))</f>
        <v>100.11</v>
      </c>
      <c r="D33" s="745" t="s">
        <v>3231</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f ca="1">ROUND(F34*F35/10000,2)</f>
        <v>5.33</v>
      </c>
      <c r="D34" s="748" t="s">
        <v>1328</v>
      </c>
      <c r="E34" s="719" t="s">
        <v>1329</v>
      </c>
      <c r="F34" s="587">
        <f>'数据-取费表'!B52</f>
        <v>8</v>
      </c>
      <c r="G34" s="1669"/>
      <c r="H34" s="1678"/>
      <c r="I34" s="769" t="s">
        <v>1342</v>
      </c>
      <c r="J34" s="770"/>
      <c r="K34" s="1692"/>
      <c r="L34" s="1691"/>
      <c r="M34" s="1691"/>
    </row>
    <row r="35" spans="1:18" ht="18" customHeight="1">
      <c r="A35" s="749"/>
      <c r="B35" s="728"/>
      <c r="C35" s="65"/>
      <c r="D35" s="750"/>
      <c r="E35" s="719" t="s">
        <v>1330</v>
      </c>
      <c r="F35" s="720">
        <f ca="1">INDIRECT("'数据-取费表'!r"&amp;$G$1)</f>
        <v>6668.53</v>
      </c>
      <c r="G35" s="1669"/>
      <c r="H35" s="1678"/>
      <c r="I35" s="771" t="s">
        <v>1343</v>
      </c>
      <c r="J35" s="772">
        <f ca="1">ROUND(C13*J36,0)</f>
        <v>634</v>
      </c>
      <c r="K35" s="1690"/>
      <c r="L35" s="1689"/>
      <c r="M35" s="1689"/>
    </row>
    <row r="36" spans="1:18" ht="18" customHeight="1">
      <c r="A36" s="1370" t="s">
        <v>1414</v>
      </c>
      <c r="B36" s="719" t="s">
        <v>1331</v>
      </c>
      <c r="C36" s="49">
        <f ca="1">ROUND(C29*F36,2)</f>
        <v>18.12</v>
      </c>
      <c r="D36" s="907" t="s">
        <v>1332</v>
      </c>
      <c r="E36" s="719" t="s">
        <v>1325</v>
      </c>
      <c r="F36" s="751">
        <f ca="1">INDIRECT("'数据-取费表'!Ak"&amp;$G$1)</f>
        <v>2E-3</v>
      </c>
      <c r="G36" s="1669"/>
      <c r="H36" s="1689"/>
      <c r="I36" s="773" t="s">
        <v>1344</v>
      </c>
      <c r="J36" s="774">
        <f ca="1">INDIRECT("'数据-取费表'!j"&amp;$G$1)</f>
        <v>7.0000000000000007E-2</v>
      </c>
      <c r="K36" s="1693"/>
      <c r="L36" s="1689"/>
      <c r="M36" s="1689"/>
    </row>
    <row r="37" spans="1:18" ht="18" customHeight="1">
      <c r="A37" s="1370" t="s">
        <v>1415</v>
      </c>
      <c r="B37" s="719" t="s">
        <v>626</v>
      </c>
      <c r="C37" s="49">
        <f ca="1">ROUND(C13*F37,2)</f>
        <v>9.06</v>
      </c>
      <c r="D37" s="907" t="s">
        <v>1333</v>
      </c>
      <c r="E37" s="719" t="s">
        <v>1325</v>
      </c>
      <c r="F37" s="752">
        <f ca="1">INDIRECT("'数据-取费表'!Al"&amp;$G$1)</f>
        <v>1E-3</v>
      </c>
      <c r="G37" s="1669"/>
      <c r="H37" s="1689"/>
      <c r="I37" s="775" t="s">
        <v>1345</v>
      </c>
      <c r="J37" s="776"/>
      <c r="K37" s="1693"/>
      <c r="L37" s="1689"/>
      <c r="M37" s="1689"/>
    </row>
    <row r="38" spans="1:18" ht="18" customHeight="1" thickBot="1">
      <c r="A38" s="2028" t="s">
        <v>1416</v>
      </c>
      <c r="B38" s="2023" t="s">
        <v>613</v>
      </c>
      <c r="C38" s="2021">
        <f ca="1">ROUND(C5*F38,2)</f>
        <v>8.77</v>
      </c>
      <c r="D38" s="2022" t="s">
        <v>1334</v>
      </c>
      <c r="E38" s="2023" t="s">
        <v>1325</v>
      </c>
      <c r="F38" s="2019">
        <f ca="1">INDIRECT("'数据-取费表'!Am"&amp;$G$1)</f>
        <v>0.01</v>
      </c>
      <c r="G38" s="1669"/>
      <c r="H38" s="1689"/>
      <c r="I38" s="777" t="s">
        <v>1346</v>
      </c>
      <c r="J38" s="778"/>
      <c r="K38" s="1694"/>
      <c r="L38" s="1689"/>
      <c r="M38" s="1689"/>
    </row>
    <row r="39" spans="1:18" ht="24.6" customHeight="1" thickTop="1">
      <c r="A39" s="1521" t="s">
        <v>1419</v>
      </c>
      <c r="B39" s="2298" t="s">
        <v>2098</v>
      </c>
      <c r="C39" s="727">
        <f ca="1">C5-C30</f>
        <v>689</v>
      </c>
      <c r="D39" s="2025" t="s">
        <v>1335</v>
      </c>
      <c r="E39" s="2026"/>
      <c r="F39" s="2027"/>
      <c r="G39" s="1669"/>
      <c r="H39" s="1689"/>
      <c r="I39" s="771" t="s">
        <v>1347</v>
      </c>
      <c r="J39" s="779">
        <f ca="1">ROUND(J35/C39,3)</f>
        <v>0.92</v>
      </c>
      <c r="K39" s="1694"/>
      <c r="L39" s="1689"/>
      <c r="M39" s="1689"/>
    </row>
    <row r="40" spans="1:18" ht="18" customHeight="1">
      <c r="A40" s="716" t="s">
        <v>1420</v>
      </c>
      <c r="B40" s="1827" t="s">
        <v>1658</v>
      </c>
      <c r="C40" s="718">
        <f ca="1">ROUND(C39*(1-((1+F42)/(1+F40))^F41)/(F40-F42),0)</f>
        <v>10255</v>
      </c>
      <c r="D40" s="748" t="s">
        <v>1336</v>
      </c>
      <c r="E40" s="719" t="s">
        <v>1773</v>
      </c>
      <c r="F40" s="729">
        <f ca="1">INDIRECT("'数据-取费表'!I"&amp;$G$1)</f>
        <v>0.06</v>
      </c>
      <c r="G40" s="1669"/>
      <c r="H40" s="1669"/>
      <c r="I40" s="771" t="s">
        <v>1348</v>
      </c>
      <c r="J40" s="779">
        <f ca="1">1-J39</f>
        <v>7.999999999999996E-2</v>
      </c>
      <c r="K40" s="1694"/>
      <c r="L40" s="1669"/>
      <c r="M40" s="1669"/>
    </row>
    <row r="41" spans="1:18" ht="18" customHeight="1">
      <c r="A41" s="721"/>
      <c r="B41" s="722"/>
      <c r="C41" s="723"/>
      <c r="D41" s="755" t="s">
        <v>1337</v>
      </c>
      <c r="E41" s="719" t="s">
        <v>2213</v>
      </c>
      <c r="F41" s="756">
        <f ca="1">IF(INDIRECT("'数据-取费表'!af"&amp;$G$1)=0,INDIRECT("'数据-取费表'!ae"&amp;$G$1),INDIRECT("'数据-取费表'!af"&amp;$G$1))</f>
        <v>25.54</v>
      </c>
      <c r="G41" s="1669"/>
      <c r="H41" s="1637"/>
      <c r="I41" s="777" t="s">
        <v>1349</v>
      </c>
      <c r="J41" s="780"/>
      <c r="K41" s="1693"/>
      <c r="L41" s="1637"/>
      <c r="M41" s="1637"/>
    </row>
    <row r="42" spans="1:18" ht="18" customHeight="1">
      <c r="A42" s="725"/>
      <c r="B42" s="726"/>
      <c r="C42" s="727"/>
      <c r="D42" s="750"/>
      <c r="E42" s="719" t="s">
        <v>1338</v>
      </c>
      <c r="F42" s="729">
        <f ca="1">INDIRECT("'数据-取费表'!v"&amp;$G$1)</f>
        <v>1.4999999999999999E-2</v>
      </c>
      <c r="G42" s="1669"/>
      <c r="H42" s="1637"/>
      <c r="I42" s="781" t="s">
        <v>1350</v>
      </c>
      <c r="J42" s="779">
        <f ca="1">ROUND(C13/C40,3)</f>
        <v>0.88400000000000001</v>
      </c>
      <c r="K42" s="1693"/>
      <c r="L42" s="1637"/>
      <c r="M42" s="1637"/>
    </row>
    <row r="43" spans="1:18" ht="18" customHeight="1" thickBot="1">
      <c r="A43" s="757" t="s">
        <v>1316</v>
      </c>
      <c r="B43" s="758" t="s">
        <v>1339</v>
      </c>
      <c r="C43" s="759">
        <f ca="1">ROUND(C40*10000/F43,0)</f>
        <v>5126</v>
      </c>
      <c r="D43" s="760" t="s">
        <v>1340</v>
      </c>
      <c r="E43" s="761" t="s">
        <v>1341</v>
      </c>
      <c r="F43" s="762">
        <f ca="1">INDIRECT("'数据-取费表'!k"&amp;$G$1)</f>
        <v>20005.599999999999</v>
      </c>
      <c r="G43" s="1669"/>
      <c r="H43" s="1637"/>
      <c r="I43" s="781" t="s">
        <v>1351</v>
      </c>
      <c r="J43" s="782">
        <f ca="1">1-J42</f>
        <v>0.11599999999999999</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f ca="1">C67-C40</f>
        <v>-10681</v>
      </c>
      <c r="D46" s="2764"/>
      <c r="E46" s="2764"/>
      <c r="F46" s="2764"/>
      <c r="I46" s="1940" t="s">
        <v>1697</v>
      </c>
      <c r="J46" s="1941"/>
      <c r="K46" s="1942"/>
      <c r="L46" s="2376">
        <f>IF(OR(M47="住宅",D1="土地（套用方法）"),0,IF(L48&gt;J51,L60,J60))</f>
        <v>0</v>
      </c>
      <c r="M46" s="2765"/>
      <c r="O46" s="1954" t="s">
        <v>1764</v>
      </c>
      <c r="P46" s="1145"/>
      <c r="Q46" s="1331"/>
      <c r="R46" s="1145"/>
    </row>
    <row r="47" spans="1:18" s="1673" customFormat="1" ht="18" customHeight="1" thickBot="1">
      <c r="A47" s="3382">
        <v>1</v>
      </c>
      <c r="B47" s="3383" t="s">
        <v>583</v>
      </c>
      <c r="C47" s="3384">
        <f ca="1">C48+C52+C54</f>
        <v>0</v>
      </c>
      <c r="D47" s="3385"/>
      <c r="E47" s="3385"/>
      <c r="F47" s="3386"/>
      <c r="I47" s="2368" t="s">
        <v>1698</v>
      </c>
      <c r="J47" s="1943" t="s">
        <v>3538</v>
      </c>
      <c r="K47" s="2373" t="s">
        <v>1703</v>
      </c>
      <c r="L47" s="2377">
        <f ca="1">INDIRECT("'数据-取费表'!d"&amp;$G$1)</f>
        <v>40</v>
      </c>
      <c r="M47" s="1331" t="str">
        <f>IF(ISNUMBER(FIND("住宅",C1)),"住宅","非住宅")</f>
        <v>非住宅</v>
      </c>
      <c r="O47" s="1955" t="s">
        <v>1729</v>
      </c>
      <c r="P47" s="1956" t="s">
        <v>1730</v>
      </c>
      <c r="Q47" s="1957" t="s">
        <v>1731</v>
      </c>
      <c r="R47" s="1956" t="s">
        <v>1732</v>
      </c>
    </row>
    <row r="48" spans="1:18" s="1673" customFormat="1" ht="18" customHeight="1" thickBot="1">
      <c r="A48" s="2085" t="s">
        <v>1820</v>
      </c>
      <c r="B48" s="2086" t="s">
        <v>1821</v>
      </c>
      <c r="C48" s="1936">
        <f ca="1">ROUND(F48*F50*F49*(1-F51)/10000,0)</f>
        <v>0</v>
      </c>
      <c r="D48" s="1937" t="s">
        <v>584</v>
      </c>
      <c r="E48" s="1938" t="s">
        <v>1653</v>
      </c>
      <c r="F48" s="1939">
        <f ca="1">M6</f>
        <v>0</v>
      </c>
      <c r="G48" s="1700"/>
      <c r="I48" s="2365" t="s">
        <v>1699</v>
      </c>
      <c r="J48" s="1944" t="s">
        <v>1704</v>
      </c>
      <c r="K48" s="2374" t="s">
        <v>1705</v>
      </c>
      <c r="L48" s="1568">
        <f ca="1">INDIRECT("'数据-取费表'!f"&amp;$G$1)</f>
        <v>27.54</v>
      </c>
      <c r="M48" s="2765"/>
      <c r="O48" s="1958" t="s">
        <v>1733</v>
      </c>
      <c r="P48" s="1959" t="s">
        <v>1759</v>
      </c>
      <c r="Q48" s="1960">
        <f ca="1">C40+J29</f>
        <v>10255</v>
      </c>
      <c r="R48" s="1959" t="s">
        <v>1734</v>
      </c>
    </row>
    <row r="49" spans="1:18" s="1673" customFormat="1" ht="18" customHeight="1" thickBot="1">
      <c r="A49" s="721"/>
      <c r="B49" s="722"/>
      <c r="C49" s="723"/>
      <c r="D49" s="724"/>
      <c r="E49" s="719" t="s">
        <v>1268</v>
      </c>
      <c r="F49" s="720">
        <f ca="1">F7</f>
        <v>20005.599999999999</v>
      </c>
      <c r="G49" s="1700"/>
      <c r="H49" s="1703"/>
      <c r="I49" s="2365" t="s">
        <v>1700</v>
      </c>
      <c r="J49" s="1945">
        <v>2028</v>
      </c>
      <c r="K49" s="2375" t="s">
        <v>1706</v>
      </c>
      <c r="L49" s="1567"/>
      <c r="M49" s="2765"/>
      <c r="O49" s="1958" t="s">
        <v>1735</v>
      </c>
      <c r="P49" s="1959" t="s">
        <v>1760</v>
      </c>
      <c r="Q49" s="1960" t="str">
        <f ca="1">J60</f>
        <v>0</v>
      </c>
      <c r="R49" s="1959" t="s">
        <v>1736</v>
      </c>
    </row>
    <row r="50" spans="1:18" s="1673" customFormat="1" ht="18" customHeight="1" thickBot="1">
      <c r="A50" s="721"/>
      <c r="B50" s="722"/>
      <c r="C50" s="723"/>
      <c r="D50" s="724"/>
      <c r="E50" s="719" t="s">
        <v>1269</v>
      </c>
      <c r="F50" s="720">
        <f ca="1">F8</f>
        <v>365</v>
      </c>
      <c r="H50" s="1703"/>
      <c r="I50" s="2365" t="s">
        <v>1701</v>
      </c>
      <c r="J50" s="2372">
        <f>SUMPRODUCT((I63:I65=J47)*(J62:L62=J48)*(J63:L65))</f>
        <v>60</v>
      </c>
      <c r="K50" s="2375" t="s">
        <v>1707</v>
      </c>
      <c r="L50" s="1567"/>
      <c r="M50" s="2765"/>
      <c r="O50" s="1961" t="s">
        <v>1737</v>
      </c>
      <c r="P50" s="1959" t="s">
        <v>1761</v>
      </c>
      <c r="Q50" s="1960">
        <f ca="1">C29</f>
        <v>9062</v>
      </c>
      <c r="R50" s="1959" t="s">
        <v>1734</v>
      </c>
    </row>
    <row r="51" spans="1:18" s="1673" customFormat="1" ht="18" customHeight="1" thickBot="1">
      <c r="A51" s="721"/>
      <c r="B51" s="722"/>
      <c r="C51" s="723"/>
      <c r="D51" s="724"/>
      <c r="E51" s="719" t="s">
        <v>588</v>
      </c>
      <c r="F51" s="1935"/>
      <c r="H51" s="1703"/>
      <c r="I51" s="2369" t="s">
        <v>1702</v>
      </c>
      <c r="J51" s="1568">
        <f>IF(J49="",J50,J49+J50-YEAR('数据-取费表'!B2))</f>
        <v>63</v>
      </c>
      <c r="K51" s="2365" t="s">
        <v>1708</v>
      </c>
      <c r="L51" s="2378">
        <f ca="1">ROUND(-PV(INDIRECT("'数据-取费表'!h"&amp;$G$1),J51,(C39-C13*J36),0),0)</f>
        <v>1043</v>
      </c>
      <c r="M51" s="2765"/>
      <c r="O51" s="1961" t="s">
        <v>1738</v>
      </c>
      <c r="P51" s="1959" t="s">
        <v>1739</v>
      </c>
      <c r="Q51" s="1962" t="e">
        <f ca="1">J58</f>
        <v>#VALUE!</v>
      </c>
      <c r="R51" s="1963"/>
    </row>
    <row r="52" spans="1:18" s="1673" customFormat="1" ht="18" customHeight="1" thickBot="1">
      <c r="A52" s="716" t="s">
        <v>1819</v>
      </c>
      <c r="B52" s="2000" t="s">
        <v>1803</v>
      </c>
      <c r="C52" s="734">
        <f ca="1">ROUND(IF(F52="押一",C48/12*F11,IF(F52="押二",C48/12*2*F11,IF(F52="押三",C48/12*3*F11,C53*F11))),0)</f>
        <v>0</v>
      </c>
      <c r="D52" s="2007" t="s">
        <v>2222</v>
      </c>
      <c r="E52" s="2004" t="s">
        <v>1808</v>
      </c>
      <c r="F52" s="2077"/>
      <c r="I52" s="2370" t="s">
        <v>1775</v>
      </c>
      <c r="J52" s="1946">
        <v>7.4999999999999997E-2</v>
      </c>
      <c r="K52" s="2370" t="s">
        <v>1774</v>
      </c>
      <c r="L52" s="1946"/>
      <c r="M52" s="2765"/>
      <c r="O52" s="1961" t="s">
        <v>1740</v>
      </c>
      <c r="P52" s="1959" t="s">
        <v>1741</v>
      </c>
      <c r="Q52" s="1962">
        <f>J52</f>
        <v>7.4999999999999997E-2</v>
      </c>
      <c r="R52" s="1963"/>
    </row>
    <row r="53" spans="1:18" s="1673" customFormat="1" ht="39.75" customHeight="1" thickBot="1">
      <c r="A53" s="721"/>
      <c r="B53" s="2001" t="s">
        <v>1856</v>
      </c>
      <c r="C53" s="2005"/>
      <c r="D53" s="2007"/>
      <c r="E53" s="2004"/>
      <c r="F53" s="735"/>
      <c r="I53" s="2371" t="s">
        <v>2225</v>
      </c>
      <c r="J53" s="2417">
        <f ca="1">IF(M47="住宅",IF(D1="——",MAX(J51,L48),MAX(J51,L48-'数据-取费表'!B20)),IF(D1="——",MIN(J51,L48),MIN(J51,L48-'数据-取费表'!B20)))</f>
        <v>25.54</v>
      </c>
      <c r="K53" s="3748" t="s">
        <v>2215</v>
      </c>
      <c r="L53" s="3749"/>
      <c r="M53" s="2765"/>
      <c r="O53" s="1961" t="s">
        <v>1742</v>
      </c>
      <c r="P53" s="1959" t="s">
        <v>1743</v>
      </c>
      <c r="Q53" s="1960">
        <f ca="1">J53</f>
        <v>25.54</v>
      </c>
      <c r="R53" s="1959" t="s">
        <v>1744</v>
      </c>
    </row>
    <row r="54" spans="1:18" s="1673" customFormat="1" ht="18" customHeight="1" thickBot="1">
      <c r="A54" s="2014" t="s">
        <v>1811</v>
      </c>
      <c r="B54" s="2015" t="s">
        <v>1804</v>
      </c>
      <c r="C54" s="2016"/>
      <c r="D54" s="2007"/>
      <c r="E54" s="2004"/>
      <c r="F54" s="735"/>
      <c r="I54" s="16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7"/>
      <c r="M54" s="2765"/>
      <c r="O54" s="1958" t="s">
        <v>1745</v>
      </c>
      <c r="P54" s="1959" t="s">
        <v>1762</v>
      </c>
      <c r="Q54" s="1960">
        <f ca="1">Q48+Q49</f>
        <v>10255</v>
      </c>
      <c r="R54" s="1963" t="s">
        <v>1746</v>
      </c>
    </row>
    <row r="55" spans="1:18" s="1673" customFormat="1" ht="18" customHeight="1" thickTop="1" thickBot="1">
      <c r="A55" s="732">
        <v>2</v>
      </c>
      <c r="B55" s="733" t="s">
        <v>592</v>
      </c>
      <c r="C55" s="734">
        <f ca="1">C13</f>
        <v>9062</v>
      </c>
      <c r="D55" s="730"/>
      <c r="E55" s="730"/>
      <c r="F55" s="735"/>
      <c r="I55" s="2381" t="s">
        <v>1709</v>
      </c>
      <c r="J55" s="2354" t="e">
        <f ca="1">ROUND(IF(J47="钢混",J57/J50,1-(1-2%)*(J50-J57)/J50),3)</f>
        <v>#VALUE!</v>
      </c>
      <c r="K55" s="2382" t="s">
        <v>1710</v>
      </c>
      <c r="L55" s="1947"/>
      <c r="M55" s="2765"/>
      <c r="O55" s="1964" t="s">
        <v>1765</v>
      </c>
      <c r="P55" s="1145"/>
      <c r="Q55" s="1331"/>
      <c r="R55" s="1145"/>
    </row>
    <row r="56" spans="1:18" s="1673" customFormat="1" ht="42.75" customHeight="1" thickBot="1">
      <c r="A56" s="1371"/>
      <c r="B56" s="1826" t="s">
        <v>1659</v>
      </c>
      <c r="C56" s="49">
        <f ca="1">C29</f>
        <v>9062</v>
      </c>
      <c r="D56" s="907"/>
      <c r="E56" s="719"/>
      <c r="F56" s="744"/>
      <c r="I56" s="2383" t="s">
        <v>1711</v>
      </c>
      <c r="J56" s="2393" t="s">
        <v>3322</v>
      </c>
      <c r="K56" s="2365" t="s">
        <v>1716</v>
      </c>
      <c r="L56" s="1568" t="str">
        <f ca="1">IF(L48&lt;J51,"——",L48-J51)</f>
        <v>——</v>
      </c>
      <c r="M56" s="2765"/>
      <c r="O56" s="1955" t="s">
        <v>1729</v>
      </c>
      <c r="P56" s="1956" t="s">
        <v>1730</v>
      </c>
      <c r="Q56" s="1957" t="s">
        <v>1731</v>
      </c>
      <c r="R56" s="1956" t="s">
        <v>1732</v>
      </c>
    </row>
    <row r="57" spans="1:18" s="1673" customFormat="1" ht="28.5" customHeight="1" thickBot="1">
      <c r="A57" s="732" t="s">
        <v>1277</v>
      </c>
      <c r="B57" s="733" t="s">
        <v>599</v>
      </c>
      <c r="C57" s="734">
        <f ca="1">ROUND(C58+C63+C64+C65,0)</f>
        <v>33</v>
      </c>
      <c r="D57" s="22" t="s">
        <v>1279</v>
      </c>
      <c r="E57" s="915"/>
      <c r="F57" s="52"/>
      <c r="I57" s="2384" t="s">
        <v>1712</v>
      </c>
      <c r="J57" s="2385" t="str">
        <f ca="1">IF(OR(M47="住宅",J51&lt;L48,J56="是"),"——",J51-L48)</f>
        <v>——</v>
      </c>
      <c r="K57" s="2365" t="s">
        <v>1717</v>
      </c>
      <c r="L57" s="1568" t="str">
        <f ca="1">IF(L48&lt;J51,"——",IF(L55="比较法",L49,IF(L55="基准地价",L50,L51)))</f>
        <v>——</v>
      </c>
      <c r="M57" s="2765"/>
      <c r="O57" s="1958" t="s">
        <v>1733</v>
      </c>
      <c r="P57" s="1959" t="s">
        <v>1763</v>
      </c>
      <c r="Q57" s="1960">
        <f ca="1">C40+J29</f>
        <v>10255</v>
      </c>
      <c r="R57" s="1959" t="s">
        <v>1734</v>
      </c>
    </row>
    <row r="58" spans="1:18" s="1673" customFormat="1" ht="28.5" customHeight="1" thickBot="1">
      <c r="A58" s="1370" t="s">
        <v>1353</v>
      </c>
      <c r="B58" s="719" t="s">
        <v>604</v>
      </c>
      <c r="C58" s="2556">
        <f ca="1">ROUND(IF(AND(项目基本情况!B11="自然人",项目基本情况!B10="北京市"),C48*F58/(1+'数据-取费表'!C42),C59+C60+C61),2)</f>
        <v>5.33</v>
      </c>
      <c r="D58" s="906" t="s">
        <v>605</v>
      </c>
      <c r="E58" s="907" t="s">
        <v>637</v>
      </c>
      <c r="F58" s="2555">
        <f ca="1">IF(项目基本情况!B11="企业","——",IF('数据-取费表'!B10="住宅",IF(F48*F49*F50/12/(1+'数据-取费表'!F30)&gt;100000,4%,2.5%),IF(F48*F49*F50/12/(1+'数据-取费表'!F30)&gt;100000,12%,7%)))</f>
        <v>7.0000000000000007E-2</v>
      </c>
      <c r="I58" s="2384" t="s">
        <v>1713</v>
      </c>
      <c r="J58" s="2355" t="e">
        <f ca="1">IF(J55&lt;0.4,0.4,J55)</f>
        <v>#VALUE!</v>
      </c>
      <c r="K58" s="2365" t="s">
        <v>1718</v>
      </c>
      <c r="L58" s="1568" t="e">
        <f ca="1">ROUND(POWER(1+L52,L47-L48)*(POWER(1+L52,L48)-1)/(POWER(1+L52,L47)-1),4)</f>
        <v>#DIV/0!</v>
      </c>
      <c r="M58" s="2765"/>
      <c r="O58" s="1958" t="s">
        <v>1735</v>
      </c>
      <c r="P58" s="1959" t="s">
        <v>1766</v>
      </c>
      <c r="Q58" s="1960">
        <f ca="1">L60</f>
        <v>0</v>
      </c>
      <c r="R58" s="1963" t="s">
        <v>1768</v>
      </c>
    </row>
    <row r="59" spans="1:18" s="1673" customFormat="1" ht="28.5" customHeight="1" thickBot="1">
      <c r="A59" s="1369" t="s">
        <v>1360</v>
      </c>
      <c r="B59" s="719" t="s">
        <v>608</v>
      </c>
      <c r="C59" s="49">
        <f ca="1">ROUND(C47*F59/1.05,2)</f>
        <v>0</v>
      </c>
      <c r="D59" s="907" t="s">
        <v>1285</v>
      </c>
      <c r="E59" s="719" t="s">
        <v>1276</v>
      </c>
      <c r="F59" s="744">
        <f t="shared" ref="F59:F65" si="0">F32</f>
        <v>5.6000000000000001E-2</v>
      </c>
      <c r="I59" s="2384" t="s">
        <v>1714</v>
      </c>
      <c r="J59" s="2385" t="str">
        <f ca="1">IF(OR(M47="住宅",J51&lt;L48,J56="是"),"——",ROUND(C29*J58,0))</f>
        <v>——</v>
      </c>
      <c r="K59" s="2365" t="str">
        <f>IF(D1="——","建筑物剩余耐用年限下的土地年期修正系数Kn","建设期及建筑物耐用年限下的土地年期修正系数Kn")</f>
        <v>建设期及建筑物耐用年限下的土地年期修正系数Kn</v>
      </c>
      <c r="L59" s="1568" t="e">
        <f ca="1">ROUND(IF(D1="土地（套用方法）",POWER(1+L52,L47-(J51+'数据-取费表'!B20))*(POWER(1+L52,(J51+'数据-取费表'!B20))-1)/(POWER(1+L52,L47)-1),POWER(1+L52,L47-J51)*(POWER(1+L52,J51)-1)/(POWER(1+L52,L47)-1)),4)</f>
        <v>#DIV/0!</v>
      </c>
      <c r="M59" s="2765"/>
      <c r="O59" s="1961" t="s">
        <v>1737</v>
      </c>
      <c r="P59" s="1959" t="s">
        <v>1767</v>
      </c>
      <c r="Q59" s="1960">
        <f>IF(L55="比较法",L49,IF(L55="基准地价",L50,0))</f>
        <v>0</v>
      </c>
      <c r="R59" s="1959" t="s">
        <v>1734</v>
      </c>
    </row>
    <row r="60" spans="1:18" s="1673" customFormat="1" ht="18" customHeight="1" thickBot="1">
      <c r="A60" s="1369"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6" t="s">
        <v>1715</v>
      </c>
      <c r="J60" s="2387" t="str">
        <f ca="1">IF(OR(M47="住宅",J51&lt;L48,J56="是"),"0",ROUND(J59/(1+J52)^J53,0))</f>
        <v>0</v>
      </c>
      <c r="K60" s="2388" t="s">
        <v>1720</v>
      </c>
      <c r="L60" s="2387">
        <f ca="1">IF(OR(M47="住宅",L48&lt;J51),0,ROUND(L57*(L58/L59-1),0))</f>
        <v>0</v>
      </c>
      <c r="M60" s="2765"/>
      <c r="O60" s="1961" t="s">
        <v>1738</v>
      </c>
      <c r="P60" s="1959" t="s">
        <v>1747</v>
      </c>
      <c r="Q60" s="1962">
        <f>L52</f>
        <v>0</v>
      </c>
      <c r="R60" s="1963"/>
    </row>
    <row r="61" spans="1:18" s="1673" customFormat="1" ht="18" customHeight="1" thickBot="1">
      <c r="A61" s="1372" t="s">
        <v>1362</v>
      </c>
      <c r="B61" s="315" t="s">
        <v>615</v>
      </c>
      <c r="C61" s="50">
        <f ca="1">ROUND(F61*F62/10000,2)</f>
        <v>5.33</v>
      </c>
      <c r="D61" s="748" t="s">
        <v>616</v>
      </c>
      <c r="E61" s="719" t="s">
        <v>617</v>
      </c>
      <c r="F61" s="587">
        <f t="shared" si="0"/>
        <v>8</v>
      </c>
      <c r="K61" s="1697"/>
      <c r="O61" s="1961" t="s">
        <v>1740</v>
      </c>
      <c r="P61" s="1959" t="s">
        <v>1748</v>
      </c>
      <c r="Q61" s="1960" t="e">
        <f ca="1">L58</f>
        <v>#DIV/0!</v>
      </c>
      <c r="R61" s="1963" t="s">
        <v>1749</v>
      </c>
    </row>
    <row r="62" spans="1:18" s="1673" customFormat="1" ht="15.75" thickBot="1">
      <c r="A62" s="749"/>
      <c r="B62" s="728"/>
      <c r="C62" s="65"/>
      <c r="D62" s="750"/>
      <c r="E62" s="719" t="s">
        <v>621</v>
      </c>
      <c r="F62" s="720">
        <f t="shared" ca="1" si="0"/>
        <v>6668.53</v>
      </c>
      <c r="I62" s="2389" t="s">
        <v>1721</v>
      </c>
      <c r="J62" s="2390" t="s">
        <v>1722</v>
      </c>
      <c r="K62" s="2390" t="s">
        <v>1723</v>
      </c>
      <c r="L62" s="2390" t="s">
        <v>1704</v>
      </c>
      <c r="M62" s="2391" t="s">
        <v>2194</v>
      </c>
      <c r="O62" s="1961" t="s">
        <v>1742</v>
      </c>
      <c r="P62" s="1959" t="str">
        <f>K59</f>
        <v>建设期及建筑物耐用年限下的土地年期修正系数Kn</v>
      </c>
      <c r="Q62" s="1960" t="e">
        <f ca="1">L59</f>
        <v>#DIV/0!</v>
      </c>
      <c r="R62" s="1963" t="s">
        <v>1751</v>
      </c>
    </row>
    <row r="63" spans="1:18" s="1673" customFormat="1" ht="15.75" thickBot="1">
      <c r="A63" s="1370" t="s">
        <v>1414</v>
      </c>
      <c r="B63" s="719" t="s">
        <v>623</v>
      </c>
      <c r="C63" s="49">
        <f ca="1">ROUND(C56*F63,2)</f>
        <v>18.12</v>
      </c>
      <c r="D63" s="907" t="s">
        <v>1332</v>
      </c>
      <c r="E63" s="719" t="s">
        <v>1276</v>
      </c>
      <c r="F63" s="751">
        <f t="shared" ca="1" si="0"/>
        <v>2E-3</v>
      </c>
      <c r="I63" s="2389" t="s">
        <v>1724</v>
      </c>
      <c r="J63" s="2390">
        <v>70</v>
      </c>
      <c r="K63" s="2390">
        <v>50</v>
      </c>
      <c r="L63" s="2390">
        <v>80</v>
      </c>
      <c r="M63" s="2392">
        <v>0.02</v>
      </c>
      <c r="O63" s="1958" t="s">
        <v>1745</v>
      </c>
      <c r="P63" s="1959" t="s">
        <v>1762</v>
      </c>
      <c r="Q63" s="1960">
        <f ca="1">Q57+Q58</f>
        <v>10255</v>
      </c>
      <c r="R63" s="1963" t="s">
        <v>1746</v>
      </c>
    </row>
    <row r="64" spans="1:18" s="1673" customFormat="1" ht="16.5" thickBot="1">
      <c r="A64" s="1370" t="s">
        <v>1415</v>
      </c>
      <c r="B64" s="719" t="s">
        <v>626</v>
      </c>
      <c r="C64" s="49">
        <f ca="1">ROUND(C55*F64,2)</f>
        <v>9.06</v>
      </c>
      <c r="D64" s="907" t="s">
        <v>627</v>
      </c>
      <c r="E64" s="719" t="s">
        <v>1276</v>
      </c>
      <c r="F64" s="752">
        <f t="shared" ca="1" si="0"/>
        <v>1E-3</v>
      </c>
      <c r="I64" s="2389" t="s">
        <v>1725</v>
      </c>
      <c r="J64" s="2390">
        <v>50</v>
      </c>
      <c r="K64" s="2390">
        <v>35</v>
      </c>
      <c r="L64" s="2390">
        <v>60</v>
      </c>
      <c r="M64" s="780">
        <v>0</v>
      </c>
      <c r="O64" s="1964" t="s">
        <v>1769</v>
      </c>
      <c r="P64" s="1145"/>
      <c r="Q64" s="1331"/>
      <c r="R64" s="1145"/>
    </row>
    <row r="65" spans="1:18" s="1673" customFormat="1" ht="15.75" thickBot="1">
      <c r="A65" s="1370" t="s">
        <v>1416</v>
      </c>
      <c r="B65" s="719" t="s">
        <v>613</v>
      </c>
      <c r="C65" s="49">
        <f ca="1">ROUND(C47*F65,2)</f>
        <v>0</v>
      </c>
      <c r="D65" s="907" t="s">
        <v>630</v>
      </c>
      <c r="E65" s="719" t="s">
        <v>1276</v>
      </c>
      <c r="F65" s="729">
        <f t="shared" ca="1" si="0"/>
        <v>0.01</v>
      </c>
      <c r="I65" s="2389" t="s">
        <v>1726</v>
      </c>
      <c r="J65" s="2390">
        <v>40</v>
      </c>
      <c r="K65" s="2390">
        <v>30</v>
      </c>
      <c r="L65" s="2390">
        <v>50</v>
      </c>
      <c r="M65" s="2392">
        <v>0.02</v>
      </c>
      <c r="O65" s="1955" t="s">
        <v>1729</v>
      </c>
      <c r="P65" s="1956" t="s">
        <v>1730</v>
      </c>
      <c r="Q65" s="1957" t="s">
        <v>1731</v>
      </c>
      <c r="R65" s="1956" t="s">
        <v>1732</v>
      </c>
    </row>
    <row r="66" spans="1:18" s="1673" customFormat="1" ht="24.75" thickBot="1">
      <c r="A66" s="732" t="s">
        <v>1305</v>
      </c>
      <c r="B66" s="2299" t="s">
        <v>2098</v>
      </c>
      <c r="C66" s="734">
        <f ca="1">C47-C57</f>
        <v>-33</v>
      </c>
      <c r="D66" s="906" t="s">
        <v>647</v>
      </c>
      <c r="E66" s="904"/>
      <c r="F66" s="754"/>
      <c r="K66" s="1697"/>
      <c r="O66" s="1958" t="s">
        <v>1733</v>
      </c>
      <c r="P66" s="1959" t="s">
        <v>1763</v>
      </c>
      <c r="Q66" s="1960">
        <f ca="1">C40+J29</f>
        <v>10255</v>
      </c>
      <c r="R66" s="1959" t="s">
        <v>1734</v>
      </c>
    </row>
    <row r="67" spans="1:18" s="1673" customFormat="1" ht="20.25" thickBot="1">
      <c r="A67" s="716" t="s">
        <v>1309</v>
      </c>
      <c r="B67" s="1827" t="s">
        <v>1658</v>
      </c>
      <c r="C67" s="718">
        <f ca="1">ROUND(C66*(1-((1+F69)/(1+F67))^F68)/(F67-F69),0)</f>
        <v>-426</v>
      </c>
      <c r="D67" s="748" t="s">
        <v>651</v>
      </c>
      <c r="E67" s="719" t="s">
        <v>652</v>
      </c>
      <c r="F67" s="729">
        <f ca="1">F40</f>
        <v>0.06</v>
      </c>
      <c r="K67" s="1697"/>
      <c r="O67" s="1958" t="s">
        <v>1735</v>
      </c>
      <c r="P67" s="1959" t="s">
        <v>1766</v>
      </c>
      <c r="Q67" s="1960">
        <f ca="1">L60</f>
        <v>0</v>
      </c>
      <c r="R67" s="1963" t="s">
        <v>1768</v>
      </c>
    </row>
    <row r="68" spans="1:18" ht="21.75" thickBot="1">
      <c r="A68" s="721"/>
      <c r="B68" s="722"/>
      <c r="C68" s="723"/>
      <c r="D68" s="755" t="s">
        <v>1337</v>
      </c>
      <c r="E68" s="719" t="s">
        <v>1313</v>
      </c>
      <c r="F68" s="756">
        <f ca="1">F41</f>
        <v>25.54</v>
      </c>
      <c r="O68" s="1961" t="s">
        <v>1737</v>
      </c>
      <c r="P68" s="1959" t="s">
        <v>1767</v>
      </c>
      <c r="Q68" s="1965">
        <f ca="1">L51</f>
        <v>1043</v>
      </c>
      <c r="R68" s="1966" t="s">
        <v>1770</v>
      </c>
    </row>
    <row r="69" spans="1:18" ht="20.25" thickBot="1">
      <c r="A69" s="725"/>
      <c r="B69" s="726"/>
      <c r="C69" s="727"/>
      <c r="D69" s="750"/>
      <c r="E69" s="719" t="s">
        <v>657</v>
      </c>
      <c r="F69" s="1935"/>
      <c r="O69" s="1961" t="s">
        <v>1738</v>
      </c>
      <c r="P69" s="1967" t="s">
        <v>1752</v>
      </c>
      <c r="Q69" s="1960">
        <f ca="1">ROUND(Q70-Q71*Q72,0)</f>
        <v>55</v>
      </c>
      <c r="R69" s="1963"/>
    </row>
    <row r="70" spans="1:18" ht="15.75" thickBot="1">
      <c r="A70" s="757" t="s">
        <v>1316</v>
      </c>
      <c r="B70" s="758" t="s">
        <v>1339</v>
      </c>
      <c r="C70" s="759">
        <f ca="1">ROUND(C67*10000/F70,0)</f>
        <v>-213</v>
      </c>
      <c r="D70" s="760" t="s">
        <v>1340</v>
      </c>
      <c r="E70" s="761" t="s">
        <v>1341</v>
      </c>
      <c r="F70" s="762">
        <f ca="1">F43</f>
        <v>20005.599999999999</v>
      </c>
      <c r="O70" s="1961" t="s">
        <v>1753</v>
      </c>
      <c r="P70" s="1967" t="s">
        <v>1754</v>
      </c>
      <c r="Q70" s="1960">
        <f ca="1">C39</f>
        <v>689</v>
      </c>
      <c r="R70" s="1959" t="s">
        <v>1734</v>
      </c>
    </row>
    <row r="71" spans="1:18" ht="15.75" thickBot="1">
      <c r="O71" s="1961" t="s">
        <v>1755</v>
      </c>
      <c r="P71" s="1967" t="s">
        <v>1756</v>
      </c>
      <c r="Q71" s="1960">
        <f ca="1">C13</f>
        <v>9062</v>
      </c>
      <c r="R71" s="1959" t="s">
        <v>1734</v>
      </c>
    </row>
    <row r="72" spans="1:18" ht="15.75" thickBot="1">
      <c r="O72" s="1961" t="s">
        <v>1757</v>
      </c>
      <c r="P72" s="1967" t="s">
        <v>1758</v>
      </c>
      <c r="Q72" s="1962">
        <f ca="1">J36</f>
        <v>7.0000000000000007E-2</v>
      </c>
      <c r="R72" s="1963"/>
    </row>
    <row r="73" spans="1:18" ht="15.75" thickBot="1">
      <c r="O73" s="1961" t="s">
        <v>1740</v>
      </c>
      <c r="P73" s="1959" t="s">
        <v>1747</v>
      </c>
      <c r="Q73" s="1962">
        <f>L52</f>
        <v>0</v>
      </c>
      <c r="R73" s="1963"/>
    </row>
    <row r="74" spans="1:18" ht="20.25" thickBot="1">
      <c r="O74" s="1961" t="s">
        <v>1742</v>
      </c>
      <c r="P74" s="1959" t="s">
        <v>1748</v>
      </c>
      <c r="Q74" s="1960" t="e">
        <f ca="1">L58</f>
        <v>#DIV/0!</v>
      </c>
      <c r="R74" s="1963" t="s">
        <v>1749</v>
      </c>
    </row>
    <row r="75" spans="1:18" ht="15.75" thickBot="1">
      <c r="O75" s="1961" t="s">
        <v>1771</v>
      </c>
      <c r="P75" s="1959" t="str">
        <f>K59</f>
        <v>建设期及建筑物耐用年限下的土地年期修正系数Kn</v>
      </c>
      <c r="Q75" s="1960" t="e">
        <f ca="1">L59</f>
        <v>#DIV/0!</v>
      </c>
      <c r="R75" s="1963" t="s">
        <v>1751</v>
      </c>
    </row>
    <row r="76" spans="1:18" ht="15.75" thickBot="1">
      <c r="O76" s="1958" t="s">
        <v>1745</v>
      </c>
      <c r="P76" s="1959" t="s">
        <v>1762</v>
      </c>
      <c r="Q76" s="1960">
        <f ca="1">Q66+Q67</f>
        <v>10255</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8" customWidth="1"/>
    <col min="2" max="2" width="8.875" style="2828"/>
    <col min="3" max="5" width="12.875" style="2828" customWidth="1"/>
    <col min="6" max="6" width="47.5" style="2828" customWidth="1"/>
    <col min="7" max="7" width="13" style="2822" customWidth="1"/>
    <col min="8" max="8" width="8.875" style="2822"/>
    <col min="9" max="9" width="8.875" style="2823"/>
    <col min="10" max="10" width="5.75" style="2983" customWidth="1"/>
    <col min="11" max="11" width="11.75" style="2983" customWidth="1"/>
    <col min="12" max="13" width="10.75" style="2983" customWidth="1"/>
    <col min="14" max="14" width="10" style="2983" customWidth="1"/>
    <col min="15" max="16" width="10.5" style="2983" bestFit="1" customWidth="1"/>
    <col min="17" max="17" width="10" style="2983" customWidth="1"/>
    <col min="18" max="18" width="10.125" style="2983" customWidth="1"/>
    <col min="19" max="19" width="10" style="2983" customWidth="1"/>
    <col min="20" max="20" width="26.125" style="2983" customWidth="1"/>
    <col min="21" max="21" width="8.875" style="2983"/>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2428</v>
      </c>
      <c r="B1" s="2818"/>
      <c r="C1" s="2831"/>
      <c r="D1" s="2831"/>
      <c r="E1" s="2819"/>
      <c r="F1" s="2820"/>
      <c r="G1" s="2821"/>
      <c r="J1" s="2824" t="s">
        <v>2285</v>
      </c>
      <c r="K1" s="2825"/>
      <c r="L1" s="2825"/>
      <c r="M1" s="2825"/>
      <c r="N1" s="2825"/>
      <c r="O1" s="2825"/>
      <c r="P1" s="2825"/>
      <c r="Q1" s="2825"/>
      <c r="R1" s="2826"/>
      <c r="S1" s="2827"/>
      <c r="T1" s="2827"/>
      <c r="U1" s="2827"/>
    </row>
    <row r="2" spans="1:22" s="2840" customFormat="1" ht="13.15" customHeight="1">
      <c r="A2" s="2829" t="s">
        <v>2286</v>
      </c>
      <c r="B2" s="2830" t="e">
        <f>C40</f>
        <v>#DIV/0!</v>
      </c>
      <c r="C2" s="2831" t="s">
        <v>2287</v>
      </c>
      <c r="D2" s="2831"/>
      <c r="E2" s="2832"/>
      <c r="F2" s="2833"/>
      <c r="G2" s="2834"/>
      <c r="H2" s="2835"/>
      <c r="I2" s="2836"/>
      <c r="J2" s="3756" t="s">
        <v>2288</v>
      </c>
      <c r="K2" s="3757"/>
      <c r="L2" s="2837" t="s">
        <v>2289</v>
      </c>
      <c r="M2" s="2837" t="s">
        <v>2290</v>
      </c>
      <c r="N2" s="2837" t="s">
        <v>2291</v>
      </c>
      <c r="O2" s="2837" t="s">
        <v>2292</v>
      </c>
      <c r="P2" s="2837" t="s">
        <v>2293</v>
      </c>
      <c r="Q2" s="2838" t="s">
        <v>2294</v>
      </c>
      <c r="R2" s="2839" t="s">
        <v>2295</v>
      </c>
      <c r="S2" s="2827"/>
      <c r="T2" s="2827"/>
      <c r="U2" s="2827"/>
      <c r="V2" s="2836"/>
    </row>
    <row r="3" spans="1:22" s="2840" customFormat="1" ht="13.15" customHeight="1">
      <c r="A3" s="2841" t="s">
        <v>2296</v>
      </c>
      <c r="B3" s="2842" t="e">
        <f>ROUND(B2*10000/B4,0)</f>
        <v>#DIV/0!</v>
      </c>
      <c r="C3" s="2831" t="s">
        <v>2297</v>
      </c>
      <c r="D3" s="2831"/>
      <c r="E3" s="2832"/>
      <c r="F3" s="2833"/>
      <c r="G3" s="2834"/>
      <c r="H3" s="2835"/>
      <c r="I3" s="2836"/>
      <c r="J3" s="3758" t="s">
        <v>2298</v>
      </c>
      <c r="K3" s="3759"/>
      <c r="L3" s="2843"/>
      <c r="M3" s="2843"/>
      <c r="N3" s="2843"/>
      <c r="O3" s="2843"/>
      <c r="P3" s="2843"/>
      <c r="Q3" s="2844"/>
      <c r="R3" s="2845">
        <f>SUM(L3:Q3)</f>
        <v>0</v>
      </c>
      <c r="S3" s="2827"/>
      <c r="T3" s="2827"/>
      <c r="U3" s="2827"/>
      <c r="V3" s="2836"/>
    </row>
    <row r="4" spans="1:22" s="2840" customFormat="1" ht="13.15" customHeight="1">
      <c r="A4" s="2846" t="s">
        <v>2299</v>
      </c>
      <c r="B4" s="2847"/>
      <c r="C4" s="2831"/>
      <c r="D4" s="2831"/>
      <c r="E4" s="2832"/>
      <c r="F4" s="2833"/>
      <c r="G4" s="2834"/>
      <c r="H4" s="2835"/>
      <c r="I4" s="2836"/>
      <c r="J4" s="3758" t="s">
        <v>2300</v>
      </c>
      <c r="K4" s="3759"/>
      <c r="L4" s="2848"/>
      <c r="M4" s="2848"/>
      <c r="N4" s="2848"/>
      <c r="O4" s="2848"/>
      <c r="P4" s="2848"/>
      <c r="Q4" s="2849"/>
      <c r="R4" s="2850">
        <f>SUM(L4:Q4)</f>
        <v>0</v>
      </c>
      <c r="S4" s="2827"/>
      <c r="T4" s="2827"/>
      <c r="U4" s="2827"/>
      <c r="V4" s="2836"/>
    </row>
    <row r="5" spans="1:22" s="2840" customFormat="1" ht="13.15" customHeight="1" thickBot="1">
      <c r="A5" s="2851" t="s">
        <v>2301</v>
      </c>
      <c r="B5" s="2852"/>
      <c r="C5" s="2831"/>
      <c r="D5" s="2853"/>
      <c r="E5" s="2833"/>
      <c r="F5" s="2833"/>
      <c r="G5" s="2834"/>
      <c r="H5" s="2835"/>
      <c r="I5" s="2836"/>
      <c r="J5" s="2854" t="s">
        <v>2302</v>
      </c>
      <c r="K5" s="2855"/>
      <c r="L5" s="2855"/>
      <c r="M5" s="2856"/>
      <c r="N5" s="2856"/>
      <c r="O5" s="2856"/>
      <c r="P5" s="2856"/>
      <c r="Q5" s="2856"/>
      <c r="R5" s="2839">
        <f>SUM(R14,R19,R24,R25,R27,R28)</f>
        <v>0</v>
      </c>
      <c r="S5" s="2827"/>
      <c r="T5" s="2827" t="s">
        <v>2303</v>
      </c>
      <c r="U5" s="2827" t="e">
        <f>ROUND(R5*10000/365/R3,1)</f>
        <v>#DIV/0!</v>
      </c>
      <c r="V5" s="2836"/>
    </row>
    <row r="6" spans="1:22" s="2840" customFormat="1" ht="13.15" customHeight="1" thickBot="1">
      <c r="A6" s="3764" t="s">
        <v>2304</v>
      </c>
      <c r="B6" s="3765"/>
      <c r="C6" s="3766"/>
      <c r="D6" s="2857"/>
      <c r="E6" s="2858"/>
      <c r="F6" s="2859"/>
      <c r="G6" s="2860"/>
      <c r="H6" s="2835"/>
      <c r="I6" s="2836"/>
      <c r="J6" s="3750">
        <v>1</v>
      </c>
      <c r="K6" s="3751" t="s">
        <v>2305</v>
      </c>
      <c r="L6" s="2861" t="s">
        <v>2306</v>
      </c>
      <c r="M6" s="2862" t="s">
        <v>2307</v>
      </c>
      <c r="N6" s="2862" t="s">
        <v>2308</v>
      </c>
      <c r="O6" s="2862" t="s">
        <v>2309</v>
      </c>
      <c r="P6" s="2862" t="s">
        <v>2310</v>
      </c>
      <c r="Q6" s="2862" t="s">
        <v>2311</v>
      </c>
      <c r="R6" s="2845" t="s">
        <v>2312</v>
      </c>
      <c r="S6" s="2827"/>
      <c r="T6" s="2827" t="s">
        <v>2313</v>
      </c>
      <c r="U6" s="2827"/>
      <c r="V6" s="2836"/>
    </row>
    <row r="7" spans="1:22" s="2840" customFormat="1" ht="13.15" customHeight="1">
      <c r="A7" s="2863" t="s">
        <v>2314</v>
      </c>
      <c r="B7" s="2864"/>
      <c r="C7" s="2865"/>
      <c r="D7" s="2866">
        <f>SUM(D9,D10,D11,D17,0)</f>
        <v>0</v>
      </c>
      <c r="E7" s="2867" t="e">
        <f>E9+E10+E11+E17</f>
        <v>#DIV/0!</v>
      </c>
      <c r="F7" s="2868"/>
      <c r="G7" s="2869"/>
      <c r="H7" s="2835"/>
      <c r="I7" s="2836"/>
      <c r="J7" s="3750"/>
      <c r="K7" s="3752"/>
      <c r="L7" s="2870" t="s">
        <v>2315</v>
      </c>
      <c r="M7" s="2871"/>
      <c r="N7" s="2847"/>
      <c r="O7" s="2872"/>
      <c r="P7" s="2872"/>
      <c r="Q7" s="2873">
        <v>365</v>
      </c>
      <c r="R7" s="2874">
        <f>ROUND(M7*N7*O7*P7*Q7/10000,0)</f>
        <v>0</v>
      </c>
      <c r="S7" s="2827"/>
      <c r="T7" s="2827" t="s">
        <v>2316</v>
      </c>
      <c r="U7" s="2827"/>
      <c r="V7" s="2836"/>
    </row>
    <row r="8" spans="1:22" s="2840" customFormat="1" ht="13.15" customHeight="1">
      <c r="A8" s="2875" t="s">
        <v>2317</v>
      </c>
      <c r="B8" s="3767" t="s">
        <v>2318</v>
      </c>
      <c r="C8" s="3768"/>
      <c r="D8" s="2876" t="s">
        <v>2319</v>
      </c>
      <c r="E8" s="2877" t="s">
        <v>2320</v>
      </c>
      <c r="F8" s="2878" t="s">
        <v>2321</v>
      </c>
      <c r="G8" s="2879"/>
      <c r="H8" s="2835"/>
      <c r="I8" s="2836"/>
      <c r="J8" s="3750"/>
      <c r="K8" s="3752"/>
      <c r="L8" s="2870" t="s">
        <v>2322</v>
      </c>
      <c r="M8" s="2871"/>
      <c r="N8" s="2847"/>
      <c r="O8" s="2872"/>
      <c r="P8" s="2872"/>
      <c r="Q8" s="2873">
        <v>365</v>
      </c>
      <c r="R8" s="2874">
        <f t="shared" ref="R8:R13" si="0">ROUND(M8*N8*O8*P8*Q8/10000,0)</f>
        <v>0</v>
      </c>
      <c r="S8" s="2827"/>
      <c r="T8" s="2827" t="s">
        <v>2323</v>
      </c>
      <c r="U8" s="2827"/>
      <c r="V8" s="2836"/>
    </row>
    <row r="9" spans="1:22" s="2840" customFormat="1" ht="13.15" customHeight="1">
      <c r="A9" s="2875">
        <v>1</v>
      </c>
      <c r="B9" s="3767" t="s">
        <v>2324</v>
      </c>
      <c r="C9" s="3768"/>
      <c r="D9" s="2876">
        <f>ROUND(D6*E9,0)</f>
        <v>0</v>
      </c>
      <c r="E9" s="2880"/>
      <c r="F9" s="2881" t="s">
        <v>2325</v>
      </c>
      <c r="G9" s="2860"/>
      <c r="H9" s="2835"/>
      <c r="I9" s="2836"/>
      <c r="J9" s="3750"/>
      <c r="K9" s="3752"/>
      <c r="L9" s="2870" t="s">
        <v>2326</v>
      </c>
      <c r="M9" s="2871"/>
      <c r="N9" s="2847"/>
      <c r="O9" s="2872"/>
      <c r="P9" s="2872"/>
      <c r="Q9" s="2873">
        <v>365</v>
      </c>
      <c r="R9" s="2874">
        <f t="shared" si="0"/>
        <v>0</v>
      </c>
      <c r="S9" s="2827"/>
      <c r="T9" s="2827"/>
      <c r="U9" s="2827"/>
      <c r="V9" s="2836"/>
    </row>
    <row r="10" spans="1:22" s="2840" customFormat="1" ht="13.15" customHeight="1">
      <c r="A10" s="2875">
        <v>2</v>
      </c>
      <c r="B10" s="3767" t="s">
        <v>2327</v>
      </c>
      <c r="C10" s="3768"/>
      <c r="D10" s="2876">
        <f>ROUND(D6*E10,0)</f>
        <v>0</v>
      </c>
      <c r="E10" s="2880"/>
      <c r="F10" s="2881" t="s">
        <v>2328</v>
      </c>
      <c r="G10" s="2860"/>
      <c r="H10" s="2835"/>
      <c r="I10" s="2836"/>
      <c r="J10" s="3750"/>
      <c r="K10" s="3752"/>
      <c r="L10" s="2870" t="s">
        <v>2329</v>
      </c>
      <c r="M10" s="2871"/>
      <c r="N10" s="2847"/>
      <c r="O10" s="2872"/>
      <c r="P10" s="2872"/>
      <c r="Q10" s="2873">
        <v>365</v>
      </c>
      <c r="R10" s="2874">
        <f t="shared" si="0"/>
        <v>0</v>
      </c>
      <c r="S10" s="2827"/>
      <c r="T10" s="2827"/>
      <c r="U10" s="2827"/>
      <c r="V10" s="2836"/>
    </row>
    <row r="11" spans="1:22" s="2840" customFormat="1" ht="13.15" customHeight="1">
      <c r="A11" s="2875">
        <v>3</v>
      </c>
      <c r="B11" s="3767" t="s">
        <v>2330</v>
      </c>
      <c r="C11" s="3768"/>
      <c r="D11" s="2876">
        <f>D12+D14+D15+D16</f>
        <v>0</v>
      </c>
      <c r="E11" s="2882" t="e">
        <f>D11/D6</f>
        <v>#DIV/0!</v>
      </c>
      <c r="F11" s="2878"/>
      <c r="G11" s="2879"/>
      <c r="H11" s="2835"/>
      <c r="I11" s="2836"/>
      <c r="J11" s="3750"/>
      <c r="K11" s="3752"/>
      <c r="L11" s="2870" t="s">
        <v>2331</v>
      </c>
      <c r="M11" s="2871"/>
      <c r="N11" s="2847"/>
      <c r="O11" s="2872"/>
      <c r="P11" s="2872"/>
      <c r="Q11" s="2873">
        <v>365</v>
      </c>
      <c r="R11" s="2874">
        <f t="shared" si="0"/>
        <v>0</v>
      </c>
      <c r="S11" s="2827"/>
      <c r="T11" s="2827"/>
      <c r="U11" s="2827"/>
      <c r="V11" s="2836"/>
    </row>
    <row r="12" spans="1:22" s="2840" customFormat="1" ht="13.15" customHeight="1">
      <c r="A12" s="2883" t="s">
        <v>2332</v>
      </c>
      <c r="B12" s="3760" t="s">
        <v>2333</v>
      </c>
      <c r="C12" s="3761"/>
      <c r="D12" s="2884">
        <f>ROUND(D13*1.2%*(1-30%),0)</f>
        <v>0</v>
      </c>
      <c r="E12" s="2885">
        <v>1.2E-2</v>
      </c>
      <c r="F12" s="2878" t="s">
        <v>2334</v>
      </c>
      <c r="G12" s="2879"/>
      <c r="H12" s="2835"/>
      <c r="I12" s="2836"/>
      <c r="J12" s="3750"/>
      <c r="K12" s="3752"/>
      <c r="L12" s="2870" t="s">
        <v>2335</v>
      </c>
      <c r="M12" s="2871"/>
      <c r="N12" s="2847"/>
      <c r="O12" s="2872"/>
      <c r="P12" s="2872"/>
      <c r="Q12" s="2873">
        <v>365</v>
      </c>
      <c r="R12" s="2874">
        <f t="shared" si="0"/>
        <v>0</v>
      </c>
      <c r="S12" s="2827"/>
      <c r="T12" s="2827"/>
      <c r="U12" s="2827"/>
      <c r="V12" s="2836"/>
    </row>
    <row r="13" spans="1:22" s="2840" customFormat="1" ht="13.15" customHeight="1">
      <c r="A13" s="2883"/>
      <c r="B13" s="2886"/>
      <c r="C13" s="2887" t="s">
        <v>2336</v>
      </c>
      <c r="D13" s="2888"/>
      <c r="E13" s="2889"/>
      <c r="F13" s="2878"/>
      <c r="G13" s="2879"/>
      <c r="H13" s="2835"/>
      <c r="I13" s="2836"/>
      <c r="J13" s="3750"/>
      <c r="K13" s="3752"/>
      <c r="L13" s="2870" t="s">
        <v>2337</v>
      </c>
      <c r="M13" s="2871"/>
      <c r="N13" s="2847"/>
      <c r="O13" s="2872"/>
      <c r="P13" s="2872"/>
      <c r="Q13" s="2873">
        <v>365</v>
      </c>
      <c r="R13" s="2874">
        <f t="shared" si="0"/>
        <v>0</v>
      </c>
      <c r="S13" s="2827"/>
      <c r="T13" s="2827"/>
      <c r="U13" s="2827"/>
      <c r="V13" s="2836"/>
    </row>
    <row r="14" spans="1:22" s="2840" customFormat="1" ht="13.15" customHeight="1">
      <c r="A14" s="2883" t="s">
        <v>2338</v>
      </c>
      <c r="B14" s="3760" t="s">
        <v>2339</v>
      </c>
      <c r="C14" s="3761"/>
      <c r="D14" s="2884">
        <f>ROUND(E14*B5/10000,0)</f>
        <v>0</v>
      </c>
      <c r="E14" s="2873"/>
      <c r="F14" s="2878" t="s">
        <v>2340</v>
      </c>
      <c r="G14" s="2879"/>
      <c r="H14" s="2835"/>
      <c r="I14" s="2836"/>
      <c r="J14" s="3750"/>
      <c r="K14" s="3753"/>
      <c r="L14" s="2890" t="s">
        <v>2341</v>
      </c>
      <c r="M14" s="2891">
        <f>SUM(M7:M13)</f>
        <v>0</v>
      </c>
      <c r="N14" s="2891" t="e">
        <f>ROUND((N7*M7+N8*M8+N9*M9+N10*M10+N11*M11+N12*M12+N13*M13)/M14,0)</f>
        <v>#DIV/0!</v>
      </c>
      <c r="O14" s="2892"/>
      <c r="P14" s="2892"/>
      <c r="Q14" s="2893"/>
      <c r="R14" s="2839">
        <f>SUM(R7:R13)</f>
        <v>0</v>
      </c>
      <c r="S14" s="2827"/>
      <c r="T14" s="2827"/>
      <c r="U14" s="2827"/>
      <c r="V14" s="2836"/>
    </row>
    <row r="15" spans="1:22" s="2840" customFormat="1" ht="13.15" customHeight="1">
      <c r="A15" s="2883" t="s">
        <v>2342</v>
      </c>
      <c r="B15" s="3760" t="s">
        <v>2343</v>
      </c>
      <c r="C15" s="3761"/>
      <c r="D15" s="2884">
        <f>ROUND(D6*E15,0)</f>
        <v>0</v>
      </c>
      <c r="E15" s="2885">
        <v>5.5E-2</v>
      </c>
      <c r="F15" s="2878" t="s">
        <v>2344</v>
      </c>
      <c r="G15" s="2860"/>
      <c r="H15" s="2835"/>
      <c r="I15" s="2836"/>
      <c r="J15" s="3750">
        <v>2</v>
      </c>
      <c r="K15" s="3751" t="s">
        <v>2345</v>
      </c>
      <c r="L15" s="2870" t="s">
        <v>2346</v>
      </c>
      <c r="M15" s="2871" t="s">
        <v>2347</v>
      </c>
      <c r="N15" s="2871" t="s">
        <v>2348</v>
      </c>
      <c r="O15" s="2872" t="s">
        <v>2349</v>
      </c>
      <c r="P15" s="2872" t="s">
        <v>2350</v>
      </c>
      <c r="Q15" s="2847" t="s">
        <v>2351</v>
      </c>
      <c r="R15" s="2894" t="s">
        <v>2352</v>
      </c>
      <c r="S15" s="2827"/>
      <c r="T15" s="2827"/>
      <c r="U15" s="2827"/>
      <c r="V15" s="2836"/>
    </row>
    <row r="16" spans="1:22" s="2840" customFormat="1" ht="13.15" customHeight="1">
      <c r="A16" s="2883" t="s">
        <v>2353</v>
      </c>
      <c r="B16" s="3760" t="s">
        <v>2354</v>
      </c>
      <c r="C16" s="3761"/>
      <c r="D16" s="2895">
        <f>D6*E16</f>
        <v>0</v>
      </c>
      <c r="E16" s="2896"/>
      <c r="F16" s="2881" t="s">
        <v>2355</v>
      </c>
      <c r="G16" s="2860"/>
      <c r="H16" s="2835"/>
      <c r="I16" s="2836"/>
      <c r="J16" s="3750"/>
      <c r="K16" s="3752"/>
      <c r="L16" s="2870" t="s">
        <v>2356</v>
      </c>
      <c r="M16" s="2871"/>
      <c r="N16" s="2871"/>
      <c r="O16" s="2872"/>
      <c r="P16" s="2873">
        <v>365</v>
      </c>
      <c r="Q16" s="2847"/>
      <c r="R16" s="2894">
        <f>ROUND(M16*N16*O16*P16/10000,0)</f>
        <v>0</v>
      </c>
      <c r="S16" s="2827"/>
      <c r="T16" s="2827"/>
      <c r="U16" s="2827"/>
      <c r="V16" s="2836"/>
    </row>
    <row r="17" spans="1:22" s="2840" customFormat="1" ht="13.15" customHeight="1" thickBot="1">
      <c r="A17" s="2897">
        <v>4</v>
      </c>
      <c r="B17" s="3762" t="s">
        <v>2357</v>
      </c>
      <c r="C17" s="3763"/>
      <c r="D17" s="2898">
        <f>ROUND(D6*E17,0)</f>
        <v>0</v>
      </c>
      <c r="E17" s="2899"/>
      <c r="F17" s="2900" t="s">
        <v>2358</v>
      </c>
      <c r="G17" s="2860"/>
      <c r="H17" s="2835"/>
      <c r="I17" s="2836"/>
      <c r="J17" s="3750"/>
      <c r="K17" s="3752"/>
      <c r="L17" s="2870" t="s">
        <v>2359</v>
      </c>
      <c r="M17" s="2871"/>
      <c r="N17" s="2871"/>
      <c r="O17" s="2872"/>
      <c r="P17" s="2873">
        <v>365</v>
      </c>
      <c r="Q17" s="2847"/>
      <c r="R17" s="2894">
        <f>ROUND(M17*N17*O17*P17/10000,0)</f>
        <v>0</v>
      </c>
      <c r="S17" s="2827"/>
      <c r="T17" s="2827"/>
      <c r="U17" s="2827"/>
      <c r="V17" s="2836"/>
    </row>
    <row r="18" spans="1:22" s="2840" customFormat="1" ht="13.15" customHeight="1" thickBot="1">
      <c r="A18" s="2863" t="s">
        <v>2360</v>
      </c>
      <c r="B18" s="2864"/>
      <c r="C18" s="2864"/>
      <c r="D18" s="2901">
        <f>ROUND(D6*E18,0)</f>
        <v>0</v>
      </c>
      <c r="E18" s="2902"/>
      <c r="F18" s="2903" t="s">
        <v>2361</v>
      </c>
      <c r="G18" s="2860"/>
      <c r="H18" s="2835"/>
      <c r="I18" s="2836"/>
      <c r="J18" s="3750"/>
      <c r="K18" s="3752"/>
      <c r="L18" s="2870" t="s">
        <v>2362</v>
      </c>
      <c r="M18" s="2871"/>
      <c r="N18" s="2871"/>
      <c r="O18" s="2872"/>
      <c r="P18" s="2873">
        <v>365</v>
      </c>
      <c r="Q18" s="2847"/>
      <c r="R18" s="2894">
        <f>ROUND(M18*N18*O18*P18/10000,0)</f>
        <v>0</v>
      </c>
      <c r="S18" s="2827"/>
      <c r="T18" s="2827"/>
      <c r="U18" s="2827"/>
      <c r="V18" s="2836"/>
    </row>
    <row r="19" spans="1:22" s="2840" customFormat="1" ht="13.15" customHeight="1" thickBot="1">
      <c r="A19" s="2904" t="s">
        <v>2363</v>
      </c>
      <c r="B19" s="2858"/>
      <c r="C19" s="2858"/>
      <c r="D19" s="2858"/>
      <c r="E19" s="2858"/>
      <c r="F19" s="2859"/>
      <c r="G19" s="2879"/>
      <c r="H19" s="2835"/>
      <c r="I19" s="2836"/>
      <c r="J19" s="3750"/>
      <c r="K19" s="3753"/>
      <c r="L19" s="2890" t="s">
        <v>2341</v>
      </c>
      <c r="M19" s="2891"/>
      <c r="N19" s="2891">
        <f>SUM(N16:N18)</f>
        <v>0</v>
      </c>
      <c r="O19" s="2892"/>
      <c r="P19" s="2905" t="s">
        <v>2429</v>
      </c>
      <c r="Q19" s="2872"/>
      <c r="R19" s="2906">
        <f>ROUND(IF(P19="按比例",R14*Q19,SUM(R16:R18)),0)</f>
        <v>0</v>
      </c>
      <c r="S19" s="2827"/>
      <c r="T19" s="2827"/>
      <c r="U19" s="2827"/>
      <c r="V19" s="2836"/>
    </row>
    <row r="20" spans="1:22" s="2840" customFormat="1" ht="13.15" customHeight="1">
      <c r="A20" s="2863"/>
      <c r="B20" s="2864"/>
      <c r="C20" s="2864"/>
      <c r="D20" s="2864"/>
      <c r="E20" s="2864"/>
      <c r="F20" s="2907"/>
      <c r="G20" s="2879"/>
      <c r="H20" s="2835"/>
      <c r="I20" s="2836"/>
      <c r="J20" s="3750">
        <v>3</v>
      </c>
      <c r="K20" s="3751" t="s">
        <v>2364</v>
      </c>
      <c r="L20" s="2870" t="s">
        <v>2365</v>
      </c>
      <c r="M20" s="2871" t="s">
        <v>2366</v>
      </c>
      <c r="N20" s="2908" t="s">
        <v>2367</v>
      </c>
      <c r="O20" s="2872" t="s">
        <v>2368</v>
      </c>
      <c r="P20" s="2873" t="s">
        <v>2369</v>
      </c>
      <c r="Q20" s="2847" t="s">
        <v>2370</v>
      </c>
      <c r="R20" s="2894" t="s">
        <v>2312</v>
      </c>
      <c r="S20" s="2827"/>
      <c r="T20" s="2827"/>
      <c r="U20" s="2827"/>
      <c r="V20" s="2836"/>
    </row>
    <row r="21" spans="1:22" s="2840" customFormat="1" ht="13.15" customHeight="1">
      <c r="A21" s="2863"/>
      <c r="B21" s="2864"/>
      <c r="C21" s="2909" t="s">
        <v>2371</v>
      </c>
      <c r="D21" s="2910" t="s">
        <v>2372</v>
      </c>
      <c r="E21" s="2911" t="s">
        <v>2373</v>
      </c>
      <c r="F21" s="2907"/>
      <c r="G21" s="2879"/>
      <c r="H21" s="2835"/>
      <c r="I21" s="2836"/>
      <c r="J21" s="3750"/>
      <c r="K21" s="3752"/>
      <c r="L21" s="2870" t="s">
        <v>2374</v>
      </c>
      <c r="M21" s="2871"/>
      <c r="N21" s="2871"/>
      <c r="O21" s="2872"/>
      <c r="P21" s="2873">
        <v>365</v>
      </c>
      <c r="Q21" s="2847"/>
      <c r="R21" s="2912">
        <f>ROUND(M21*N21*O21*P21/10000,0)</f>
        <v>0</v>
      </c>
      <c r="S21" s="2827"/>
      <c r="T21" s="2827"/>
      <c r="U21" s="2827"/>
      <c r="V21" s="2836"/>
    </row>
    <row r="22" spans="1:22" s="2840" customFormat="1" ht="13.15" customHeight="1">
      <c r="A22" s="2863"/>
      <c r="B22" s="2864"/>
      <c r="C22" s="2913" t="s">
        <v>2375</v>
      </c>
      <c r="D22" s="2914" t="s">
        <v>2376</v>
      </c>
      <c r="E22" s="2915" t="s">
        <v>2377</v>
      </c>
      <c r="F22" s="2907"/>
      <c r="G22" s="2827"/>
      <c r="H22" s="2835"/>
      <c r="I22" s="2836"/>
      <c r="J22" s="3750"/>
      <c r="K22" s="3752"/>
      <c r="L22" s="2870" t="s">
        <v>2378</v>
      </c>
      <c r="M22" s="2871"/>
      <c r="N22" s="2871"/>
      <c r="O22" s="2872"/>
      <c r="P22" s="2873">
        <v>365</v>
      </c>
      <c r="Q22" s="2847"/>
      <c r="R22" s="2912">
        <f>ROUND(M22*N22*O22*P22/10000,0)</f>
        <v>0</v>
      </c>
      <c r="S22" s="2827"/>
      <c r="T22" s="2827"/>
      <c r="U22" s="2827"/>
      <c r="V22" s="2836"/>
    </row>
    <row r="23" spans="1:22" s="2840" customFormat="1" ht="13.15" customHeight="1">
      <c r="A23" s="2916">
        <v>1</v>
      </c>
      <c r="B23" s="2917" t="s">
        <v>2379</v>
      </c>
      <c r="C23" s="2918">
        <f>D6</f>
        <v>0</v>
      </c>
      <c r="D23" s="2919">
        <f>C23*(1+D24)</f>
        <v>0</v>
      </c>
      <c r="E23" s="2920">
        <f>D23*(1+E24)</f>
        <v>0</v>
      </c>
      <c r="F23" s="2921"/>
      <c r="G23" s="2922"/>
      <c r="H23" s="2835"/>
      <c r="I23" s="2836"/>
      <c r="J23" s="3750"/>
      <c r="K23" s="3752"/>
      <c r="L23" s="2870" t="s">
        <v>2380</v>
      </c>
      <c r="M23" s="2871"/>
      <c r="N23" s="2871"/>
      <c r="O23" s="2872"/>
      <c r="P23" s="2873">
        <v>365</v>
      </c>
      <c r="Q23" s="2847"/>
      <c r="R23" s="2912">
        <f>ROUND(M23*N23*O23*P23/10000,0)</f>
        <v>0</v>
      </c>
      <c r="S23" s="2827"/>
      <c r="T23" s="2827"/>
      <c r="U23" s="2827"/>
      <c r="V23" s="2836"/>
    </row>
    <row r="24" spans="1:22" s="2840" customFormat="1" ht="13.15" customHeight="1">
      <c r="A24" s="2923"/>
      <c r="B24" s="2924" t="s">
        <v>2381</v>
      </c>
      <c r="C24" s="2925"/>
      <c r="D24" s="2926"/>
      <c r="E24" s="2927"/>
      <c r="F24" s="2928"/>
      <c r="G24" s="2922"/>
      <c r="H24" s="2835"/>
      <c r="I24" s="2836"/>
      <c r="J24" s="3750"/>
      <c r="K24" s="3753"/>
      <c r="L24" s="2890" t="s">
        <v>2341</v>
      </c>
      <c r="M24" s="2891">
        <f>SUM(M21:M23)</f>
        <v>0</v>
      </c>
      <c r="N24" s="2891"/>
      <c r="O24" s="2892"/>
      <c r="P24" s="2905" t="s">
        <v>2429</v>
      </c>
      <c r="Q24" s="2872"/>
      <c r="R24" s="2906">
        <f>ROUND(IF(P24="按比例",R14*Q24,SUM(R21:R23)),0)</f>
        <v>0</v>
      </c>
      <c r="S24" s="2827"/>
      <c r="T24" s="2827"/>
      <c r="U24" s="2827"/>
      <c r="V24" s="2836"/>
    </row>
    <row r="25" spans="1:22" s="2935" customFormat="1" ht="13.15" customHeight="1">
      <c r="A25" s="2923"/>
      <c r="B25" s="2924"/>
      <c r="C25" s="2925"/>
      <c r="D25" s="2926"/>
      <c r="E25" s="2927"/>
      <c r="F25" s="2928"/>
      <c r="G25" s="2827"/>
      <c r="H25" s="2835"/>
      <c r="I25" s="2836"/>
      <c r="J25" s="2929">
        <v>4</v>
      </c>
      <c r="K25" s="2930" t="s">
        <v>2382</v>
      </c>
      <c r="L25" s="2931"/>
      <c r="M25" s="2931"/>
      <c r="N25" s="2931"/>
      <c r="O25" s="2931"/>
      <c r="P25" s="2932"/>
      <c r="Q25" s="2933"/>
      <c r="R25" s="2906">
        <f>ROUND(R14*Q25,0)</f>
        <v>0</v>
      </c>
      <c r="S25" s="2827"/>
      <c r="T25" s="2827"/>
      <c r="U25" s="2827"/>
      <c r="V25" s="2934"/>
    </row>
    <row r="26" spans="1:22" s="2935" customFormat="1" ht="13.15" customHeight="1">
      <c r="A26" s="2916">
        <v>2</v>
      </c>
      <c r="B26" s="2917" t="s">
        <v>2383</v>
      </c>
      <c r="C26" s="2918">
        <f>D7</f>
        <v>0</v>
      </c>
      <c r="D26" s="2919">
        <f>D23*D27</f>
        <v>0</v>
      </c>
      <c r="E26" s="2920">
        <f>E23*E27</f>
        <v>0</v>
      </c>
      <c r="F26" s="2921"/>
      <c r="G26" s="2922"/>
      <c r="H26" s="2835"/>
      <c r="I26" s="2836"/>
      <c r="J26" s="3754">
        <v>5</v>
      </c>
      <c r="K26" s="2936" t="s">
        <v>2384</v>
      </c>
      <c r="L26" s="2937"/>
      <c r="M26" s="2938"/>
      <c r="N26" s="2939" t="s">
        <v>2385</v>
      </c>
      <c r="O26" s="2939" t="s">
        <v>2386</v>
      </c>
      <c r="P26" s="2940" t="s">
        <v>2387</v>
      </c>
      <c r="Q26" s="2940" t="s">
        <v>2388</v>
      </c>
      <c r="R26" s="2845" t="s">
        <v>2389</v>
      </c>
      <c r="S26" s="2879"/>
      <c r="T26" s="2879"/>
      <c r="U26" s="2879"/>
      <c r="V26" s="2934"/>
    </row>
    <row r="27" spans="1:22" s="2840" customFormat="1" ht="13.15" customHeight="1">
      <c r="A27" s="2923"/>
      <c r="B27" s="2924" t="s">
        <v>2390</v>
      </c>
      <c r="C27" s="2941" t="e">
        <f>E7</f>
        <v>#DIV/0!</v>
      </c>
      <c r="D27" s="2926"/>
      <c r="E27" s="2927"/>
      <c r="F27" s="2928"/>
      <c r="G27" s="2922"/>
      <c r="H27" s="2942"/>
      <c r="I27" s="2934"/>
      <c r="J27" s="3755"/>
      <c r="K27" s="2943"/>
      <c r="L27" s="2944"/>
      <c r="M27" s="2945"/>
      <c r="N27" s="2946"/>
      <c r="O27" s="2946"/>
      <c r="P27" s="2946"/>
      <c r="Q27" s="2947"/>
      <c r="R27" s="2906">
        <f>ROUND(O27*N27*P27*(1-Q27)/10000,0)</f>
        <v>0</v>
      </c>
      <c r="S27" s="2827"/>
      <c r="T27" s="2827"/>
      <c r="U27" s="2827"/>
      <c r="V27" s="2836"/>
    </row>
    <row r="28" spans="1:22" s="2935" customFormat="1" ht="13.15" customHeight="1" thickBot="1">
      <c r="A28" s="2923"/>
      <c r="B28" s="2924"/>
      <c r="C28" s="2941"/>
      <c r="D28" s="2926"/>
      <c r="E28" s="2927" t="s">
        <v>2391</v>
      </c>
      <c r="F28" s="2928"/>
      <c r="G28" s="2827"/>
      <c r="H28" s="2942"/>
      <c r="I28" s="2934"/>
      <c r="J28" s="2948">
        <v>6</v>
      </c>
      <c r="K28" s="2949" t="s">
        <v>2392</v>
      </c>
      <c r="L28" s="2950" t="s">
        <v>2393</v>
      </c>
      <c r="M28" s="2951"/>
      <c r="N28" s="2950" t="s">
        <v>2394</v>
      </c>
      <c r="O28" s="2952"/>
      <c r="P28" s="2950" t="s">
        <v>2395</v>
      </c>
      <c r="Q28" s="2953">
        <v>1.4999999999999999E-2</v>
      </c>
      <c r="R28" s="2954"/>
      <c r="S28" s="2827"/>
      <c r="T28" s="2827"/>
      <c r="U28" s="2827"/>
      <c r="V28" s="2934"/>
    </row>
    <row r="29" spans="1:22" s="2935" customFormat="1" ht="13.15" customHeight="1">
      <c r="A29" s="2916">
        <v>3</v>
      </c>
      <c r="B29" s="2917" t="s">
        <v>2396</v>
      </c>
      <c r="C29" s="2918">
        <f>C23*C30</f>
        <v>0</v>
      </c>
      <c r="D29" s="2919">
        <f>D23*C30</f>
        <v>0</v>
      </c>
      <c r="E29" s="2920">
        <f>E23*C30</f>
        <v>0</v>
      </c>
      <c r="F29" s="2921"/>
      <c r="G29" s="2922"/>
      <c r="H29" s="2835"/>
      <c r="I29" s="2836"/>
      <c r="J29" s="2827"/>
      <c r="K29" s="2827"/>
      <c r="L29" s="2827"/>
      <c r="M29" s="2827"/>
      <c r="N29" s="2827"/>
      <c r="O29" s="2827"/>
      <c r="P29" s="2827"/>
      <c r="Q29" s="2827"/>
      <c r="R29" s="2827"/>
      <c r="S29" s="2827"/>
      <c r="T29" s="2827"/>
      <c r="U29" s="2827"/>
      <c r="V29" s="2934"/>
    </row>
    <row r="30" spans="1:22" s="2840" customFormat="1" ht="13.15" customHeight="1" thickBot="1">
      <c r="A30" s="2923"/>
      <c r="B30" s="2924" t="s">
        <v>2397</v>
      </c>
      <c r="C30" s="2941">
        <f>E18</f>
        <v>0</v>
      </c>
      <c r="D30" s="2955"/>
      <c r="E30" s="2889"/>
      <c r="F30" s="2928"/>
      <c r="G30" s="2922"/>
      <c r="H30" s="2942"/>
      <c r="I30" s="2934"/>
      <c r="J30" s="2827"/>
      <c r="K30" s="2827"/>
      <c r="L30" s="2827"/>
      <c r="M30" s="2827"/>
      <c r="N30" s="2827"/>
      <c r="O30" s="2827"/>
      <c r="P30" s="2827"/>
      <c r="Q30" s="2827"/>
      <c r="R30" s="2827"/>
      <c r="S30" s="2827"/>
      <c r="T30" s="2827"/>
      <c r="U30" s="2827"/>
      <c r="V30" s="2836"/>
    </row>
    <row r="31" spans="1:22" s="2935" customFormat="1" ht="13.15" customHeight="1">
      <c r="A31" s="2923"/>
      <c r="B31" s="2924"/>
      <c r="C31" s="2956"/>
      <c r="D31" s="2955"/>
      <c r="E31" s="2889"/>
      <c r="F31" s="2928"/>
      <c r="G31" s="2827"/>
      <c r="H31" s="2942"/>
      <c r="I31" s="2934"/>
      <c r="J31" s="2824" t="s">
        <v>2398</v>
      </c>
      <c r="K31" s="2825"/>
      <c r="L31" s="2825"/>
      <c r="M31" s="2825"/>
      <c r="N31" s="2825"/>
      <c r="O31" s="2825"/>
      <c r="P31" s="2825"/>
      <c r="Q31" s="2825"/>
      <c r="R31" s="2826"/>
      <c r="S31" s="2827"/>
      <c r="T31" s="2827"/>
      <c r="U31" s="2827"/>
      <c r="V31" s="2934"/>
    </row>
    <row r="32" spans="1:22" s="2935" customFormat="1" ht="13.15" customHeight="1">
      <c r="A32" s="2916">
        <v>4</v>
      </c>
      <c r="B32" s="2917" t="s">
        <v>2399</v>
      </c>
      <c r="C32" s="2918">
        <f>C23-C26-C29</f>
        <v>0</v>
      </c>
      <c r="D32" s="2919">
        <f>D23-D26-D29</f>
        <v>0</v>
      </c>
      <c r="E32" s="2920">
        <f>E23-E26-E29</f>
        <v>0</v>
      </c>
      <c r="F32" s="2921"/>
      <c r="G32" s="2827"/>
      <c r="H32" s="2835"/>
      <c r="I32" s="2836"/>
      <c r="J32" s="3756" t="s">
        <v>2400</v>
      </c>
      <c r="K32" s="3757"/>
      <c r="L32" s="2837" t="s">
        <v>2401</v>
      </c>
      <c r="M32" s="2837" t="s">
        <v>2290</v>
      </c>
      <c r="N32" s="2837" t="s">
        <v>2291</v>
      </c>
      <c r="O32" s="2837" t="s">
        <v>2292</v>
      </c>
      <c r="P32" s="2837" t="s">
        <v>2293</v>
      </c>
      <c r="Q32" s="2838" t="s">
        <v>2402</v>
      </c>
      <c r="R32" s="2957" t="s">
        <v>2403</v>
      </c>
      <c r="S32" s="2827"/>
      <c r="T32" s="2827"/>
      <c r="U32" s="2827"/>
      <c r="V32" s="2934"/>
    </row>
    <row r="33" spans="1:23" s="2840" customFormat="1" ht="13.15" customHeight="1">
      <c r="A33" s="2916"/>
      <c r="B33" s="2917"/>
      <c r="C33" s="2918"/>
      <c r="D33" s="2958"/>
      <c r="E33" s="2959"/>
      <c r="F33" s="2921"/>
      <c r="G33" s="2827"/>
      <c r="H33" s="2942"/>
      <c r="I33" s="2934"/>
      <c r="J33" s="3758" t="s">
        <v>2404</v>
      </c>
      <c r="K33" s="3759"/>
      <c r="L33" s="2843"/>
      <c r="M33" s="2843"/>
      <c r="N33" s="2843"/>
      <c r="O33" s="2843"/>
      <c r="P33" s="2843"/>
      <c r="Q33" s="2844"/>
      <c r="R33" s="2960">
        <f>SUM(L33:Q33)</f>
        <v>0</v>
      </c>
      <c r="S33" s="2827"/>
      <c r="T33" s="2827"/>
      <c r="U33" s="2827"/>
      <c r="V33" s="2836"/>
    </row>
    <row r="34" spans="1:23" s="2840" customFormat="1" ht="13.15" customHeight="1">
      <c r="A34" s="2916">
        <v>5</v>
      </c>
      <c r="B34" s="2917" t="s">
        <v>2405</v>
      </c>
      <c r="C34" s="2961"/>
      <c r="D34" s="2962"/>
      <c r="E34" s="2963"/>
      <c r="F34" s="2921"/>
      <c r="G34" s="2827"/>
      <c r="H34" s="2942"/>
      <c r="I34" s="2934"/>
      <c r="J34" s="3758" t="s">
        <v>2406</v>
      </c>
      <c r="K34" s="3759"/>
      <c r="L34" s="2848"/>
      <c r="M34" s="2848"/>
      <c r="N34" s="2848"/>
      <c r="O34" s="2848"/>
      <c r="P34" s="2848"/>
      <c r="Q34" s="2849"/>
      <c r="R34" s="2964">
        <f>SUM(L34:Q34)</f>
        <v>0</v>
      </c>
      <c r="S34" s="2827"/>
      <c r="T34" s="2827"/>
      <c r="U34" s="2827" t="e">
        <f>ROUND(R35*10000/365/R33,1)</f>
        <v>#DIV/0!</v>
      </c>
      <c r="V34" s="2836"/>
    </row>
    <row r="35" spans="1:23" s="2840" customFormat="1" ht="13.15" customHeight="1">
      <c r="A35" s="2916">
        <v>6</v>
      </c>
      <c r="B35" s="2917" t="s">
        <v>2407</v>
      </c>
      <c r="C35" s="2965"/>
      <c r="D35" s="2966"/>
      <c r="E35" s="2967"/>
      <c r="F35" s="2921"/>
      <c r="G35" s="2968"/>
      <c r="H35" s="2835"/>
      <c r="I35" s="2934"/>
      <c r="J35" s="2854" t="s">
        <v>2408</v>
      </c>
      <c r="K35" s="2855"/>
      <c r="L35" s="2855"/>
      <c r="M35" s="2856"/>
      <c r="N35" s="2856"/>
      <c r="O35" s="2856"/>
      <c r="P35" s="2856"/>
      <c r="Q35" s="2856"/>
      <c r="R35" s="2969">
        <f>R40+R41+R43</f>
        <v>0</v>
      </c>
      <c r="S35" s="2827"/>
      <c r="T35" s="2827" t="s">
        <v>2409</v>
      </c>
      <c r="U35" s="2827"/>
      <c r="V35" s="2836"/>
    </row>
    <row r="36" spans="1:23" s="2840" customFormat="1" ht="13.15" customHeight="1" thickBot="1">
      <c r="A36" s="2916">
        <v>7</v>
      </c>
      <c r="B36" s="2970" t="s">
        <v>2410</v>
      </c>
      <c r="C36" s="2971"/>
      <c r="D36" s="2972"/>
      <c r="E36" s="2973"/>
      <c r="F36" s="2974">
        <f>C36+D36+E36</f>
        <v>0</v>
      </c>
      <c r="G36" s="2827"/>
      <c r="H36" s="2835"/>
      <c r="I36" s="2836"/>
      <c r="J36" s="3750">
        <v>1</v>
      </c>
      <c r="K36" s="3751" t="s">
        <v>2411</v>
      </c>
      <c r="L36" s="2861"/>
      <c r="M36" s="2862"/>
      <c r="N36" s="2862"/>
      <c r="O36" s="2862"/>
      <c r="P36" s="2862"/>
      <c r="Q36" s="2862"/>
      <c r="R36" s="2845" t="s">
        <v>2312</v>
      </c>
      <c r="S36" s="2827"/>
      <c r="T36" s="2827" t="s">
        <v>2313</v>
      </c>
      <c r="U36" s="2827"/>
      <c r="V36" s="2836"/>
    </row>
    <row r="37" spans="1:23" s="2840" customFormat="1" ht="13.15" customHeight="1">
      <c r="A37" s="2916"/>
      <c r="B37" s="2917"/>
      <c r="C37" s="2917"/>
      <c r="D37" s="2917"/>
      <c r="E37" s="2917"/>
      <c r="F37" s="2921"/>
      <c r="G37" s="2827"/>
      <c r="H37" s="2835"/>
      <c r="I37" s="2836"/>
      <c r="J37" s="3750"/>
      <c r="K37" s="3752"/>
      <c r="L37" s="2870"/>
      <c r="M37" s="2871"/>
      <c r="N37" s="2847"/>
      <c r="O37" s="2872"/>
      <c r="P37" s="2872"/>
      <c r="Q37" s="2873"/>
      <c r="R37" s="2874"/>
      <c r="S37" s="2827"/>
      <c r="T37" s="2827" t="s">
        <v>2316</v>
      </c>
      <c r="U37" s="2827"/>
      <c r="V37" s="2836"/>
    </row>
    <row r="38" spans="1:23" s="2840" customFormat="1" ht="13.15" customHeight="1">
      <c r="A38" s="2916">
        <v>8</v>
      </c>
      <c r="B38" s="2917"/>
      <c r="C38" s="2876" t="e">
        <f>ROUND(C32*(1-((1+C35)/(1+C34))^C36)/(C34-C35),0)</f>
        <v>#DIV/0!</v>
      </c>
      <c r="D38" s="2876">
        <f>IF(D23=0,0,ROUND(D32*(1-((1+D35)/(1+D34))^D36)/(D34-D35),0))</f>
        <v>0</v>
      </c>
      <c r="E38" s="2876">
        <f>IF(E23=0,0,ROUND(E32*(1-((1+E35)/(1+E34))^E36)/(E34-E35),0))</f>
        <v>0</v>
      </c>
      <c r="F38" s="2921"/>
      <c r="G38" s="2827"/>
      <c r="H38" s="2835"/>
      <c r="I38" s="2836"/>
      <c r="J38" s="3750"/>
      <c r="K38" s="3752"/>
      <c r="L38" s="2870"/>
      <c r="M38" s="2871"/>
      <c r="N38" s="2847"/>
      <c r="O38" s="2872"/>
      <c r="P38" s="2872"/>
      <c r="Q38" s="2873"/>
      <c r="R38" s="2874"/>
      <c r="S38" s="2827"/>
      <c r="T38" s="2827" t="s">
        <v>2323</v>
      </c>
      <c r="U38" s="2827"/>
      <c r="V38" s="2836"/>
    </row>
    <row r="39" spans="1:23" s="2840" customFormat="1" ht="13.15" customHeight="1">
      <c r="A39" s="2916">
        <v>9</v>
      </c>
      <c r="B39" s="2917" t="s">
        <v>2412</v>
      </c>
      <c r="C39" s="2884" t="e">
        <f>C38</f>
        <v>#DIV/0!</v>
      </c>
      <c r="D39" s="2917">
        <f>D38/(1+D34)^C36</f>
        <v>0</v>
      </c>
      <c r="E39" s="2917">
        <f>E38/(1+E34)^(C36+D36)</f>
        <v>0</v>
      </c>
      <c r="F39" s="2921"/>
      <c r="G39" s="2836"/>
      <c r="H39" s="2835"/>
      <c r="I39" s="2836"/>
      <c r="J39" s="3750"/>
      <c r="K39" s="3752"/>
      <c r="L39" s="2870"/>
      <c r="M39" s="2871"/>
      <c r="N39" s="2847"/>
      <c r="O39" s="2872"/>
      <c r="P39" s="2872"/>
      <c r="Q39" s="2873"/>
      <c r="R39" s="2874"/>
      <c r="S39" s="2827"/>
      <c r="T39" s="2827"/>
      <c r="U39" s="2827"/>
      <c r="V39" s="2836"/>
    </row>
    <row r="40" spans="1:23" s="2840" customFormat="1" ht="13.15" customHeight="1">
      <c r="A40" s="2975">
        <v>10</v>
      </c>
      <c r="B40" s="2917" t="s">
        <v>2413</v>
      </c>
      <c r="C40" s="2976" t="e">
        <f>C39+D39+E39</f>
        <v>#DIV/0!</v>
      </c>
      <c r="D40" s="2977"/>
      <c r="E40" s="2977"/>
      <c r="F40" s="2978"/>
      <c r="G40" s="2827"/>
      <c r="H40" s="2835"/>
      <c r="I40" s="2836"/>
      <c r="J40" s="3750"/>
      <c r="K40" s="3753"/>
      <c r="L40" s="2890" t="s">
        <v>2414</v>
      </c>
      <c r="M40" s="2891"/>
      <c r="N40" s="2891"/>
      <c r="O40" s="2892"/>
      <c r="P40" s="2892"/>
      <c r="Q40" s="2893"/>
      <c r="R40" s="2839">
        <f>SUM(R37:R39)</f>
        <v>0</v>
      </c>
      <c r="S40" s="2827"/>
      <c r="T40" s="2827"/>
      <c r="U40" s="2827"/>
      <c r="V40" s="2836"/>
    </row>
    <row r="41" spans="1:23" s="2840" customFormat="1" ht="13.15" customHeight="1" thickBot="1">
      <c r="A41" s="2979">
        <v>11</v>
      </c>
      <c r="B41" s="2980" t="s">
        <v>2415</v>
      </c>
      <c r="C41" s="2980" t="e">
        <f>ROUND(C40*10000/B4,0)</f>
        <v>#DIV/0!</v>
      </c>
      <c r="D41" s="2981"/>
      <c r="E41" s="2981"/>
      <c r="F41" s="2982"/>
      <c r="G41" s="2835"/>
      <c r="H41" s="2835"/>
      <c r="I41" s="2836"/>
      <c r="J41" s="2929">
        <v>2</v>
      </c>
      <c r="K41" s="2930" t="s">
        <v>2416</v>
      </c>
      <c r="L41" s="2931"/>
      <c r="M41" s="2931"/>
      <c r="N41" s="2931"/>
      <c r="O41" s="2931"/>
      <c r="P41" s="2932"/>
      <c r="Q41" s="2933"/>
      <c r="R41" s="2906">
        <f>ROUND(R40*Q41,0)</f>
        <v>0</v>
      </c>
      <c r="S41" s="2827"/>
      <c r="T41" s="2827"/>
      <c r="U41" s="2879"/>
      <c r="V41" s="2836"/>
    </row>
    <row r="42" spans="1:23" s="2840" customFormat="1" ht="13.15" customHeight="1">
      <c r="G42" s="2835"/>
      <c r="H42" s="2835"/>
      <c r="I42" s="2836"/>
      <c r="J42" s="3754">
        <v>3</v>
      </c>
      <c r="K42" s="2936" t="s">
        <v>2417</v>
      </c>
      <c r="L42" s="2937"/>
      <c r="M42" s="2938"/>
      <c r="N42" s="2939" t="s">
        <v>2418</v>
      </c>
      <c r="O42" s="2939" t="s">
        <v>2419</v>
      </c>
      <c r="P42" s="2940" t="s">
        <v>2420</v>
      </c>
      <c r="Q42" s="2940" t="s">
        <v>2421</v>
      </c>
      <c r="R42" s="2845" t="s">
        <v>2422</v>
      </c>
      <c r="S42" s="2879"/>
      <c r="T42" s="2879"/>
      <c r="U42" s="2827"/>
      <c r="V42" s="2836"/>
    </row>
    <row r="43" spans="1:23" ht="13.15" customHeight="1">
      <c r="A43" s="2840"/>
      <c r="B43" s="2840"/>
      <c r="C43" s="2840"/>
      <c r="D43" s="2840"/>
      <c r="E43" s="2840"/>
      <c r="F43" s="2840"/>
      <c r="I43" s="2822"/>
      <c r="J43" s="3755"/>
      <c r="K43" s="2943"/>
      <c r="L43" s="2944"/>
      <c r="M43" s="2945"/>
      <c r="N43" s="2871"/>
      <c r="O43" s="2871"/>
      <c r="P43" s="2871"/>
      <c r="Q43" s="2933"/>
      <c r="R43" s="2906">
        <f>ROUND(O43*N43*P43*(1-Q43)/10000,0)</f>
        <v>0</v>
      </c>
      <c r="S43" s="2827"/>
      <c r="T43" s="2827"/>
      <c r="V43" s="2983"/>
      <c r="W43" s="2984"/>
    </row>
    <row r="44" spans="1:23" ht="13.15" customHeight="1" thickBot="1">
      <c r="J44" s="2948">
        <v>6</v>
      </c>
      <c r="K44" s="2949" t="s">
        <v>2423</v>
      </c>
      <c r="L44" s="2985" t="s">
        <v>2424</v>
      </c>
      <c r="M44" s="2951"/>
      <c r="N44" s="2985" t="s">
        <v>2425</v>
      </c>
      <c r="O44" s="2951"/>
      <c r="P44" s="2985" t="s">
        <v>2426</v>
      </c>
      <c r="Q44" s="2953">
        <v>1.4999999999999999E-2</v>
      </c>
      <c r="R44" s="29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f ca="1">C23</f>
        <v>0</v>
      </c>
      <c r="C2" s="2769"/>
      <c r="D2" s="2769"/>
      <c r="E2" s="2769"/>
      <c r="F2" s="2769"/>
      <c r="G2" s="2769"/>
    </row>
    <row r="3" spans="1:25" s="1673" customFormat="1" ht="18" customHeight="1">
      <c r="A3" s="1171" t="s">
        <v>1218</v>
      </c>
      <c r="B3" s="395">
        <f ca="1">ROUND(B2*10000/'数据-汇总表'!E3,0)</f>
        <v>0</v>
      </c>
      <c r="C3" s="2769"/>
      <c r="D3" s="2769"/>
      <c r="E3" s="2769"/>
      <c r="F3" s="2769"/>
      <c r="G3" s="2769"/>
    </row>
    <row r="4" spans="1:25" s="1673" customFormat="1" ht="18" customHeight="1">
      <c r="A4" s="396" t="s">
        <v>428</v>
      </c>
      <c r="B4" s="397">
        <f ca="1">ROUND(B2*10000/'数据-汇总表'!D3,0)</f>
        <v>0</v>
      </c>
      <c r="C4" s="2729"/>
      <c r="D4" s="2769"/>
      <c r="E4" s="2769"/>
      <c r="F4" s="2769"/>
      <c r="G4" s="2769"/>
    </row>
    <row r="5" spans="1:25" s="1673" customFormat="1" ht="18" customHeight="1" thickBot="1">
      <c r="A5" s="399"/>
      <c r="B5" s="400">
        <f ca="1">ROUND(B2/('数据-汇总表'!D3/666.67),0)</f>
        <v>0</v>
      </c>
      <c r="C5" s="401" t="s">
        <v>429</v>
      </c>
      <c r="D5" s="2769"/>
      <c r="E5" s="2769"/>
      <c r="F5" s="2769"/>
      <c r="G5" s="2769"/>
    </row>
    <row r="6" spans="1:25" s="1784" customFormat="1" ht="13.5" customHeight="1">
      <c r="A6" s="680"/>
      <c r="B6" s="681" t="s">
        <v>552</v>
      </c>
      <c r="C6" s="682" t="s">
        <v>553</v>
      </c>
      <c r="D6" s="682" t="s">
        <v>554</v>
      </c>
      <c r="E6" s="683" t="s">
        <v>555</v>
      </c>
      <c r="F6" s="683" t="s">
        <v>556</v>
      </c>
      <c r="G6" s="2768" t="s">
        <v>2269</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2">
        <f>ROUND(D8*E8/10000,0)</f>
        <v>0</v>
      </c>
      <c r="D8" s="2772">
        <v>0</v>
      </c>
      <c r="E8" s="2773">
        <v>0</v>
      </c>
      <c r="F8" s="686"/>
      <c r="G8" s="687"/>
    </row>
    <row r="9" spans="1:25" s="1784" customFormat="1" ht="13.5" customHeight="1">
      <c r="A9" s="1982" t="s">
        <v>1787</v>
      </c>
      <c r="B9" s="1985" t="s">
        <v>1789</v>
      </c>
      <c r="C9" s="2772">
        <f>ROUND(D9*E9/10000,0)</f>
        <v>0</v>
      </c>
      <c r="D9" s="2772">
        <v>0</v>
      </c>
      <c r="E9" s="2773">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960</v>
      </c>
      <c r="D12" s="2772">
        <f>'数据-汇总表'!E5</f>
        <v>80022.38</v>
      </c>
      <c r="E12" s="2772">
        <f>'数据-取费表'!B27</f>
        <v>120</v>
      </c>
      <c r="F12" s="691"/>
      <c r="G12" s="694"/>
    </row>
    <row r="13" spans="1:25" s="1784" customFormat="1" ht="13.5" customHeight="1">
      <c r="A13" s="1988" t="s">
        <v>1793</v>
      </c>
      <c r="B13" s="692" t="s">
        <v>560</v>
      </c>
      <c r="C13" s="693">
        <f>ROUND(D13*E13/10000,0)</f>
        <v>240</v>
      </c>
      <c r="D13" s="2772">
        <f>'数据-汇总表'!E6</f>
        <v>20005.600000000006</v>
      </c>
      <c r="E13" s="2772">
        <f>'数据-取费表'!B28</f>
        <v>120</v>
      </c>
      <c r="F13" s="691"/>
      <c r="G13" s="694"/>
    </row>
    <row r="14" spans="1:25" s="1784" customFormat="1" ht="13.5" customHeight="1">
      <c r="A14" s="1982" t="s">
        <v>1787</v>
      </c>
      <c r="B14" s="1987" t="s">
        <v>1790</v>
      </c>
      <c r="C14" s="2774">
        <f>ROUND(D14*E14/10000,0)</f>
        <v>0</v>
      </c>
      <c r="D14" s="2772">
        <v>0</v>
      </c>
      <c r="E14" s="2773">
        <v>0</v>
      </c>
      <c r="F14" s="1986"/>
      <c r="G14" s="1989" t="s">
        <v>1795</v>
      </c>
    </row>
    <row r="15" spans="1:25" s="1784" customFormat="1" ht="13.5" customHeight="1">
      <c r="A15" s="1982" t="s">
        <v>1792</v>
      </c>
      <c r="B15" s="1987" t="s">
        <v>1791</v>
      </c>
      <c r="C15" s="2774">
        <f>ROUND(D15*E15/10000,0)</f>
        <v>0</v>
      </c>
      <c r="D15" s="2772">
        <v>0</v>
      </c>
      <c r="E15" s="2773">
        <v>0</v>
      </c>
      <c r="F15" s="1986"/>
      <c r="G15" s="1989" t="s">
        <v>1796</v>
      </c>
    </row>
    <row r="16" spans="1:25" s="1785" customFormat="1" ht="48">
      <c r="A16" s="1982">
        <v>3</v>
      </c>
      <c r="B16" s="684" t="s">
        <v>563</v>
      </c>
      <c r="C16" s="2774">
        <f>ROUND(D16*E16/10000,0)</f>
        <v>0</v>
      </c>
      <c r="D16" s="2772">
        <v>0</v>
      </c>
      <c r="E16" s="2773">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f ca="1">ROUND(C21*F22,0)</f>
        <v>0</v>
      </c>
      <c r="D22" s="695"/>
      <c r="E22" s="685"/>
      <c r="F22" s="701">
        <f>'数据-取费表'!AP16</f>
        <v>0.86399999999999999</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575</v>
      </c>
      <c r="C23" s="703">
        <f ca="1">C22</f>
        <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1" customFormat="1">
      <c r="A24" s="2770"/>
      <c r="D24" s="1629"/>
      <c r="E24" s="1629"/>
    </row>
    <row r="25" spans="1:25" s="2771" customFormat="1">
      <c r="A25" s="2770"/>
      <c r="D25" s="1629"/>
      <c r="E25" s="1629"/>
    </row>
    <row r="26" spans="1:25" s="2771" customFormat="1">
      <c r="A26" s="2770"/>
      <c r="D26" s="1629"/>
      <c r="E26" s="1629"/>
    </row>
    <row r="27" spans="1:25" s="2771" customFormat="1">
      <c r="A27" s="2770"/>
      <c r="D27" s="1629"/>
      <c r="E27" s="1629"/>
    </row>
    <row r="28" spans="1:25" s="2771" customFormat="1">
      <c r="A28" s="2770"/>
      <c r="D28" s="1629"/>
      <c r="E28" s="1629"/>
    </row>
    <row r="29" spans="1:25" s="2771" customFormat="1">
      <c r="A29" s="2770"/>
      <c r="D29" s="1629"/>
      <c r="E29" s="1629"/>
    </row>
    <row r="30" spans="1:25" s="2771" customFormat="1">
      <c r="A30" s="2770"/>
      <c r="D30" s="1629"/>
      <c r="E30" s="1629"/>
    </row>
    <row r="31" spans="1:25" s="2771" customFormat="1">
      <c r="A31" s="2770"/>
      <c r="D31" s="1629"/>
      <c r="E31" s="1629"/>
    </row>
    <row r="32" spans="1:25" s="2771" customFormat="1">
      <c r="A32" s="2770"/>
      <c r="D32" s="1629"/>
      <c r="E32" s="1629"/>
    </row>
    <row r="33" spans="1:5" s="2771" customFormat="1">
      <c r="A33" s="2770"/>
      <c r="D33" s="1629"/>
      <c r="E33" s="1629"/>
    </row>
    <row r="34" spans="1:5" s="2771" customFormat="1">
      <c r="A34" s="2770"/>
      <c r="D34" s="1629"/>
      <c r="E34" s="1629"/>
    </row>
    <row r="35" spans="1:5" s="2771" customFormat="1">
      <c r="A35" s="2770"/>
      <c r="D35" s="1629"/>
      <c r="E35" s="1629"/>
    </row>
    <row r="36" spans="1:5" s="2771" customFormat="1">
      <c r="A36" s="2770"/>
      <c r="D36" s="1629"/>
      <c r="E36" s="1629"/>
    </row>
    <row r="37" spans="1:5" s="2771" customFormat="1">
      <c r="A37" s="2770"/>
      <c r="D37" s="1629"/>
      <c r="E37" s="1629"/>
    </row>
    <row r="38" spans="1:5" s="2771" customFormat="1">
      <c r="A38" s="2770"/>
      <c r="D38" s="1629"/>
      <c r="E38" s="1629"/>
    </row>
    <row r="39" spans="1:5" s="2771" customFormat="1">
      <c r="A39" s="2770"/>
      <c r="D39" s="1629"/>
      <c r="E39" s="1629"/>
    </row>
    <row r="40" spans="1:5" s="2771" customFormat="1">
      <c r="A40" s="2770"/>
      <c r="D40" s="1629"/>
      <c r="E40" s="1629"/>
    </row>
    <row r="41" spans="1:5" s="2771" customFormat="1">
      <c r="A41" s="2770"/>
      <c r="D41" s="1629"/>
      <c r="E41" s="1629"/>
    </row>
    <row r="42" spans="1:5" s="2771" customFormat="1">
      <c r="A42" s="2770"/>
      <c r="D42" s="1629"/>
      <c r="E42" s="1629"/>
    </row>
    <row r="43" spans="1:5" s="2771" customFormat="1">
      <c r="A43" s="2770"/>
      <c r="D43" s="1629"/>
      <c r="E43" s="1629"/>
    </row>
    <row r="44" spans="1:5" s="2771" customFormat="1">
      <c r="A44" s="2770"/>
      <c r="D44" s="1629"/>
      <c r="E44" s="1629"/>
    </row>
    <row r="45" spans="1:5" s="2771" customFormat="1">
      <c r="A45" s="2770"/>
      <c r="D45" s="1629"/>
      <c r="E45" s="1629"/>
    </row>
    <row r="46" spans="1:5" s="2771" customFormat="1">
      <c r="A46" s="2770"/>
      <c r="D46" s="1629"/>
      <c r="E46" s="1629"/>
    </row>
    <row r="47" spans="1:5" s="2771" customFormat="1">
      <c r="A47" s="2770"/>
      <c r="D47" s="1629"/>
      <c r="E47" s="1629"/>
    </row>
    <row r="48" spans="1:5" s="2771" customFormat="1">
      <c r="A48" s="2770"/>
      <c r="D48" s="1629"/>
      <c r="E48" s="1629"/>
    </row>
    <row r="49" spans="1:5" s="2771" customFormat="1">
      <c r="A49" s="2770"/>
      <c r="D49" s="1629"/>
      <c r="E49" s="1629"/>
    </row>
    <row r="50" spans="1:5" s="2771" customFormat="1">
      <c r="A50" s="2770"/>
      <c r="D50" s="1629"/>
      <c r="E50" s="1629"/>
    </row>
    <row r="51" spans="1:5" s="2771" customFormat="1">
      <c r="A51" s="2770"/>
      <c r="D51" s="1629"/>
      <c r="E51" s="1629"/>
    </row>
    <row r="52" spans="1:5" s="2771" customFormat="1">
      <c r="A52" s="2770"/>
      <c r="D52" s="1629"/>
      <c r="E52" s="1629"/>
    </row>
    <row r="53" spans="1:5" s="2771" customFormat="1">
      <c r="A53" s="2770"/>
      <c r="D53" s="1629"/>
      <c r="E53" s="1629"/>
    </row>
    <row r="54" spans="1:5" s="2771" customFormat="1">
      <c r="A54" s="2770"/>
      <c r="D54" s="1629"/>
      <c r="E54" s="1629"/>
    </row>
    <row r="55" spans="1:5" s="2771" customFormat="1">
      <c r="A55" s="2770"/>
      <c r="D55" s="1629"/>
      <c r="E55" s="1629"/>
    </row>
    <row r="56" spans="1:5" s="2771" customFormat="1">
      <c r="A56" s="2770"/>
      <c r="D56" s="1629"/>
      <c r="E56" s="1629"/>
    </row>
    <row r="57" spans="1:5" s="2771" customFormat="1">
      <c r="A57" s="2770"/>
      <c r="D57" s="1629"/>
      <c r="E57" s="1629"/>
    </row>
    <row r="58" spans="1:5" s="2771" customFormat="1">
      <c r="A58" s="2770"/>
      <c r="D58" s="1629"/>
      <c r="E58" s="1629"/>
    </row>
    <row r="59" spans="1:5" s="2771" customFormat="1">
      <c r="A59" s="2770"/>
      <c r="D59" s="1629"/>
      <c r="E59" s="1629"/>
    </row>
    <row r="60" spans="1:5" s="2771" customFormat="1">
      <c r="A60" s="2770"/>
      <c r="D60" s="1629"/>
      <c r="E60" s="1629"/>
    </row>
    <row r="61" spans="1:5" s="2771" customFormat="1">
      <c r="A61" s="2770"/>
      <c r="D61" s="1629"/>
      <c r="E61" s="1629"/>
    </row>
    <row r="62" spans="1:5" s="2771" customFormat="1">
      <c r="A62" s="2770"/>
      <c r="D62" s="1629"/>
      <c r="E62" s="1629"/>
    </row>
    <row r="63" spans="1:5" s="2771" customFormat="1">
      <c r="A63" s="2770"/>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8805-7D6E-42BE-BB84-0C3E7D535C3C}">
  <dimension ref="A1:P63"/>
  <sheetViews>
    <sheetView workbookViewId="0">
      <selection activeCell="F28" sqref="F28"/>
    </sheetView>
  </sheetViews>
  <sheetFormatPr defaultRowHeight="12"/>
  <cols>
    <col min="1" max="1" width="18.625" style="3413" bestFit="1" customWidth="1"/>
    <col min="2" max="2" width="9.625" style="3413" customWidth="1"/>
    <col min="3" max="3" width="6.375" style="3413" bestFit="1" customWidth="1"/>
    <col min="4" max="4" width="11.375" style="3413" bestFit="1" customWidth="1"/>
    <col min="5" max="5" width="8" style="3413" bestFit="1" customWidth="1"/>
    <col min="6" max="6" width="11.5" style="3413" bestFit="1" customWidth="1"/>
    <col min="7" max="7" width="8" style="3413" bestFit="1" customWidth="1"/>
    <col min="8" max="8" width="13.375" style="3413" bestFit="1" customWidth="1"/>
    <col min="9" max="9" width="11.375" style="3413" bestFit="1" customWidth="1"/>
    <col min="10" max="10" width="15.125" style="3413" bestFit="1" customWidth="1"/>
    <col min="11" max="11" width="8" style="3413" bestFit="1" customWidth="1"/>
    <col min="12" max="12" width="11.5" style="3413" bestFit="1" customWidth="1"/>
    <col min="13" max="13" width="8" style="3413" bestFit="1" customWidth="1"/>
    <col min="14" max="14" width="11.5" style="3413" bestFit="1" customWidth="1"/>
    <col min="15" max="15" width="8" style="3413" bestFit="1" customWidth="1"/>
    <col min="16" max="16" width="13.375" style="3413" bestFit="1" customWidth="1"/>
    <col min="17" max="995" width="20" style="3413" customWidth="1"/>
    <col min="996" max="16384" width="9" style="3413"/>
  </cols>
  <sheetData>
    <row r="1" spans="1:16">
      <c r="A1" s="3478" t="s">
        <v>3571</v>
      </c>
      <c r="B1" s="3478"/>
      <c r="C1" s="3478"/>
      <c r="D1" s="3478"/>
      <c r="E1" s="3478"/>
      <c r="F1" s="3478"/>
      <c r="G1" s="3478"/>
      <c r="H1" s="3478"/>
      <c r="I1" s="3478"/>
      <c r="J1" s="3478"/>
      <c r="K1" s="3478"/>
      <c r="L1" s="3478"/>
      <c r="M1" s="3478"/>
      <c r="N1" s="3478"/>
      <c r="O1" s="3478"/>
      <c r="P1" s="3478"/>
    </row>
    <row r="2" spans="1:16">
      <c r="A2" s="3478" t="s">
        <v>3510</v>
      </c>
      <c r="B2" s="3478" t="s">
        <v>3570</v>
      </c>
      <c r="C2" s="3478" t="s">
        <v>3423</v>
      </c>
      <c r="D2" s="3478" t="s">
        <v>3422</v>
      </c>
      <c r="E2" s="3478" t="s">
        <v>3509</v>
      </c>
      <c r="F2" s="3478" t="s">
        <v>3508</v>
      </c>
      <c r="G2" s="3478" t="s">
        <v>3507</v>
      </c>
      <c r="H2" s="3478" t="s">
        <v>3506</v>
      </c>
      <c r="I2" s="3478" t="s">
        <v>3505</v>
      </c>
      <c r="J2" s="3478" t="s">
        <v>3504</v>
      </c>
      <c r="K2" s="3478" t="s">
        <v>3503</v>
      </c>
      <c r="L2" s="3478" t="s">
        <v>3502</v>
      </c>
      <c r="M2" s="3478" t="s">
        <v>3501</v>
      </c>
      <c r="N2" s="3478" t="s">
        <v>3500</v>
      </c>
      <c r="O2" s="3478" t="s">
        <v>3499</v>
      </c>
      <c r="P2" s="3478" t="s">
        <v>3498</v>
      </c>
    </row>
    <row r="3" spans="1:16">
      <c r="A3" s="3413" t="s">
        <v>3497</v>
      </c>
      <c r="B3" s="3413" t="s">
        <v>3350</v>
      </c>
      <c r="C3" s="3413" t="s">
        <v>3350</v>
      </c>
      <c r="D3" s="3413" t="s">
        <v>3350</v>
      </c>
      <c r="E3" s="3413">
        <v>3148</v>
      </c>
      <c r="F3" s="3413">
        <v>331751</v>
      </c>
      <c r="G3" s="3413">
        <v>9475</v>
      </c>
      <c r="H3" s="3413">
        <v>314335.82</v>
      </c>
      <c r="I3" s="3413">
        <v>1978</v>
      </c>
      <c r="J3" s="3413">
        <v>208174</v>
      </c>
      <c r="K3" s="3413">
        <v>3898</v>
      </c>
      <c r="L3" s="3413">
        <v>449210</v>
      </c>
      <c r="M3" s="3413">
        <v>2208</v>
      </c>
      <c r="N3" s="3413">
        <v>236129</v>
      </c>
      <c r="O3" s="3413" t="s">
        <v>3350</v>
      </c>
      <c r="P3" s="3413">
        <v>215536.81</v>
      </c>
    </row>
    <row r="4" spans="1:16" s="3414" customFormat="1">
      <c r="A4" s="3414" t="s">
        <v>3496</v>
      </c>
      <c r="B4" s="3414" t="s">
        <v>3554</v>
      </c>
      <c r="C4" s="3414" t="s">
        <v>3330</v>
      </c>
      <c r="D4" s="3414" t="s">
        <v>3421</v>
      </c>
      <c r="E4" s="3414">
        <v>628</v>
      </c>
      <c r="F4" s="3414">
        <v>63099</v>
      </c>
      <c r="G4" s="3414">
        <v>9472</v>
      </c>
      <c r="H4" s="3414">
        <v>59765.4</v>
      </c>
      <c r="I4" s="3414">
        <v>718</v>
      </c>
      <c r="J4" s="3414">
        <v>71865</v>
      </c>
      <c r="K4" s="3414">
        <v>225</v>
      </c>
      <c r="L4" s="3414">
        <v>22841</v>
      </c>
      <c r="M4" s="3414">
        <v>581</v>
      </c>
      <c r="N4" s="3414">
        <v>58558</v>
      </c>
      <c r="O4" s="3414">
        <v>9411</v>
      </c>
      <c r="P4" s="3414">
        <v>55110.92</v>
      </c>
    </row>
    <row r="5" spans="1:16">
      <c r="A5" s="3413" t="s">
        <v>3495</v>
      </c>
      <c r="B5" s="3413" t="s">
        <v>3554</v>
      </c>
      <c r="C5" s="3413" t="s">
        <v>3330</v>
      </c>
      <c r="D5" s="3413" t="s">
        <v>3443</v>
      </c>
      <c r="E5" s="3413">
        <v>511</v>
      </c>
      <c r="F5" s="3413">
        <v>53299</v>
      </c>
      <c r="G5" s="3413">
        <v>7622</v>
      </c>
      <c r="H5" s="3413">
        <v>40626.870000000003</v>
      </c>
      <c r="I5" s="3413" t="s">
        <v>3350</v>
      </c>
      <c r="J5" s="3413" t="s">
        <v>3350</v>
      </c>
      <c r="K5" s="3413">
        <v>10</v>
      </c>
      <c r="L5" s="3413">
        <v>1319</v>
      </c>
      <c r="M5" s="3413">
        <v>6</v>
      </c>
      <c r="N5" s="3413">
        <v>536</v>
      </c>
      <c r="O5" s="3413">
        <v>6051</v>
      </c>
      <c r="P5" s="3413">
        <v>324.52</v>
      </c>
    </row>
    <row r="6" spans="1:16">
      <c r="A6" s="3413" t="s">
        <v>3494</v>
      </c>
      <c r="B6" s="3413" t="s">
        <v>3535</v>
      </c>
      <c r="C6" s="3413" t="s">
        <v>3330</v>
      </c>
      <c r="D6" s="3413" t="s">
        <v>3443</v>
      </c>
      <c r="E6" s="3413">
        <v>474</v>
      </c>
      <c r="F6" s="3413">
        <v>46225</v>
      </c>
      <c r="G6" s="3413">
        <v>11299</v>
      </c>
      <c r="H6" s="3413">
        <v>52230.84</v>
      </c>
      <c r="I6" s="3413" t="s">
        <v>3350</v>
      </c>
      <c r="J6" s="3413" t="s">
        <v>3350</v>
      </c>
      <c r="K6" s="3413">
        <v>73</v>
      </c>
      <c r="L6" s="3413">
        <v>7196</v>
      </c>
      <c r="M6" s="3413">
        <v>17</v>
      </c>
      <c r="N6" s="3413">
        <v>1656</v>
      </c>
      <c r="O6" s="3413">
        <v>11112</v>
      </c>
      <c r="P6" s="3413">
        <v>1840.42</v>
      </c>
    </row>
    <row r="7" spans="1:16">
      <c r="A7" s="3413" t="s">
        <v>3493</v>
      </c>
      <c r="B7" s="3413" t="s">
        <v>3535</v>
      </c>
      <c r="C7" s="3413" t="s">
        <v>3330</v>
      </c>
      <c r="D7" s="3413" t="s">
        <v>3443</v>
      </c>
      <c r="E7" s="3413">
        <v>342</v>
      </c>
      <c r="F7" s="3413">
        <v>35601</v>
      </c>
      <c r="G7" s="3413">
        <v>9945</v>
      </c>
      <c r="H7" s="3413">
        <v>35404.36</v>
      </c>
      <c r="I7" s="3413">
        <v>132</v>
      </c>
      <c r="J7" s="3413">
        <v>13590</v>
      </c>
      <c r="K7" s="3413">
        <v>47</v>
      </c>
      <c r="L7" s="3413">
        <v>5518</v>
      </c>
      <c r="M7" s="3413">
        <v>229</v>
      </c>
      <c r="N7" s="3413">
        <v>23908</v>
      </c>
      <c r="O7" s="3413">
        <v>10007</v>
      </c>
      <c r="P7" s="3413">
        <v>23924.19</v>
      </c>
    </row>
    <row r="8" spans="1:16" s="3414" customFormat="1">
      <c r="A8" s="3414" t="s">
        <v>3492</v>
      </c>
      <c r="B8" s="3414" t="s">
        <v>3535</v>
      </c>
      <c r="C8" s="3414" t="s">
        <v>3330</v>
      </c>
      <c r="D8" s="3414" t="s">
        <v>3421</v>
      </c>
      <c r="E8" s="3414">
        <v>275</v>
      </c>
      <c r="F8" s="3414">
        <v>24125</v>
      </c>
      <c r="G8" s="3414">
        <v>10097</v>
      </c>
      <c r="H8" s="3414">
        <v>24359.41</v>
      </c>
      <c r="I8" s="3414">
        <v>291</v>
      </c>
      <c r="J8" s="3414">
        <v>25898</v>
      </c>
      <c r="K8" s="3414">
        <v>122</v>
      </c>
      <c r="L8" s="3414">
        <v>10971</v>
      </c>
      <c r="M8" s="3414">
        <v>294</v>
      </c>
      <c r="N8" s="3414">
        <v>25778</v>
      </c>
      <c r="O8" s="3414">
        <v>10212</v>
      </c>
      <c r="P8" s="3414">
        <v>26323.75</v>
      </c>
    </row>
    <row r="9" spans="1:16" s="3414" customFormat="1">
      <c r="A9" s="3414" t="s">
        <v>3491</v>
      </c>
      <c r="B9" s="3414" t="s">
        <v>3554</v>
      </c>
      <c r="C9" s="3414" t="s">
        <v>3330</v>
      </c>
      <c r="D9" s="3414" t="s">
        <v>3421</v>
      </c>
      <c r="E9" s="3414">
        <v>226</v>
      </c>
      <c r="F9" s="3414">
        <v>21963</v>
      </c>
      <c r="G9" s="3414">
        <v>10474</v>
      </c>
      <c r="H9" s="3414">
        <v>23003.96</v>
      </c>
      <c r="I9" s="3414">
        <v>407</v>
      </c>
      <c r="J9" s="3414">
        <v>39789</v>
      </c>
      <c r="K9" s="3414">
        <v>348</v>
      </c>
      <c r="L9" s="3414">
        <v>33765</v>
      </c>
      <c r="M9" s="3414">
        <v>203</v>
      </c>
      <c r="N9" s="3414">
        <v>19607</v>
      </c>
      <c r="O9" s="3414">
        <v>10417</v>
      </c>
      <c r="P9" s="3414">
        <v>20424.09</v>
      </c>
    </row>
    <row r="10" spans="1:16">
      <c r="A10" s="3413" t="s">
        <v>3490</v>
      </c>
      <c r="B10" s="3413" t="s">
        <v>3535</v>
      </c>
      <c r="C10" s="3413" t="s">
        <v>3330</v>
      </c>
      <c r="D10" s="3413" t="s">
        <v>3443</v>
      </c>
      <c r="E10" s="3413">
        <v>189</v>
      </c>
      <c r="F10" s="3413">
        <v>27544</v>
      </c>
      <c r="G10" s="3413">
        <v>10892</v>
      </c>
      <c r="H10" s="3413">
        <v>30000.95</v>
      </c>
      <c r="I10" s="3413">
        <v>116</v>
      </c>
      <c r="J10" s="3413">
        <v>17659</v>
      </c>
      <c r="K10" s="3413">
        <v>158</v>
      </c>
      <c r="L10" s="3413">
        <v>26951</v>
      </c>
      <c r="M10" s="3413">
        <v>186</v>
      </c>
      <c r="N10" s="3413">
        <v>27037</v>
      </c>
      <c r="O10" s="3413">
        <v>10753</v>
      </c>
      <c r="P10" s="3413">
        <v>29072.19</v>
      </c>
    </row>
    <row r="11" spans="1:16">
      <c r="A11" s="3413" t="s">
        <v>3488</v>
      </c>
      <c r="B11" s="3413" t="s">
        <v>3554</v>
      </c>
      <c r="C11" s="3413" t="s">
        <v>3330</v>
      </c>
      <c r="D11" s="3413" t="s">
        <v>3421</v>
      </c>
      <c r="E11" s="3413">
        <v>128</v>
      </c>
      <c r="F11" s="3413">
        <v>14685</v>
      </c>
      <c r="G11" s="3413">
        <v>8566</v>
      </c>
      <c r="H11" s="3413">
        <v>12578.55</v>
      </c>
      <c r="I11" s="3413">
        <v>84</v>
      </c>
      <c r="J11" s="3413">
        <v>11420</v>
      </c>
      <c r="K11" s="3413">
        <v>161</v>
      </c>
      <c r="L11" s="3413">
        <v>20967</v>
      </c>
      <c r="M11" s="3413">
        <v>122</v>
      </c>
      <c r="N11" s="3413">
        <v>14068</v>
      </c>
      <c r="O11" s="3413">
        <v>8562</v>
      </c>
      <c r="P11" s="3413">
        <v>12045.01</v>
      </c>
    </row>
    <row r="12" spans="1:16">
      <c r="A12" s="3413" t="s">
        <v>3489</v>
      </c>
      <c r="B12" s="3413" t="s">
        <v>3569</v>
      </c>
      <c r="C12" s="3413" t="s">
        <v>3330</v>
      </c>
      <c r="D12" s="3413" t="s">
        <v>3421</v>
      </c>
      <c r="E12" s="3413">
        <v>118</v>
      </c>
      <c r="F12" s="3413">
        <v>14177</v>
      </c>
      <c r="G12" s="3413">
        <v>7788</v>
      </c>
      <c r="H12" s="3413">
        <v>11040.88</v>
      </c>
      <c r="I12" s="3413">
        <v>120</v>
      </c>
      <c r="J12" s="3413">
        <v>16055</v>
      </c>
      <c r="K12" s="3413">
        <v>268</v>
      </c>
      <c r="L12" s="3413">
        <v>33787</v>
      </c>
      <c r="M12" s="3413">
        <v>119</v>
      </c>
      <c r="N12" s="3413">
        <v>14331</v>
      </c>
      <c r="O12" s="3413">
        <v>7658</v>
      </c>
      <c r="P12" s="3413">
        <v>10974.83</v>
      </c>
    </row>
    <row r="13" spans="1:16">
      <c r="A13" s="3413" t="s">
        <v>3487</v>
      </c>
      <c r="B13" s="3413" t="s">
        <v>3554</v>
      </c>
      <c r="C13" s="3413" t="s">
        <v>3330</v>
      </c>
      <c r="D13" s="3413" t="s">
        <v>3443</v>
      </c>
      <c r="E13" s="3413">
        <v>61</v>
      </c>
      <c r="F13" s="3413">
        <v>8594</v>
      </c>
      <c r="G13" s="3413">
        <v>5768</v>
      </c>
      <c r="H13" s="3413">
        <v>4957.1400000000003</v>
      </c>
      <c r="I13" s="3413" t="s">
        <v>3350</v>
      </c>
      <c r="J13" s="3413" t="s">
        <v>3350</v>
      </c>
      <c r="K13" s="3413" t="s">
        <v>3350</v>
      </c>
      <c r="L13" s="3413" t="s">
        <v>3350</v>
      </c>
      <c r="M13" s="3413">
        <v>57</v>
      </c>
      <c r="N13" s="3413">
        <v>8036</v>
      </c>
      <c r="O13" s="3413">
        <v>5527</v>
      </c>
      <c r="P13" s="3413">
        <v>4441.42</v>
      </c>
    </row>
    <row r="14" spans="1:16">
      <c r="A14" s="3413" t="s">
        <v>3486</v>
      </c>
      <c r="B14" s="3413" t="s">
        <v>3535</v>
      </c>
      <c r="C14" s="3413" t="s">
        <v>3330</v>
      </c>
      <c r="D14" s="3413" t="s">
        <v>3443</v>
      </c>
      <c r="E14" s="3413">
        <v>56</v>
      </c>
      <c r="F14" s="3413">
        <v>5713</v>
      </c>
      <c r="G14" s="3413">
        <v>9771</v>
      </c>
      <c r="H14" s="3413">
        <v>5582.52</v>
      </c>
      <c r="I14" s="3413">
        <v>110</v>
      </c>
      <c r="J14" s="3413">
        <v>11898</v>
      </c>
      <c r="K14" s="3413">
        <v>53</v>
      </c>
      <c r="L14" s="3413">
        <v>6096</v>
      </c>
      <c r="M14" s="3413">
        <v>55</v>
      </c>
      <c r="N14" s="3413">
        <v>5591</v>
      </c>
      <c r="O14" s="3413">
        <v>9767</v>
      </c>
      <c r="P14" s="3413">
        <v>5460.45</v>
      </c>
    </row>
    <row r="15" spans="1:16">
      <c r="A15" s="3413" t="s">
        <v>3485</v>
      </c>
      <c r="B15" s="3413" t="s">
        <v>3535</v>
      </c>
      <c r="C15" s="3413" t="s">
        <v>3330</v>
      </c>
      <c r="D15" s="3413" t="s">
        <v>3443</v>
      </c>
      <c r="E15" s="3413">
        <v>44</v>
      </c>
      <c r="F15" s="3413">
        <v>4219</v>
      </c>
      <c r="G15" s="3413">
        <v>8411</v>
      </c>
      <c r="H15" s="3413">
        <v>3548.86</v>
      </c>
      <c r="I15" s="3413" t="s">
        <v>3350</v>
      </c>
      <c r="J15" s="3413" t="s">
        <v>3350</v>
      </c>
      <c r="K15" s="3413">
        <v>86</v>
      </c>
      <c r="L15" s="3413">
        <v>8092</v>
      </c>
      <c r="M15" s="3413">
        <v>37</v>
      </c>
      <c r="N15" s="3413">
        <v>3531</v>
      </c>
      <c r="O15" s="3413">
        <v>8563</v>
      </c>
      <c r="P15" s="3413">
        <v>3023.51</v>
      </c>
    </row>
    <row r="16" spans="1:16">
      <c r="A16" s="3413" t="s">
        <v>3484</v>
      </c>
      <c r="B16" s="3413" t="s">
        <v>3554</v>
      </c>
      <c r="C16" s="3413" t="s">
        <v>3330</v>
      </c>
      <c r="D16" s="3413" t="s">
        <v>3421</v>
      </c>
      <c r="E16" s="3413">
        <v>23</v>
      </c>
      <c r="F16" s="3413">
        <v>3415</v>
      </c>
      <c r="G16" s="3413">
        <v>10130</v>
      </c>
      <c r="H16" s="3413">
        <v>3459.82</v>
      </c>
      <c r="I16" s="3413" t="s">
        <v>3350</v>
      </c>
      <c r="J16" s="3413" t="s">
        <v>3350</v>
      </c>
      <c r="K16" s="3413">
        <v>41</v>
      </c>
      <c r="L16" s="3413">
        <v>8706</v>
      </c>
      <c r="M16" s="3413">
        <v>14</v>
      </c>
      <c r="N16" s="3413">
        <v>2229</v>
      </c>
      <c r="O16" s="3413">
        <v>9913</v>
      </c>
      <c r="P16" s="3413">
        <v>2209.65</v>
      </c>
    </row>
    <row r="17" spans="1:16">
      <c r="A17" s="3413" t="s">
        <v>3483</v>
      </c>
      <c r="B17" s="3413" t="s">
        <v>3535</v>
      </c>
      <c r="C17" s="3413" t="s">
        <v>3330</v>
      </c>
      <c r="D17" s="3413" t="s">
        <v>3454</v>
      </c>
      <c r="E17" s="3413">
        <v>12</v>
      </c>
      <c r="F17" s="3413">
        <v>1373</v>
      </c>
      <c r="G17" s="3413">
        <v>6909</v>
      </c>
      <c r="H17" s="3413">
        <v>948.78</v>
      </c>
      <c r="I17" s="3413" t="s">
        <v>3350</v>
      </c>
      <c r="J17" s="3413" t="s">
        <v>3350</v>
      </c>
      <c r="K17" s="3413">
        <v>145</v>
      </c>
      <c r="L17" s="3413">
        <v>16109</v>
      </c>
      <c r="M17" s="3413">
        <v>13</v>
      </c>
      <c r="N17" s="3413">
        <v>1440</v>
      </c>
      <c r="O17" s="3413">
        <v>6087</v>
      </c>
      <c r="P17" s="3413">
        <v>876.27</v>
      </c>
    </row>
    <row r="18" spans="1:16">
      <c r="A18" s="3413" t="s">
        <v>3482</v>
      </c>
      <c r="B18" s="3413" t="s">
        <v>3535</v>
      </c>
      <c r="C18" s="3413" t="s">
        <v>3330</v>
      </c>
      <c r="D18" s="3413" t="s">
        <v>3471</v>
      </c>
      <c r="E18" s="3413">
        <v>11</v>
      </c>
      <c r="F18" s="3413">
        <v>1291</v>
      </c>
      <c r="G18" s="3413">
        <v>10697</v>
      </c>
      <c r="H18" s="3413">
        <v>1381.29</v>
      </c>
      <c r="I18" s="3413" t="s">
        <v>3350</v>
      </c>
      <c r="J18" s="3413" t="s">
        <v>3350</v>
      </c>
      <c r="K18" s="3413">
        <v>342</v>
      </c>
      <c r="L18" s="3413">
        <v>41868</v>
      </c>
      <c r="M18" s="3413">
        <v>7</v>
      </c>
      <c r="N18" s="3413">
        <v>817</v>
      </c>
      <c r="O18" s="3413">
        <v>10655</v>
      </c>
      <c r="P18" s="3413">
        <v>870.13</v>
      </c>
    </row>
    <row r="19" spans="1:16">
      <c r="A19" s="3413" t="s">
        <v>3568</v>
      </c>
      <c r="B19" s="3413" t="s">
        <v>3535</v>
      </c>
      <c r="C19" s="3413" t="s">
        <v>3330</v>
      </c>
      <c r="D19" s="3413" t="s">
        <v>3421</v>
      </c>
      <c r="E19" s="3413">
        <v>8</v>
      </c>
      <c r="F19" s="3413">
        <v>1610</v>
      </c>
      <c r="G19" s="3413">
        <v>7829</v>
      </c>
      <c r="H19" s="3413">
        <v>1260.6500000000001</v>
      </c>
      <c r="I19" s="3413" t="s">
        <v>3350</v>
      </c>
      <c r="J19" s="3413" t="s">
        <v>3350</v>
      </c>
      <c r="K19" s="3413">
        <v>5</v>
      </c>
      <c r="L19" s="3413">
        <v>931</v>
      </c>
      <c r="M19" s="3413">
        <v>9</v>
      </c>
      <c r="N19" s="3413">
        <v>1859</v>
      </c>
      <c r="O19" s="3413">
        <v>7242</v>
      </c>
      <c r="P19" s="3413">
        <v>1346.06</v>
      </c>
    </row>
    <row r="20" spans="1:16">
      <c r="A20" s="3413" t="s">
        <v>3452</v>
      </c>
      <c r="B20" s="3413" t="s">
        <v>3535</v>
      </c>
      <c r="C20" s="3413" t="s">
        <v>3330</v>
      </c>
      <c r="D20" s="3413" t="s">
        <v>3443</v>
      </c>
      <c r="E20" s="3413">
        <v>7</v>
      </c>
      <c r="F20" s="3413">
        <v>787</v>
      </c>
      <c r="G20" s="3413">
        <v>11504</v>
      </c>
      <c r="H20" s="3413">
        <v>904.8</v>
      </c>
      <c r="I20" s="3413" t="s">
        <v>3350</v>
      </c>
      <c r="J20" s="3413" t="s">
        <v>3350</v>
      </c>
      <c r="K20" s="3413">
        <v>18</v>
      </c>
      <c r="L20" s="3413">
        <v>1782</v>
      </c>
      <c r="M20" s="3413">
        <v>6</v>
      </c>
      <c r="N20" s="3413">
        <v>673</v>
      </c>
      <c r="O20" s="3413">
        <v>11379</v>
      </c>
      <c r="P20" s="3413">
        <v>765.29</v>
      </c>
    </row>
    <row r="21" spans="1:16">
      <c r="A21" s="3413" t="s">
        <v>3567</v>
      </c>
      <c r="B21" s="3413" t="s">
        <v>3554</v>
      </c>
      <c r="C21" s="3413" t="s">
        <v>3330</v>
      </c>
      <c r="D21" s="3413" t="s">
        <v>3566</v>
      </c>
      <c r="E21" s="3413">
        <v>7</v>
      </c>
      <c r="F21" s="3413">
        <v>719</v>
      </c>
      <c r="G21" s="3413">
        <v>9483</v>
      </c>
      <c r="H21" s="3413">
        <v>681.76</v>
      </c>
      <c r="I21" s="3413" t="s">
        <v>3350</v>
      </c>
      <c r="J21" s="3413" t="s">
        <v>3350</v>
      </c>
      <c r="K21" s="3413">
        <v>76</v>
      </c>
      <c r="L21" s="3413">
        <v>6644</v>
      </c>
      <c r="M21" s="3413">
        <v>5</v>
      </c>
      <c r="N21" s="3413">
        <v>496</v>
      </c>
      <c r="O21" s="3413">
        <v>10193</v>
      </c>
      <c r="P21" s="3413">
        <v>505.9</v>
      </c>
    </row>
    <row r="22" spans="1:16">
      <c r="A22" s="3413" t="s">
        <v>3481</v>
      </c>
      <c r="B22" s="3413" t="s">
        <v>3554</v>
      </c>
      <c r="C22" s="3413" t="s">
        <v>3330</v>
      </c>
      <c r="D22" s="3413" t="s">
        <v>3443</v>
      </c>
      <c r="E22" s="3413">
        <v>7</v>
      </c>
      <c r="F22" s="3413">
        <v>965</v>
      </c>
      <c r="G22" s="3413">
        <v>9158</v>
      </c>
      <c r="H22" s="3413">
        <v>883.52</v>
      </c>
      <c r="I22" s="3413" t="s">
        <v>3350</v>
      </c>
      <c r="J22" s="3413" t="s">
        <v>3350</v>
      </c>
      <c r="K22" s="3413">
        <v>4</v>
      </c>
      <c r="L22" s="3413">
        <v>524</v>
      </c>
      <c r="M22" s="3413">
        <v>7</v>
      </c>
      <c r="N22" s="3413">
        <v>962</v>
      </c>
      <c r="O22" s="3413">
        <v>9255</v>
      </c>
      <c r="P22" s="3413">
        <v>890.47</v>
      </c>
    </row>
    <row r="23" spans="1:16">
      <c r="A23" s="3413" t="s">
        <v>3480</v>
      </c>
      <c r="B23" s="3413" t="s">
        <v>3535</v>
      </c>
      <c r="C23" s="3413" t="s">
        <v>3330</v>
      </c>
      <c r="D23" s="3413" t="s">
        <v>3443</v>
      </c>
      <c r="E23" s="3413">
        <v>3</v>
      </c>
      <c r="F23" s="3413">
        <v>238</v>
      </c>
      <c r="G23" s="3413">
        <v>4590</v>
      </c>
      <c r="H23" s="3413">
        <v>109.15</v>
      </c>
      <c r="I23" s="3413" t="s">
        <v>3350</v>
      </c>
      <c r="J23" s="3413" t="s">
        <v>3350</v>
      </c>
      <c r="K23" s="3413">
        <v>29</v>
      </c>
      <c r="L23" s="3413">
        <v>2643</v>
      </c>
      <c r="M23" s="3413">
        <v>3</v>
      </c>
      <c r="N23" s="3413">
        <v>238</v>
      </c>
      <c r="O23" s="3413">
        <v>4590</v>
      </c>
      <c r="P23" s="3413">
        <v>109.15</v>
      </c>
    </row>
    <row r="24" spans="1:16">
      <c r="A24" s="3413" t="s">
        <v>3479</v>
      </c>
      <c r="B24" s="3413" t="s">
        <v>3535</v>
      </c>
      <c r="C24" s="3413" t="s">
        <v>3330</v>
      </c>
      <c r="D24" s="3413" t="s">
        <v>3449</v>
      </c>
      <c r="E24" s="3413">
        <v>3</v>
      </c>
      <c r="F24" s="3413">
        <v>316</v>
      </c>
      <c r="G24" s="3413">
        <v>4798</v>
      </c>
      <c r="H24" s="3413">
        <v>151.72999999999999</v>
      </c>
      <c r="I24" s="3413" t="s">
        <v>3350</v>
      </c>
      <c r="J24" s="3413" t="s">
        <v>3350</v>
      </c>
      <c r="K24" s="3413">
        <v>5</v>
      </c>
      <c r="L24" s="3413">
        <v>529</v>
      </c>
      <c r="M24" s="3413">
        <v>3</v>
      </c>
      <c r="N24" s="3413">
        <v>316</v>
      </c>
      <c r="O24" s="3413">
        <v>4798</v>
      </c>
      <c r="P24" s="3413">
        <v>151.72999999999999</v>
      </c>
    </row>
    <row r="25" spans="1:16">
      <c r="A25" s="3413" t="s">
        <v>3478</v>
      </c>
      <c r="B25" s="3413" t="s">
        <v>3554</v>
      </c>
      <c r="C25" s="3413" t="s">
        <v>3330</v>
      </c>
      <c r="D25" s="3413" t="s">
        <v>3449</v>
      </c>
      <c r="E25" s="3413">
        <v>2</v>
      </c>
      <c r="F25" s="3413">
        <v>242</v>
      </c>
      <c r="G25" s="3413">
        <v>10874</v>
      </c>
      <c r="H25" s="3413">
        <v>263.41000000000003</v>
      </c>
      <c r="I25" s="3413" t="s">
        <v>3350</v>
      </c>
      <c r="J25" s="3413" t="s">
        <v>3350</v>
      </c>
      <c r="K25" s="3413">
        <v>129</v>
      </c>
      <c r="L25" s="3413">
        <v>16678</v>
      </c>
      <c r="M25" s="3413">
        <v>2</v>
      </c>
      <c r="N25" s="3413">
        <v>242</v>
      </c>
      <c r="O25" s="3413">
        <v>10874</v>
      </c>
      <c r="P25" s="3413">
        <v>263.41000000000003</v>
      </c>
    </row>
    <row r="26" spans="1:16">
      <c r="A26" s="3413" t="s">
        <v>3477</v>
      </c>
      <c r="B26" s="3413" t="s">
        <v>3535</v>
      </c>
      <c r="C26" s="3413" t="s">
        <v>3330</v>
      </c>
      <c r="D26" s="3413" t="s">
        <v>3449</v>
      </c>
      <c r="E26" s="3413">
        <v>2</v>
      </c>
      <c r="F26" s="3413">
        <v>242</v>
      </c>
      <c r="G26" s="3413">
        <v>7888</v>
      </c>
      <c r="H26" s="3413">
        <v>191.08</v>
      </c>
      <c r="I26" s="3413" t="s">
        <v>3350</v>
      </c>
      <c r="J26" s="3413" t="s">
        <v>3350</v>
      </c>
      <c r="K26" s="3413">
        <v>15</v>
      </c>
      <c r="L26" s="3413">
        <v>1571</v>
      </c>
      <c r="M26" s="3413">
        <v>1</v>
      </c>
      <c r="N26" s="3413">
        <v>101</v>
      </c>
      <c r="O26" s="3413">
        <v>6163</v>
      </c>
      <c r="P26" s="3413">
        <v>62.32</v>
      </c>
    </row>
    <row r="27" spans="1:16">
      <c r="A27" s="3413" t="s">
        <v>3476</v>
      </c>
      <c r="B27" s="3413" t="s">
        <v>3535</v>
      </c>
      <c r="C27" s="3413" t="s">
        <v>3330</v>
      </c>
      <c r="D27" s="3413" t="s">
        <v>3443</v>
      </c>
      <c r="E27" s="3413">
        <v>2</v>
      </c>
      <c r="F27" s="3413">
        <v>295</v>
      </c>
      <c r="G27" s="3413">
        <v>4535</v>
      </c>
      <c r="H27" s="3413">
        <v>133.69999999999999</v>
      </c>
      <c r="I27" s="3413" t="s">
        <v>3350</v>
      </c>
      <c r="J27" s="3413" t="s">
        <v>3350</v>
      </c>
      <c r="K27" s="3413">
        <v>2</v>
      </c>
      <c r="L27" s="3413">
        <v>147</v>
      </c>
      <c r="M27" s="3413">
        <v>1</v>
      </c>
      <c r="N27" s="3413">
        <v>147</v>
      </c>
      <c r="O27" s="3413">
        <v>4409</v>
      </c>
      <c r="P27" s="3413">
        <v>64.989999999999995</v>
      </c>
    </row>
    <row r="28" spans="1:16">
      <c r="A28" s="3413" t="s">
        <v>3475</v>
      </c>
      <c r="B28" s="3413" t="s">
        <v>3535</v>
      </c>
      <c r="C28" s="3413" t="s">
        <v>3330</v>
      </c>
      <c r="D28" s="3413" t="s">
        <v>3443</v>
      </c>
      <c r="E28" s="3413">
        <v>2</v>
      </c>
      <c r="F28" s="3413">
        <v>235</v>
      </c>
      <c r="G28" s="3413">
        <v>10331</v>
      </c>
      <c r="H28" s="3413">
        <v>243.01</v>
      </c>
      <c r="I28" s="3413" t="s">
        <v>3350</v>
      </c>
      <c r="J28" s="3413" t="s">
        <v>3350</v>
      </c>
      <c r="K28" s="3413" t="s">
        <v>3350</v>
      </c>
      <c r="L28" s="3413" t="s">
        <v>3350</v>
      </c>
      <c r="M28" s="3413" t="s">
        <v>3350</v>
      </c>
      <c r="N28" s="3413" t="s">
        <v>3350</v>
      </c>
      <c r="O28" s="3413" t="s">
        <v>3350</v>
      </c>
      <c r="P28" s="3413" t="s">
        <v>3350</v>
      </c>
    </row>
    <row r="29" spans="1:16">
      <c r="A29" s="3413" t="s">
        <v>3474</v>
      </c>
      <c r="B29" s="3413" t="s">
        <v>3535</v>
      </c>
      <c r="C29" s="3413" t="s">
        <v>3330</v>
      </c>
      <c r="D29" s="3413" t="s">
        <v>3449</v>
      </c>
      <c r="E29" s="3413">
        <v>1</v>
      </c>
      <c r="F29" s="3413">
        <v>103</v>
      </c>
      <c r="G29" s="3413">
        <v>10810</v>
      </c>
      <c r="H29" s="3413">
        <v>110.89</v>
      </c>
      <c r="I29" s="3413" t="s">
        <v>3350</v>
      </c>
      <c r="J29" s="3413" t="s">
        <v>3350</v>
      </c>
      <c r="K29" s="3413">
        <v>2</v>
      </c>
      <c r="L29" s="3413">
        <v>172</v>
      </c>
      <c r="M29" s="3413">
        <v>1</v>
      </c>
      <c r="N29" s="3413">
        <v>103</v>
      </c>
      <c r="O29" s="3413">
        <v>10810</v>
      </c>
      <c r="P29" s="3413">
        <v>110.89</v>
      </c>
    </row>
    <row r="30" spans="1:16">
      <c r="A30" s="3413" t="s">
        <v>3565</v>
      </c>
      <c r="B30" s="3413" t="s">
        <v>3554</v>
      </c>
      <c r="C30" s="3413" t="s">
        <v>3330</v>
      </c>
      <c r="D30" s="3413" t="s">
        <v>3449</v>
      </c>
      <c r="E30" s="3413">
        <v>1</v>
      </c>
      <c r="F30" s="3413">
        <v>143</v>
      </c>
      <c r="G30" s="3413">
        <v>5583</v>
      </c>
      <c r="H30" s="3413">
        <v>79.989999999999995</v>
      </c>
      <c r="I30" s="3413" t="s">
        <v>3350</v>
      </c>
      <c r="J30" s="3413" t="s">
        <v>3350</v>
      </c>
      <c r="K30" s="3413" t="s">
        <v>3350</v>
      </c>
      <c r="L30" s="3413" t="s">
        <v>3350</v>
      </c>
      <c r="M30" s="3413">
        <v>1</v>
      </c>
      <c r="N30" s="3413">
        <v>143</v>
      </c>
      <c r="O30" s="3413">
        <v>5583</v>
      </c>
      <c r="P30" s="3413">
        <v>79.989999999999995</v>
      </c>
    </row>
    <row r="31" spans="1:16">
      <c r="A31" s="3413" t="s">
        <v>3473</v>
      </c>
      <c r="B31" s="3413" t="s">
        <v>3535</v>
      </c>
      <c r="C31" s="3413" t="s">
        <v>3330</v>
      </c>
      <c r="D31" s="3413" t="s">
        <v>3421</v>
      </c>
      <c r="E31" s="3413">
        <v>1</v>
      </c>
      <c r="F31" s="3413">
        <v>120</v>
      </c>
      <c r="G31" s="3413">
        <v>6105</v>
      </c>
      <c r="H31" s="3413">
        <v>73.010000000000005</v>
      </c>
      <c r="I31" s="3413" t="s">
        <v>3350</v>
      </c>
      <c r="J31" s="3413" t="s">
        <v>3350</v>
      </c>
      <c r="K31" s="3413">
        <v>34</v>
      </c>
      <c r="L31" s="3413">
        <v>4971</v>
      </c>
      <c r="M31" s="3413">
        <v>1</v>
      </c>
      <c r="N31" s="3413">
        <v>120</v>
      </c>
      <c r="O31" s="3413">
        <v>6105</v>
      </c>
      <c r="P31" s="3413">
        <v>73.010000000000005</v>
      </c>
    </row>
    <row r="32" spans="1:16">
      <c r="A32" s="3413" t="s">
        <v>3472</v>
      </c>
      <c r="B32" s="3413" t="s">
        <v>3535</v>
      </c>
      <c r="C32" s="3413" t="s">
        <v>3330</v>
      </c>
      <c r="D32" s="3413" t="s">
        <v>3471</v>
      </c>
      <c r="E32" s="3413">
        <v>1</v>
      </c>
      <c r="F32" s="3413">
        <v>58</v>
      </c>
      <c r="G32" s="3413">
        <v>7000</v>
      </c>
      <c r="H32" s="3413">
        <v>40.92</v>
      </c>
      <c r="I32" s="3413" t="s">
        <v>3350</v>
      </c>
      <c r="J32" s="3413" t="s">
        <v>3350</v>
      </c>
      <c r="K32" s="3413">
        <v>338</v>
      </c>
      <c r="L32" s="3413">
        <v>43831</v>
      </c>
      <c r="M32" s="3413">
        <v>3</v>
      </c>
      <c r="N32" s="3413">
        <v>175</v>
      </c>
      <c r="O32" s="3413">
        <v>7000</v>
      </c>
      <c r="P32" s="3413">
        <v>122.77</v>
      </c>
    </row>
    <row r="33" spans="1:16">
      <c r="A33" s="3413" t="s">
        <v>3470</v>
      </c>
      <c r="B33" s="3413" t="s">
        <v>3535</v>
      </c>
      <c r="C33" s="3413" t="s">
        <v>3330</v>
      </c>
      <c r="D33" s="3413" t="s">
        <v>3443</v>
      </c>
      <c r="E33" s="3413">
        <v>1</v>
      </c>
      <c r="F33" s="3413">
        <v>108</v>
      </c>
      <c r="G33" s="3413">
        <v>10140</v>
      </c>
      <c r="H33" s="3413">
        <v>109.36</v>
      </c>
      <c r="I33" s="3413" t="s">
        <v>3350</v>
      </c>
      <c r="J33" s="3413" t="s">
        <v>3350</v>
      </c>
      <c r="K33" s="3413">
        <v>2</v>
      </c>
      <c r="L33" s="3413">
        <v>208</v>
      </c>
      <c r="M33" s="3413">
        <v>1</v>
      </c>
      <c r="N33" s="3413">
        <v>108</v>
      </c>
      <c r="O33" s="3413">
        <v>10140</v>
      </c>
      <c r="P33" s="3413">
        <v>109.36</v>
      </c>
    </row>
    <row r="34" spans="1:16">
      <c r="A34" s="3413" t="s">
        <v>3469</v>
      </c>
      <c r="B34" s="3413" t="s">
        <v>3554</v>
      </c>
      <c r="C34" s="3413" t="s">
        <v>3330</v>
      </c>
      <c r="D34" s="3413" t="s">
        <v>3443</v>
      </c>
      <c r="E34" s="3413">
        <v>1</v>
      </c>
      <c r="F34" s="3413">
        <v>129</v>
      </c>
      <c r="G34" s="3413">
        <v>12084</v>
      </c>
      <c r="H34" s="3413">
        <v>156.04</v>
      </c>
      <c r="I34" s="3413" t="s">
        <v>3350</v>
      </c>
      <c r="J34" s="3413" t="s">
        <v>3350</v>
      </c>
      <c r="K34" s="3413">
        <v>5</v>
      </c>
      <c r="L34" s="3413">
        <v>655</v>
      </c>
      <c r="M34" s="3413" t="s">
        <v>3350</v>
      </c>
      <c r="N34" s="3413" t="s">
        <v>3350</v>
      </c>
      <c r="O34" s="3413" t="s">
        <v>3350</v>
      </c>
      <c r="P34" s="3413" t="s">
        <v>3350</v>
      </c>
    </row>
    <row r="35" spans="1:16">
      <c r="A35" s="3413" t="s">
        <v>3468</v>
      </c>
      <c r="B35" s="3413" t="s">
        <v>3535</v>
      </c>
      <c r="C35" s="3413" t="s">
        <v>3330</v>
      </c>
      <c r="D35" s="3413" t="s">
        <v>3443</v>
      </c>
      <c r="E35" s="3413">
        <v>1</v>
      </c>
      <c r="F35" s="3413">
        <v>118</v>
      </c>
      <c r="G35" s="3413">
        <v>4526</v>
      </c>
      <c r="H35" s="3413">
        <v>53.19</v>
      </c>
      <c r="I35" s="3413" t="s">
        <v>3350</v>
      </c>
      <c r="J35" s="3413" t="s">
        <v>3350</v>
      </c>
      <c r="K35" s="3413">
        <v>5</v>
      </c>
      <c r="L35" s="3413">
        <v>576</v>
      </c>
      <c r="M35" s="3413">
        <v>1</v>
      </c>
      <c r="N35" s="3413">
        <v>118</v>
      </c>
      <c r="O35" s="3413">
        <v>4526</v>
      </c>
      <c r="P35" s="3413">
        <v>53.19</v>
      </c>
    </row>
    <row r="36" spans="1:16">
      <c r="A36" s="3413" t="s">
        <v>3564</v>
      </c>
      <c r="B36" s="3413" t="s">
        <v>3535</v>
      </c>
      <c r="C36" s="3413" t="s">
        <v>3330</v>
      </c>
      <c r="D36" s="3413" t="s">
        <v>3421</v>
      </c>
      <c r="E36" s="3413" t="s">
        <v>3350</v>
      </c>
      <c r="F36" s="3413" t="s">
        <v>3350</v>
      </c>
      <c r="G36" s="3413" t="s">
        <v>3350</v>
      </c>
      <c r="H36" s="3413" t="s">
        <v>3350</v>
      </c>
      <c r="I36" s="3413" t="s">
        <v>3350</v>
      </c>
      <c r="J36" s="3413" t="s">
        <v>3350</v>
      </c>
      <c r="K36" s="3413">
        <v>5</v>
      </c>
      <c r="L36" s="3413">
        <v>520</v>
      </c>
      <c r="M36" s="3413" t="s">
        <v>3350</v>
      </c>
      <c r="N36" s="3413" t="s">
        <v>3350</v>
      </c>
      <c r="O36" s="3413" t="s">
        <v>3350</v>
      </c>
      <c r="P36" s="3413" t="s">
        <v>3350</v>
      </c>
    </row>
    <row r="37" spans="1:16">
      <c r="A37" s="3413" t="s">
        <v>3463</v>
      </c>
      <c r="C37" s="3413" t="s">
        <v>3330</v>
      </c>
      <c r="D37" s="3413" t="s">
        <v>3443</v>
      </c>
      <c r="E37" s="3413" t="s">
        <v>3350</v>
      </c>
      <c r="F37" s="3413" t="s">
        <v>3350</v>
      </c>
      <c r="G37" s="3413" t="s">
        <v>3350</v>
      </c>
      <c r="H37" s="3413" t="s">
        <v>3350</v>
      </c>
      <c r="I37" s="3413" t="s">
        <v>3350</v>
      </c>
      <c r="J37" s="3413" t="s">
        <v>3350</v>
      </c>
      <c r="K37" s="3413">
        <v>9</v>
      </c>
      <c r="L37" s="3413">
        <v>1011</v>
      </c>
      <c r="M37" s="3413" t="s">
        <v>3350</v>
      </c>
      <c r="N37" s="3413" t="s">
        <v>3350</v>
      </c>
      <c r="O37" s="3413" t="s">
        <v>3350</v>
      </c>
      <c r="P37" s="3413" t="s">
        <v>3350</v>
      </c>
    </row>
    <row r="38" spans="1:16">
      <c r="A38" s="3413" t="s">
        <v>3563</v>
      </c>
      <c r="B38" s="3413" t="s">
        <v>3535</v>
      </c>
      <c r="C38" s="3413" t="s">
        <v>3330</v>
      </c>
      <c r="D38" s="3413" t="s">
        <v>3421</v>
      </c>
      <c r="E38" s="3413" t="s">
        <v>3350</v>
      </c>
      <c r="F38" s="3413" t="s">
        <v>3350</v>
      </c>
      <c r="G38" s="3413" t="s">
        <v>3350</v>
      </c>
      <c r="H38" s="3413" t="s">
        <v>3350</v>
      </c>
      <c r="I38" s="3413" t="s">
        <v>3350</v>
      </c>
      <c r="J38" s="3413" t="s">
        <v>3350</v>
      </c>
      <c r="K38" s="3413">
        <v>4</v>
      </c>
      <c r="L38" s="3413">
        <v>922</v>
      </c>
      <c r="M38" s="3413" t="s">
        <v>3350</v>
      </c>
      <c r="N38" s="3413" t="s">
        <v>3350</v>
      </c>
      <c r="O38" s="3413" t="s">
        <v>3350</v>
      </c>
      <c r="P38" s="3413" t="s">
        <v>3350</v>
      </c>
    </row>
    <row r="39" spans="1:16">
      <c r="A39" s="3413" t="s">
        <v>3458</v>
      </c>
      <c r="B39" s="3413" t="s">
        <v>3554</v>
      </c>
      <c r="C39" s="3413" t="s">
        <v>3330</v>
      </c>
      <c r="D39" s="3413" t="s">
        <v>3421</v>
      </c>
      <c r="E39" s="3413" t="s">
        <v>3350</v>
      </c>
      <c r="F39" s="3413" t="s">
        <v>3350</v>
      </c>
      <c r="G39" s="3413" t="s">
        <v>3350</v>
      </c>
      <c r="H39" s="3413" t="s">
        <v>3350</v>
      </c>
      <c r="I39" s="3413" t="s">
        <v>3350</v>
      </c>
      <c r="J39" s="3413" t="s">
        <v>3350</v>
      </c>
      <c r="K39" s="3413">
        <v>1</v>
      </c>
      <c r="L39" s="3413">
        <v>121</v>
      </c>
      <c r="M39" s="3413" t="s">
        <v>3350</v>
      </c>
      <c r="N39" s="3413" t="s">
        <v>3350</v>
      </c>
      <c r="O39" s="3413" t="s">
        <v>3350</v>
      </c>
      <c r="P39" s="3413" t="s">
        <v>3350</v>
      </c>
    </row>
    <row r="40" spans="1:16">
      <c r="A40" s="3413" t="s">
        <v>3457</v>
      </c>
      <c r="B40" s="3413" t="s">
        <v>3554</v>
      </c>
      <c r="C40" s="3413" t="s">
        <v>3330</v>
      </c>
      <c r="D40" s="3413" t="s">
        <v>3449</v>
      </c>
      <c r="E40" s="3413" t="s">
        <v>3350</v>
      </c>
      <c r="F40" s="3413" t="s">
        <v>3350</v>
      </c>
      <c r="G40" s="3413" t="s">
        <v>3350</v>
      </c>
      <c r="H40" s="3413" t="s">
        <v>3350</v>
      </c>
      <c r="I40" s="3413" t="s">
        <v>3350</v>
      </c>
      <c r="J40" s="3413" t="s">
        <v>3350</v>
      </c>
      <c r="K40" s="3413">
        <v>31</v>
      </c>
      <c r="L40" s="3413">
        <v>3905</v>
      </c>
      <c r="M40" s="3413" t="s">
        <v>3350</v>
      </c>
      <c r="N40" s="3413" t="s">
        <v>3350</v>
      </c>
      <c r="O40" s="3413" t="s">
        <v>3350</v>
      </c>
      <c r="P40" s="3413" t="s">
        <v>3350</v>
      </c>
    </row>
    <row r="41" spans="1:16">
      <c r="A41" s="3413" t="s">
        <v>3562</v>
      </c>
      <c r="B41" s="3413" t="s">
        <v>3554</v>
      </c>
      <c r="C41" s="3413" t="s">
        <v>3330</v>
      </c>
      <c r="D41" s="3413" t="s">
        <v>3421</v>
      </c>
      <c r="E41" s="3413" t="s">
        <v>3350</v>
      </c>
      <c r="F41" s="3413" t="s">
        <v>3350</v>
      </c>
      <c r="G41" s="3413" t="s">
        <v>3350</v>
      </c>
      <c r="H41" s="3413" t="s">
        <v>3350</v>
      </c>
      <c r="I41" s="3413" t="s">
        <v>3350</v>
      </c>
      <c r="J41" s="3413" t="s">
        <v>3350</v>
      </c>
      <c r="K41" s="3413">
        <v>2</v>
      </c>
      <c r="L41" s="3413">
        <v>283</v>
      </c>
      <c r="M41" s="3413" t="s">
        <v>3350</v>
      </c>
      <c r="N41" s="3413" t="s">
        <v>3350</v>
      </c>
      <c r="O41" s="3413" t="s">
        <v>3350</v>
      </c>
      <c r="P41" s="3413" t="s">
        <v>3350</v>
      </c>
    </row>
    <row r="42" spans="1:16">
      <c r="A42" s="3413" t="s">
        <v>3453</v>
      </c>
      <c r="C42" s="3413" t="s">
        <v>3330</v>
      </c>
      <c r="D42" s="3413" t="s">
        <v>3443</v>
      </c>
      <c r="E42" s="3413" t="s">
        <v>3350</v>
      </c>
      <c r="F42" s="3413" t="s">
        <v>3350</v>
      </c>
      <c r="G42" s="3413" t="s">
        <v>3350</v>
      </c>
      <c r="H42" s="3413" t="s">
        <v>3350</v>
      </c>
      <c r="I42" s="3413" t="s">
        <v>3350</v>
      </c>
      <c r="J42" s="3413" t="s">
        <v>3350</v>
      </c>
      <c r="K42" s="3413">
        <v>8</v>
      </c>
      <c r="L42" s="3413">
        <v>788</v>
      </c>
      <c r="M42" s="3413" t="s">
        <v>3350</v>
      </c>
      <c r="N42" s="3413" t="s">
        <v>3350</v>
      </c>
      <c r="O42" s="3413" t="s">
        <v>3350</v>
      </c>
      <c r="P42" s="3413" t="s">
        <v>3350</v>
      </c>
    </row>
    <row r="43" spans="1:16">
      <c r="A43" s="3413" t="s">
        <v>3451</v>
      </c>
      <c r="C43" s="3413" t="s">
        <v>3330</v>
      </c>
      <c r="D43" s="3413" t="s">
        <v>3443</v>
      </c>
      <c r="E43" s="3413" t="s">
        <v>3350</v>
      </c>
      <c r="F43" s="3413" t="s">
        <v>3350</v>
      </c>
      <c r="G43" s="3413" t="s">
        <v>3350</v>
      </c>
      <c r="H43" s="3413" t="s">
        <v>3350</v>
      </c>
      <c r="I43" s="3413" t="s">
        <v>3350</v>
      </c>
      <c r="J43" s="3413" t="s">
        <v>3350</v>
      </c>
      <c r="K43" s="3413">
        <v>1</v>
      </c>
      <c r="L43" s="3413">
        <v>102</v>
      </c>
      <c r="M43" s="3413" t="s">
        <v>3350</v>
      </c>
      <c r="N43" s="3413" t="s">
        <v>3350</v>
      </c>
      <c r="O43" s="3413" t="s">
        <v>3350</v>
      </c>
      <c r="P43" s="3413" t="s">
        <v>3350</v>
      </c>
    </row>
    <row r="44" spans="1:16">
      <c r="A44" s="3413" t="s">
        <v>3450</v>
      </c>
      <c r="B44" s="3413" t="s">
        <v>3535</v>
      </c>
      <c r="C44" s="3413" t="s">
        <v>3330</v>
      </c>
      <c r="D44" s="3413" t="s">
        <v>3449</v>
      </c>
      <c r="E44" s="3413" t="s">
        <v>3350</v>
      </c>
      <c r="F44" s="3413" t="s">
        <v>3350</v>
      </c>
      <c r="G44" s="3413" t="s">
        <v>3350</v>
      </c>
      <c r="H44" s="3413" t="s">
        <v>3350</v>
      </c>
      <c r="I44" s="3413" t="s">
        <v>3350</v>
      </c>
      <c r="J44" s="3413" t="s">
        <v>3350</v>
      </c>
      <c r="K44" s="3413">
        <v>6</v>
      </c>
      <c r="L44" s="3413">
        <v>586</v>
      </c>
      <c r="M44" s="3413" t="s">
        <v>3350</v>
      </c>
      <c r="N44" s="3413" t="s">
        <v>3350</v>
      </c>
      <c r="O44" s="3413" t="s">
        <v>3350</v>
      </c>
      <c r="P44" s="3413" t="s">
        <v>3350</v>
      </c>
    </row>
    <row r="45" spans="1:16">
      <c r="A45" s="3413" t="s">
        <v>3448</v>
      </c>
      <c r="B45" s="3413" t="s">
        <v>3554</v>
      </c>
      <c r="C45" s="3413" t="s">
        <v>3330</v>
      </c>
      <c r="D45" s="3413" t="s">
        <v>3443</v>
      </c>
      <c r="E45" s="3413" t="s">
        <v>3350</v>
      </c>
      <c r="F45" s="3413" t="s">
        <v>3350</v>
      </c>
      <c r="G45" s="3413" t="s">
        <v>3350</v>
      </c>
      <c r="H45" s="3413" t="s">
        <v>3350</v>
      </c>
      <c r="I45" s="3413" t="s">
        <v>3350</v>
      </c>
      <c r="J45" s="3413" t="s">
        <v>3350</v>
      </c>
      <c r="K45" s="3413">
        <v>1</v>
      </c>
      <c r="L45" s="3413">
        <v>121</v>
      </c>
      <c r="M45" s="3413" t="s">
        <v>3350</v>
      </c>
      <c r="N45" s="3413" t="s">
        <v>3350</v>
      </c>
      <c r="O45" s="3413" t="s">
        <v>3350</v>
      </c>
      <c r="P45" s="3413" t="s">
        <v>3350</v>
      </c>
    </row>
    <row r="46" spans="1:16">
      <c r="A46" s="3413" t="s">
        <v>3444</v>
      </c>
      <c r="B46" s="3413" t="s">
        <v>3535</v>
      </c>
      <c r="C46" s="3413" t="s">
        <v>3330</v>
      </c>
      <c r="D46" s="3413" t="s">
        <v>3443</v>
      </c>
      <c r="E46" s="3413" t="s">
        <v>3350</v>
      </c>
      <c r="F46" s="3413" t="s">
        <v>3350</v>
      </c>
      <c r="G46" s="3413" t="s">
        <v>3350</v>
      </c>
      <c r="H46" s="3413" t="s">
        <v>3350</v>
      </c>
      <c r="I46" s="3413" t="s">
        <v>3350</v>
      </c>
      <c r="J46" s="3413" t="s">
        <v>3350</v>
      </c>
      <c r="K46" s="3413">
        <v>2</v>
      </c>
      <c r="L46" s="3413">
        <v>267</v>
      </c>
      <c r="M46" s="3413" t="s">
        <v>3350</v>
      </c>
      <c r="N46" s="3413" t="s">
        <v>3350</v>
      </c>
      <c r="O46" s="3413" t="s">
        <v>3350</v>
      </c>
      <c r="P46" s="3413" t="s">
        <v>3350</v>
      </c>
    </row>
    <row r="47" spans="1:16">
      <c r="A47" s="3413" t="s">
        <v>3467</v>
      </c>
      <c r="B47" s="3413" t="s">
        <v>3535</v>
      </c>
      <c r="C47" s="3413" t="s">
        <v>3330</v>
      </c>
      <c r="D47" s="3413" t="s">
        <v>3443</v>
      </c>
      <c r="E47" s="3413" t="s">
        <v>3350</v>
      </c>
      <c r="F47" s="3413" t="s">
        <v>3350</v>
      </c>
      <c r="G47" s="3413" t="s">
        <v>3350</v>
      </c>
      <c r="H47" s="3413" t="s">
        <v>3350</v>
      </c>
      <c r="I47" s="3413" t="s">
        <v>3350</v>
      </c>
      <c r="J47" s="3413" t="s">
        <v>3350</v>
      </c>
      <c r="K47" s="3413">
        <v>1</v>
      </c>
      <c r="L47" s="3413">
        <v>125</v>
      </c>
      <c r="M47" s="3413" t="s">
        <v>3350</v>
      </c>
      <c r="N47" s="3413" t="s">
        <v>3350</v>
      </c>
      <c r="O47" s="3413" t="s">
        <v>3350</v>
      </c>
      <c r="P47" s="3413" t="s">
        <v>3350</v>
      </c>
    </row>
    <row r="48" spans="1:16">
      <c r="A48" s="3413" t="s">
        <v>3466</v>
      </c>
      <c r="B48" s="3413" t="s">
        <v>3554</v>
      </c>
      <c r="C48" s="3413" t="s">
        <v>3330</v>
      </c>
      <c r="D48" s="3413" t="s">
        <v>3443</v>
      </c>
      <c r="E48" s="3413" t="s">
        <v>3350</v>
      </c>
      <c r="F48" s="3413" t="s">
        <v>3350</v>
      </c>
      <c r="G48" s="3413" t="s">
        <v>3350</v>
      </c>
      <c r="H48" s="3413" t="s">
        <v>3350</v>
      </c>
      <c r="I48" s="3413" t="s">
        <v>3350</v>
      </c>
      <c r="J48" s="3413" t="s">
        <v>3350</v>
      </c>
      <c r="K48" s="3413">
        <v>23</v>
      </c>
      <c r="L48" s="3413">
        <v>3837</v>
      </c>
      <c r="M48" s="3413" t="s">
        <v>3350</v>
      </c>
      <c r="N48" s="3413" t="s">
        <v>3350</v>
      </c>
      <c r="O48" s="3413" t="s">
        <v>3350</v>
      </c>
      <c r="P48" s="3413" t="s">
        <v>3350</v>
      </c>
    </row>
    <row r="49" spans="1:16">
      <c r="A49" s="3413" t="s">
        <v>3465</v>
      </c>
      <c r="B49" s="3413" t="s">
        <v>3561</v>
      </c>
      <c r="C49" s="3413" t="s">
        <v>3330</v>
      </c>
      <c r="D49" s="3413" t="s">
        <v>3443</v>
      </c>
      <c r="E49" s="3413" t="s">
        <v>3350</v>
      </c>
      <c r="F49" s="3413" t="s">
        <v>3350</v>
      </c>
      <c r="G49" s="3413" t="s">
        <v>3350</v>
      </c>
      <c r="H49" s="3413" t="s">
        <v>3350</v>
      </c>
      <c r="I49" s="3413" t="s">
        <v>3350</v>
      </c>
      <c r="J49" s="3413" t="s">
        <v>3350</v>
      </c>
      <c r="K49" s="3413">
        <v>4</v>
      </c>
      <c r="L49" s="3413">
        <v>363</v>
      </c>
      <c r="M49" s="3413" t="s">
        <v>3350</v>
      </c>
      <c r="N49" s="3413" t="s">
        <v>3350</v>
      </c>
      <c r="O49" s="3413" t="s">
        <v>3350</v>
      </c>
      <c r="P49" s="3413" t="s">
        <v>3350</v>
      </c>
    </row>
    <row r="50" spans="1:16">
      <c r="A50" s="3413" t="s">
        <v>3464</v>
      </c>
      <c r="B50" s="3413" t="s">
        <v>3535</v>
      </c>
      <c r="C50" s="3413" t="s">
        <v>3330</v>
      </c>
      <c r="D50" s="3413" t="s">
        <v>3443</v>
      </c>
      <c r="E50" s="3413" t="s">
        <v>3350</v>
      </c>
      <c r="F50" s="3413" t="s">
        <v>3350</v>
      </c>
      <c r="G50" s="3413" t="s">
        <v>3350</v>
      </c>
      <c r="H50" s="3413" t="s">
        <v>3350</v>
      </c>
      <c r="I50" s="3413" t="s">
        <v>3350</v>
      </c>
      <c r="J50" s="3413" t="s">
        <v>3350</v>
      </c>
      <c r="K50" s="3413">
        <v>2</v>
      </c>
      <c r="L50" s="3413">
        <v>190</v>
      </c>
      <c r="M50" s="3413" t="s">
        <v>3350</v>
      </c>
      <c r="N50" s="3413" t="s">
        <v>3350</v>
      </c>
      <c r="O50" s="3413" t="s">
        <v>3350</v>
      </c>
      <c r="P50" s="3413" t="s">
        <v>3350</v>
      </c>
    </row>
    <row r="51" spans="1:16">
      <c r="A51" s="3413" t="s">
        <v>3560</v>
      </c>
      <c r="B51" s="3413" t="s">
        <v>3535</v>
      </c>
      <c r="C51" s="3413" t="s">
        <v>3330</v>
      </c>
      <c r="D51" s="3413" t="s">
        <v>3421</v>
      </c>
      <c r="E51" s="3413" t="s">
        <v>3350</v>
      </c>
      <c r="F51" s="3413" t="s">
        <v>3350</v>
      </c>
      <c r="G51" s="3413" t="s">
        <v>3350</v>
      </c>
      <c r="H51" s="3413" t="s">
        <v>3350</v>
      </c>
      <c r="I51" s="3413" t="s">
        <v>3350</v>
      </c>
      <c r="J51" s="3413" t="s">
        <v>3350</v>
      </c>
      <c r="K51" s="3413">
        <v>28</v>
      </c>
      <c r="L51" s="3413">
        <v>5302</v>
      </c>
      <c r="M51" s="3413" t="s">
        <v>3350</v>
      </c>
      <c r="N51" s="3413" t="s">
        <v>3350</v>
      </c>
      <c r="O51" s="3413" t="s">
        <v>3350</v>
      </c>
      <c r="P51" s="3413" t="s">
        <v>3350</v>
      </c>
    </row>
    <row r="52" spans="1:16">
      <c r="A52" s="3413" t="s">
        <v>3462</v>
      </c>
      <c r="B52" s="3413" t="s">
        <v>3535</v>
      </c>
      <c r="C52" s="3413" t="s">
        <v>3330</v>
      </c>
      <c r="D52" s="3413" t="s">
        <v>3443</v>
      </c>
      <c r="E52" s="3413" t="s">
        <v>3350</v>
      </c>
      <c r="F52" s="3413" t="s">
        <v>3350</v>
      </c>
      <c r="G52" s="3413" t="s">
        <v>3350</v>
      </c>
      <c r="H52" s="3413" t="s">
        <v>3350</v>
      </c>
      <c r="I52" s="3413" t="s">
        <v>3350</v>
      </c>
      <c r="J52" s="3413" t="s">
        <v>3350</v>
      </c>
      <c r="K52" s="3413">
        <v>1</v>
      </c>
      <c r="L52" s="3413">
        <v>79</v>
      </c>
      <c r="M52" s="3413" t="s">
        <v>3350</v>
      </c>
      <c r="N52" s="3413" t="s">
        <v>3350</v>
      </c>
      <c r="O52" s="3413" t="s">
        <v>3350</v>
      </c>
      <c r="P52" s="3413" t="s">
        <v>3350</v>
      </c>
    </row>
    <row r="53" spans="1:16">
      <c r="A53" s="3413" t="s">
        <v>3461</v>
      </c>
      <c r="B53" s="3413" t="s">
        <v>3554</v>
      </c>
      <c r="C53" s="3413" t="s">
        <v>3330</v>
      </c>
      <c r="D53" s="3413" t="s">
        <v>3443</v>
      </c>
      <c r="E53" s="3413" t="s">
        <v>3350</v>
      </c>
      <c r="F53" s="3413" t="s">
        <v>3350</v>
      </c>
      <c r="G53" s="3413" t="s">
        <v>3350</v>
      </c>
      <c r="H53" s="3413" t="s">
        <v>3350</v>
      </c>
      <c r="I53" s="3413" t="s">
        <v>3350</v>
      </c>
      <c r="J53" s="3413" t="s">
        <v>3350</v>
      </c>
      <c r="K53" s="3413">
        <v>4</v>
      </c>
      <c r="L53" s="3413">
        <v>420</v>
      </c>
      <c r="M53" s="3413" t="s">
        <v>3350</v>
      </c>
      <c r="N53" s="3413" t="s">
        <v>3350</v>
      </c>
      <c r="O53" s="3413" t="s">
        <v>3350</v>
      </c>
      <c r="P53" s="3413" t="s">
        <v>3350</v>
      </c>
    </row>
    <row r="54" spans="1:16">
      <c r="A54" s="3413" t="s">
        <v>3460</v>
      </c>
      <c r="B54" s="3413" t="s">
        <v>3535</v>
      </c>
      <c r="C54" s="3413" t="s">
        <v>3330</v>
      </c>
      <c r="D54" s="3413" t="s">
        <v>3449</v>
      </c>
      <c r="E54" s="3413" t="s">
        <v>3350</v>
      </c>
      <c r="F54" s="3413" t="s">
        <v>3350</v>
      </c>
      <c r="G54" s="3413" t="s">
        <v>3350</v>
      </c>
      <c r="H54" s="3413" t="s">
        <v>3350</v>
      </c>
      <c r="I54" s="3413" t="s">
        <v>3350</v>
      </c>
      <c r="J54" s="3413" t="s">
        <v>3350</v>
      </c>
      <c r="K54" s="3413">
        <v>377</v>
      </c>
      <c r="L54" s="3413">
        <v>42952</v>
      </c>
      <c r="M54" s="3413" t="s">
        <v>3350</v>
      </c>
      <c r="N54" s="3413" t="s">
        <v>3350</v>
      </c>
      <c r="O54" s="3413" t="s">
        <v>3350</v>
      </c>
      <c r="P54" s="3413" t="s">
        <v>3350</v>
      </c>
    </row>
    <row r="55" spans="1:16">
      <c r="A55" s="3413" t="s">
        <v>3459</v>
      </c>
      <c r="B55" s="3413" t="s">
        <v>3535</v>
      </c>
      <c r="C55" s="3413" t="s">
        <v>3330</v>
      </c>
      <c r="D55" s="3413" t="s">
        <v>3449</v>
      </c>
      <c r="E55" s="3413" t="s">
        <v>3350</v>
      </c>
      <c r="F55" s="3413" t="s">
        <v>3350</v>
      </c>
      <c r="G55" s="3413" t="s">
        <v>3350</v>
      </c>
      <c r="H55" s="3413" t="s">
        <v>3350</v>
      </c>
      <c r="I55" s="3413" t="s">
        <v>3350</v>
      </c>
      <c r="J55" s="3413" t="s">
        <v>3350</v>
      </c>
      <c r="K55" s="3413">
        <v>13</v>
      </c>
      <c r="L55" s="3413">
        <v>1476</v>
      </c>
      <c r="M55" s="3413">
        <v>1</v>
      </c>
      <c r="N55" s="3413">
        <v>115</v>
      </c>
      <c r="O55" s="3413">
        <v>4500</v>
      </c>
      <c r="P55" s="3413">
        <v>51.67</v>
      </c>
    </row>
    <row r="56" spans="1:16">
      <c r="A56" s="3413" t="s">
        <v>3559</v>
      </c>
      <c r="B56" s="3413" t="s">
        <v>3535</v>
      </c>
      <c r="C56" s="3413" t="s">
        <v>3330</v>
      </c>
      <c r="D56" s="3413" t="s">
        <v>3449</v>
      </c>
      <c r="E56" s="3413" t="s">
        <v>3350</v>
      </c>
      <c r="F56" s="3413" t="s">
        <v>3350</v>
      </c>
      <c r="G56" s="3413" t="s">
        <v>3350</v>
      </c>
      <c r="H56" s="3413" t="s">
        <v>3350</v>
      </c>
      <c r="I56" s="3413" t="s">
        <v>3350</v>
      </c>
      <c r="J56" s="3413" t="s">
        <v>3350</v>
      </c>
      <c r="K56" s="3413">
        <v>74</v>
      </c>
      <c r="L56" s="3413">
        <v>7205</v>
      </c>
      <c r="M56" s="3413" t="s">
        <v>3350</v>
      </c>
      <c r="N56" s="3413" t="s">
        <v>3350</v>
      </c>
      <c r="O56" s="3413" t="s">
        <v>3350</v>
      </c>
      <c r="P56" s="3413" t="s">
        <v>3350</v>
      </c>
    </row>
    <row r="57" spans="1:16">
      <c r="A57" s="3413" t="s">
        <v>3456</v>
      </c>
      <c r="B57" s="3413" t="s">
        <v>3535</v>
      </c>
      <c r="C57" s="3413" t="s">
        <v>3330</v>
      </c>
      <c r="D57" s="3413" t="s">
        <v>3443</v>
      </c>
      <c r="E57" s="3413" t="s">
        <v>3350</v>
      </c>
      <c r="F57" s="3413" t="s">
        <v>3350</v>
      </c>
      <c r="G57" s="3413" t="s">
        <v>3350</v>
      </c>
      <c r="H57" s="3413" t="s">
        <v>3350</v>
      </c>
      <c r="I57" s="3413" t="s">
        <v>3350</v>
      </c>
      <c r="J57" s="3413" t="s">
        <v>3350</v>
      </c>
      <c r="K57" s="3413">
        <v>69</v>
      </c>
      <c r="L57" s="3413">
        <v>7395</v>
      </c>
      <c r="M57" s="3413" t="s">
        <v>3350</v>
      </c>
      <c r="N57" s="3413" t="s">
        <v>3350</v>
      </c>
      <c r="O57" s="3413" t="s">
        <v>3350</v>
      </c>
      <c r="P57" s="3413" t="s">
        <v>3350</v>
      </c>
    </row>
    <row r="58" spans="1:16">
      <c r="A58" s="3413" t="s">
        <v>3455</v>
      </c>
      <c r="B58" s="3413" t="s">
        <v>3554</v>
      </c>
      <c r="C58" s="3413" t="s">
        <v>3330</v>
      </c>
      <c r="D58" s="3413" t="s">
        <v>3454</v>
      </c>
      <c r="E58" s="3413" t="s">
        <v>3350</v>
      </c>
      <c r="F58" s="3413" t="s">
        <v>3350</v>
      </c>
      <c r="G58" s="3413" t="s">
        <v>3350</v>
      </c>
      <c r="H58" s="3413" t="s">
        <v>3350</v>
      </c>
      <c r="I58" s="3413" t="s">
        <v>3350</v>
      </c>
      <c r="J58" s="3413" t="s">
        <v>3350</v>
      </c>
      <c r="K58" s="3413">
        <v>325</v>
      </c>
      <c r="L58" s="3413">
        <v>32856</v>
      </c>
      <c r="M58" s="3413">
        <v>222</v>
      </c>
      <c r="N58" s="3413">
        <v>23092</v>
      </c>
      <c r="O58" s="3413">
        <v>6000</v>
      </c>
      <c r="P58" s="3413">
        <v>13855.26</v>
      </c>
    </row>
    <row r="59" spans="1:16">
      <c r="A59" s="3413" t="s">
        <v>3558</v>
      </c>
      <c r="B59" s="3413" t="s">
        <v>3535</v>
      </c>
      <c r="C59" s="3413" t="s">
        <v>3330</v>
      </c>
      <c r="D59" s="3413" t="s">
        <v>3421</v>
      </c>
      <c r="E59" s="3413" t="s">
        <v>3350</v>
      </c>
      <c r="F59" s="3413" t="s">
        <v>3350</v>
      </c>
      <c r="G59" s="3413" t="s">
        <v>3350</v>
      </c>
      <c r="H59" s="3413" t="s">
        <v>3350</v>
      </c>
      <c r="I59" s="3413" t="s">
        <v>3350</v>
      </c>
      <c r="J59" s="3413" t="s">
        <v>3350</v>
      </c>
      <c r="K59" s="3413">
        <v>62</v>
      </c>
      <c r="L59" s="3413">
        <v>7045</v>
      </c>
      <c r="M59" s="3413" t="s">
        <v>3350</v>
      </c>
      <c r="N59" s="3413" t="s">
        <v>3350</v>
      </c>
      <c r="O59" s="3413" t="s">
        <v>3350</v>
      </c>
      <c r="P59" s="3413" t="s">
        <v>3350</v>
      </c>
    </row>
    <row r="60" spans="1:16">
      <c r="A60" s="3413" t="s">
        <v>3447</v>
      </c>
      <c r="B60" s="3413" t="s">
        <v>3535</v>
      </c>
      <c r="C60" s="3413" t="s">
        <v>3330</v>
      </c>
      <c r="D60" s="3413" t="s">
        <v>3443</v>
      </c>
      <c r="E60" s="3413" t="s">
        <v>3350</v>
      </c>
      <c r="F60" s="3413" t="s">
        <v>3350</v>
      </c>
      <c r="G60" s="3413" t="s">
        <v>3350</v>
      </c>
      <c r="H60" s="3413" t="s">
        <v>3350</v>
      </c>
      <c r="I60" s="3413" t="s">
        <v>3350</v>
      </c>
      <c r="J60" s="3413" t="s">
        <v>3350</v>
      </c>
      <c r="K60" s="3413">
        <v>1</v>
      </c>
      <c r="L60" s="3413">
        <v>113</v>
      </c>
      <c r="M60" s="3413" t="s">
        <v>3350</v>
      </c>
      <c r="N60" s="3413" t="s">
        <v>3350</v>
      </c>
      <c r="O60" s="3413" t="s">
        <v>3350</v>
      </c>
      <c r="P60" s="3413" t="s">
        <v>3350</v>
      </c>
    </row>
    <row r="61" spans="1:16">
      <c r="A61" s="3413" t="s">
        <v>3557</v>
      </c>
      <c r="B61" s="3413" t="s">
        <v>3535</v>
      </c>
      <c r="C61" s="3413" t="s">
        <v>3330</v>
      </c>
      <c r="D61" s="3413" t="s">
        <v>3556</v>
      </c>
      <c r="E61" s="3413" t="s">
        <v>3350</v>
      </c>
      <c r="F61" s="3413" t="s">
        <v>3350</v>
      </c>
      <c r="G61" s="3413" t="s">
        <v>3350</v>
      </c>
      <c r="H61" s="3413" t="s">
        <v>3350</v>
      </c>
      <c r="I61" s="3413" t="s">
        <v>3350</v>
      </c>
      <c r="J61" s="3413" t="s">
        <v>3350</v>
      </c>
      <c r="K61" s="3413">
        <v>92</v>
      </c>
      <c r="L61" s="3413">
        <v>4714</v>
      </c>
      <c r="M61" s="3413" t="s">
        <v>3350</v>
      </c>
      <c r="N61" s="3413" t="s">
        <v>3350</v>
      </c>
      <c r="O61" s="3413" t="s">
        <v>3350</v>
      </c>
      <c r="P61" s="3413" t="s">
        <v>3350</v>
      </c>
    </row>
    <row r="62" spans="1:16">
      <c r="A62" s="3413" t="s">
        <v>3446</v>
      </c>
      <c r="B62" s="3413" t="s">
        <v>3555</v>
      </c>
      <c r="C62" s="3413" t="s">
        <v>3330</v>
      </c>
      <c r="D62" s="3413" t="s">
        <v>3443</v>
      </c>
      <c r="E62" s="3413" t="s">
        <v>3350</v>
      </c>
      <c r="F62" s="3413" t="s">
        <v>3350</v>
      </c>
      <c r="G62" s="3413" t="s">
        <v>3350</v>
      </c>
      <c r="H62" s="3413" t="s">
        <v>3350</v>
      </c>
      <c r="I62" s="3413" t="s">
        <v>3350</v>
      </c>
      <c r="J62" s="3413" t="s">
        <v>3350</v>
      </c>
      <c r="K62" s="3413">
        <v>1</v>
      </c>
      <c r="L62" s="3413">
        <v>143</v>
      </c>
      <c r="M62" s="3413" t="s">
        <v>3350</v>
      </c>
      <c r="N62" s="3413" t="s">
        <v>3350</v>
      </c>
      <c r="O62" s="3413" t="s">
        <v>3350</v>
      </c>
      <c r="P62" s="3413" t="s">
        <v>3350</v>
      </c>
    </row>
    <row r="63" spans="1:16">
      <c r="A63" s="3413" t="s">
        <v>3445</v>
      </c>
      <c r="B63" s="3413" t="s">
        <v>3554</v>
      </c>
      <c r="C63" s="3413" t="s">
        <v>3330</v>
      </c>
      <c r="D63" s="3413" t="s">
        <v>3443</v>
      </c>
      <c r="E63" s="3413" t="s">
        <v>3350</v>
      </c>
      <c r="F63" s="3413" t="s">
        <v>3350</v>
      </c>
      <c r="G63" s="3413" t="s">
        <v>3350</v>
      </c>
      <c r="H63" s="3413" t="s">
        <v>3350</v>
      </c>
      <c r="I63" s="3413" t="s">
        <v>3350</v>
      </c>
      <c r="J63" s="3413" t="s">
        <v>3350</v>
      </c>
      <c r="K63" s="3413">
        <v>3</v>
      </c>
      <c r="L63" s="3413">
        <v>322</v>
      </c>
      <c r="M63" s="3413" t="s">
        <v>3350</v>
      </c>
      <c r="N63" s="3413" t="s">
        <v>3350</v>
      </c>
      <c r="O63" s="3413" t="s">
        <v>3350</v>
      </c>
      <c r="P63" s="3413" t="s">
        <v>3350</v>
      </c>
    </row>
  </sheetData>
  <mergeCells count="17">
    <mergeCell ref="P2"/>
    <mergeCell ref="A1:P1"/>
    <mergeCell ref="A2"/>
    <mergeCell ref="B2"/>
    <mergeCell ref="C2"/>
    <mergeCell ref="D2"/>
    <mergeCell ref="E2"/>
    <mergeCell ref="F2"/>
    <mergeCell ref="G2"/>
    <mergeCell ref="H2"/>
    <mergeCell ref="O2"/>
    <mergeCell ref="I2"/>
    <mergeCell ref="J2"/>
    <mergeCell ref="K2"/>
    <mergeCell ref="L2"/>
    <mergeCell ref="M2"/>
    <mergeCell ref="N2"/>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853F4-C1D0-4DFB-9BDF-1FAD302704BC}">
  <sheetPr>
    <tabColor theme="6" tint="-0.499984740745262"/>
  </sheetPr>
  <dimension ref="A1:M16"/>
  <sheetViews>
    <sheetView workbookViewId="0">
      <selection activeCell="G13" sqref="G13"/>
    </sheetView>
  </sheetViews>
  <sheetFormatPr defaultRowHeight="12"/>
  <cols>
    <col min="1" max="1" width="7.5" style="3413" bestFit="1" customWidth="1"/>
    <col min="2" max="3" width="10.5" style="3413" bestFit="1" customWidth="1"/>
    <col min="4" max="4" width="13" style="3413" bestFit="1" customWidth="1"/>
    <col min="5" max="5" width="12.25" style="3413" bestFit="1" customWidth="1"/>
    <col min="6" max="7" width="13.875" style="3413" bestFit="1" customWidth="1"/>
    <col min="8" max="11" width="10.5" style="3413" bestFit="1" customWidth="1"/>
    <col min="12" max="12" width="13" style="3413" bestFit="1" customWidth="1"/>
    <col min="13" max="13" width="12.25" style="3413" bestFit="1" customWidth="1"/>
    <col min="14" max="197" width="20" style="3413" customWidth="1"/>
    <col min="198" max="16384" width="9" style="3413"/>
  </cols>
  <sheetData>
    <row r="1" spans="1:13">
      <c r="A1" s="3478" t="s">
        <v>3531</v>
      </c>
      <c r="B1" s="3478" t="s">
        <v>3530</v>
      </c>
      <c r="C1" s="3478" t="s">
        <v>3508</v>
      </c>
      <c r="D1" s="3478" t="s">
        <v>3529</v>
      </c>
      <c r="E1" s="3478" t="s">
        <v>3506</v>
      </c>
      <c r="F1" s="3478" t="s">
        <v>3528</v>
      </c>
      <c r="G1" s="3478" t="s">
        <v>3504</v>
      </c>
      <c r="H1" s="3478" t="s">
        <v>3527</v>
      </c>
      <c r="I1" s="3478" t="s">
        <v>3502</v>
      </c>
      <c r="J1" s="3478" t="s">
        <v>3526</v>
      </c>
      <c r="K1" s="3478" t="s">
        <v>3500</v>
      </c>
      <c r="L1" s="3478" t="s">
        <v>3525</v>
      </c>
      <c r="M1" s="3478" t="s">
        <v>3498</v>
      </c>
    </row>
    <row r="2" spans="1:13">
      <c r="A2" s="3413" t="s">
        <v>3524</v>
      </c>
      <c r="B2" s="3413">
        <v>628</v>
      </c>
      <c r="C2" s="3413">
        <v>63099</v>
      </c>
      <c r="D2" s="3413">
        <v>9472</v>
      </c>
      <c r="E2" s="3413">
        <v>59765.4</v>
      </c>
      <c r="F2" s="3413">
        <v>718</v>
      </c>
      <c r="G2" s="3413">
        <v>71865</v>
      </c>
      <c r="H2" s="3413" t="s">
        <v>3350</v>
      </c>
      <c r="I2" s="3413" t="s">
        <v>3350</v>
      </c>
      <c r="J2" s="3413">
        <v>581</v>
      </c>
      <c r="K2" s="3413">
        <v>58558</v>
      </c>
      <c r="L2" s="3413">
        <v>9411</v>
      </c>
      <c r="M2" s="3413">
        <v>55110.92</v>
      </c>
    </row>
    <row r="3" spans="1:13">
      <c r="A3" s="3413" t="s">
        <v>3523</v>
      </c>
      <c r="B3" s="3413">
        <v>6</v>
      </c>
      <c r="C3" s="3413">
        <v>575</v>
      </c>
      <c r="D3" s="3413">
        <v>9577</v>
      </c>
      <c r="E3" s="3413">
        <v>550.5</v>
      </c>
      <c r="F3" s="3413" t="s">
        <v>3350</v>
      </c>
      <c r="G3" s="3413" t="s">
        <v>3350</v>
      </c>
      <c r="H3" s="3413" t="s">
        <v>3350</v>
      </c>
      <c r="I3" s="3413" t="s">
        <v>3350</v>
      </c>
      <c r="J3" s="3413">
        <v>1</v>
      </c>
      <c r="K3" s="3413">
        <v>103</v>
      </c>
      <c r="L3" s="3413">
        <v>9150</v>
      </c>
      <c r="M3" s="3413">
        <v>93.8</v>
      </c>
    </row>
    <row r="4" spans="1:13">
      <c r="A4" s="3413" t="s">
        <v>3522</v>
      </c>
      <c r="B4" s="3413">
        <v>6</v>
      </c>
      <c r="C4" s="3413">
        <v>614</v>
      </c>
      <c r="D4" s="3413">
        <v>9604</v>
      </c>
      <c r="E4" s="3413">
        <v>589.57000000000005</v>
      </c>
      <c r="F4" s="3413" t="s">
        <v>3350</v>
      </c>
      <c r="G4" s="3413" t="s">
        <v>3350</v>
      </c>
      <c r="H4" s="3413">
        <v>225</v>
      </c>
      <c r="I4" s="3413">
        <v>22841</v>
      </c>
      <c r="J4" s="3413">
        <v>19</v>
      </c>
      <c r="K4" s="3413">
        <v>1862</v>
      </c>
      <c r="L4" s="3413">
        <v>9568</v>
      </c>
      <c r="M4" s="3413">
        <v>1781.43</v>
      </c>
    </row>
    <row r="5" spans="1:13">
      <c r="A5" s="3413" t="s">
        <v>3521</v>
      </c>
      <c r="B5" s="3413">
        <v>98</v>
      </c>
      <c r="C5" s="3413">
        <v>9759</v>
      </c>
      <c r="D5" s="3413">
        <v>9891</v>
      </c>
      <c r="E5" s="3413">
        <v>9652.1</v>
      </c>
      <c r="F5" s="3413">
        <v>68</v>
      </c>
      <c r="G5" s="3413">
        <v>7076</v>
      </c>
      <c r="H5" s="3413">
        <v>232</v>
      </c>
      <c r="I5" s="3413">
        <v>23557</v>
      </c>
      <c r="J5" s="3413">
        <v>51</v>
      </c>
      <c r="K5" s="3413">
        <v>5157</v>
      </c>
      <c r="L5" s="3413">
        <v>9814</v>
      </c>
      <c r="M5" s="3413">
        <v>5061.3900000000003</v>
      </c>
    </row>
    <row r="6" spans="1:13">
      <c r="A6" s="3413" t="s">
        <v>3520</v>
      </c>
      <c r="B6" s="3413">
        <v>6</v>
      </c>
      <c r="C6" s="3413">
        <v>573</v>
      </c>
      <c r="D6" s="3413">
        <v>9705</v>
      </c>
      <c r="E6" s="3413">
        <v>556.15</v>
      </c>
      <c r="F6" s="3413">
        <v>240</v>
      </c>
      <c r="G6" s="3413">
        <v>24082</v>
      </c>
      <c r="H6" s="3413">
        <v>261</v>
      </c>
      <c r="I6" s="3413">
        <v>26135</v>
      </c>
      <c r="J6" s="3413">
        <v>50</v>
      </c>
      <c r="K6" s="3413">
        <v>4886</v>
      </c>
      <c r="L6" s="3413">
        <v>9963</v>
      </c>
      <c r="M6" s="3413">
        <v>4867.83</v>
      </c>
    </row>
    <row r="7" spans="1:13">
      <c r="A7" s="3413" t="s">
        <v>3519</v>
      </c>
      <c r="B7" s="3413">
        <v>12</v>
      </c>
      <c r="C7" s="3413">
        <v>1161</v>
      </c>
      <c r="D7" s="3413">
        <v>9613</v>
      </c>
      <c r="E7" s="3413">
        <v>1116.57</v>
      </c>
      <c r="F7" s="3413" t="s">
        <v>3350</v>
      </c>
      <c r="G7" s="3413" t="s">
        <v>3350</v>
      </c>
      <c r="H7" s="3413">
        <v>27</v>
      </c>
      <c r="I7" s="3413">
        <v>2626</v>
      </c>
      <c r="J7" s="3413">
        <v>5</v>
      </c>
      <c r="K7" s="3413">
        <v>503</v>
      </c>
      <c r="L7" s="3413">
        <v>10500</v>
      </c>
      <c r="M7" s="3413">
        <v>528.12</v>
      </c>
    </row>
    <row r="8" spans="1:13">
      <c r="A8" s="3413" t="s">
        <v>3518</v>
      </c>
      <c r="B8" s="3413">
        <v>15</v>
      </c>
      <c r="C8" s="3413">
        <v>1438</v>
      </c>
      <c r="D8" s="3413">
        <v>9127</v>
      </c>
      <c r="E8" s="3413">
        <v>1312.89</v>
      </c>
      <c r="F8" s="3413" t="s">
        <v>3350</v>
      </c>
      <c r="G8" s="3413" t="s">
        <v>3350</v>
      </c>
      <c r="H8" s="3413">
        <v>37</v>
      </c>
      <c r="I8" s="3413">
        <v>3590</v>
      </c>
      <c r="J8" s="3413">
        <v>1</v>
      </c>
      <c r="K8" s="3413">
        <v>96</v>
      </c>
      <c r="L8" s="3413">
        <v>10350</v>
      </c>
      <c r="M8" s="3413">
        <v>99.32</v>
      </c>
    </row>
    <row r="9" spans="1:13">
      <c r="A9" s="3413" t="s">
        <v>3517</v>
      </c>
      <c r="B9" s="3413">
        <v>35</v>
      </c>
      <c r="C9" s="3413">
        <v>3342</v>
      </c>
      <c r="D9" s="3413">
        <v>9041</v>
      </c>
      <c r="E9" s="3413">
        <v>3021.15</v>
      </c>
      <c r="F9" s="3413" t="s">
        <v>3350</v>
      </c>
      <c r="G9" s="3413" t="s">
        <v>3350</v>
      </c>
      <c r="H9" s="3413">
        <v>53</v>
      </c>
      <c r="I9" s="3413">
        <v>5124</v>
      </c>
      <c r="J9" s="3413">
        <v>12</v>
      </c>
      <c r="K9" s="3413">
        <v>1124</v>
      </c>
      <c r="L9" s="3413">
        <v>8723</v>
      </c>
      <c r="M9" s="3413">
        <v>980.12</v>
      </c>
    </row>
    <row r="10" spans="1:13">
      <c r="A10" s="3413" t="s">
        <v>3516</v>
      </c>
      <c r="B10" s="3413">
        <v>72</v>
      </c>
      <c r="C10" s="3413">
        <v>6892</v>
      </c>
      <c r="D10" s="3413">
        <v>9080</v>
      </c>
      <c r="E10" s="3413">
        <v>6257.84</v>
      </c>
      <c r="F10" s="3413" t="s">
        <v>3350</v>
      </c>
      <c r="G10" s="3413" t="s">
        <v>3350</v>
      </c>
      <c r="H10" s="3413">
        <v>38</v>
      </c>
      <c r="I10" s="3413">
        <v>3669</v>
      </c>
      <c r="J10" s="3413">
        <v>65</v>
      </c>
      <c r="K10" s="3413">
        <v>6246</v>
      </c>
      <c r="L10" s="3413">
        <v>9039</v>
      </c>
      <c r="M10" s="3413">
        <v>5646.22</v>
      </c>
    </row>
    <row r="11" spans="1:13">
      <c r="A11" s="3413" t="s">
        <v>3515</v>
      </c>
      <c r="B11" s="3413">
        <v>63</v>
      </c>
      <c r="C11" s="3413">
        <v>6158</v>
      </c>
      <c r="D11" s="3413">
        <v>9314</v>
      </c>
      <c r="E11" s="3413">
        <v>5735.66</v>
      </c>
      <c r="F11" s="3413">
        <v>76</v>
      </c>
      <c r="G11" s="3413">
        <v>7279</v>
      </c>
      <c r="H11" s="3413">
        <v>168</v>
      </c>
      <c r="I11" s="3413">
        <v>16157</v>
      </c>
      <c r="J11" s="3413">
        <v>65</v>
      </c>
      <c r="K11" s="3413">
        <v>6232</v>
      </c>
      <c r="L11" s="3413">
        <v>9261</v>
      </c>
      <c r="M11" s="3413">
        <v>5771.02</v>
      </c>
    </row>
    <row r="12" spans="1:13">
      <c r="A12" s="3413" t="s">
        <v>3514</v>
      </c>
      <c r="B12" s="3413">
        <v>41</v>
      </c>
      <c r="C12" s="3413">
        <v>4175</v>
      </c>
      <c r="D12" s="3413">
        <v>9390</v>
      </c>
      <c r="E12" s="3413">
        <v>3920.08</v>
      </c>
      <c r="F12" s="3413">
        <v>85</v>
      </c>
      <c r="G12" s="3413">
        <v>8193</v>
      </c>
      <c r="H12" s="3413">
        <v>146</v>
      </c>
      <c r="I12" s="3413">
        <v>14141</v>
      </c>
      <c r="J12" s="3413">
        <v>91</v>
      </c>
      <c r="K12" s="3413">
        <v>9081</v>
      </c>
      <c r="L12" s="3413">
        <v>9310</v>
      </c>
      <c r="M12" s="3413">
        <v>8454.65</v>
      </c>
    </row>
    <row r="13" spans="1:13">
      <c r="A13" s="3413" t="s">
        <v>3513</v>
      </c>
      <c r="B13" s="3413">
        <v>131</v>
      </c>
      <c r="C13" s="3413">
        <v>12828</v>
      </c>
      <c r="D13" s="3413">
        <v>9277</v>
      </c>
      <c r="E13" s="3413">
        <v>11899.71</v>
      </c>
      <c r="F13" s="3413">
        <v>44</v>
      </c>
      <c r="G13" s="3413">
        <v>4584</v>
      </c>
      <c r="H13" s="3413">
        <v>102</v>
      </c>
      <c r="I13" s="3413">
        <v>10122</v>
      </c>
      <c r="J13" s="3413">
        <v>77</v>
      </c>
      <c r="K13" s="3413">
        <v>7311</v>
      </c>
      <c r="L13" s="3413">
        <v>9160</v>
      </c>
      <c r="M13" s="3413">
        <v>6696.43</v>
      </c>
    </row>
    <row r="14" spans="1:13">
      <c r="A14" s="3413" t="s">
        <v>3512</v>
      </c>
      <c r="B14" s="3413">
        <v>21</v>
      </c>
      <c r="C14" s="3413">
        <v>2053</v>
      </c>
      <c r="D14" s="3413">
        <v>9730</v>
      </c>
      <c r="E14" s="3413">
        <v>1997.86</v>
      </c>
      <c r="F14" s="3413">
        <v>129</v>
      </c>
      <c r="G14" s="3413">
        <v>12684</v>
      </c>
      <c r="H14" s="3413">
        <v>189</v>
      </c>
      <c r="I14" s="3413">
        <v>18365</v>
      </c>
      <c r="J14" s="3413">
        <v>61</v>
      </c>
      <c r="K14" s="3413">
        <v>6233</v>
      </c>
      <c r="L14" s="3413">
        <v>9406</v>
      </c>
      <c r="M14" s="3413">
        <v>5862.49</v>
      </c>
    </row>
    <row r="15" spans="1:13">
      <c r="A15" s="3413" t="s">
        <v>3511</v>
      </c>
      <c r="B15" s="3413">
        <v>122</v>
      </c>
      <c r="C15" s="3413">
        <v>13531</v>
      </c>
      <c r="D15" s="3413">
        <v>9722</v>
      </c>
      <c r="E15" s="3413">
        <v>13155.3</v>
      </c>
      <c r="F15" s="3413">
        <v>76</v>
      </c>
      <c r="G15" s="3413">
        <v>7965</v>
      </c>
      <c r="H15" s="3413">
        <v>81</v>
      </c>
      <c r="I15" s="3413">
        <v>7735</v>
      </c>
      <c r="J15" s="3413">
        <v>83</v>
      </c>
      <c r="K15" s="3413">
        <v>9725</v>
      </c>
      <c r="L15" s="3413">
        <v>9530</v>
      </c>
      <c r="M15" s="3413">
        <v>9268.1</v>
      </c>
    </row>
    <row r="16" spans="1:13">
      <c r="C16" s="3422">
        <f>SUM(C2:C15)</f>
        <v>126198</v>
      </c>
      <c r="D16" s="3422">
        <f>ROUND(E16/C16*10000,0)</f>
        <v>9472</v>
      </c>
      <c r="E16" s="3422">
        <f>SUM(E2:E15)</f>
        <v>119530.78</v>
      </c>
    </row>
  </sheetData>
  <mergeCells count="13">
    <mergeCell ref="A1"/>
    <mergeCell ref="B1"/>
    <mergeCell ref="C1"/>
    <mergeCell ref="D1"/>
    <mergeCell ref="E1"/>
    <mergeCell ref="K1"/>
    <mergeCell ref="L1"/>
    <mergeCell ref="M1"/>
    <mergeCell ref="F1"/>
    <mergeCell ref="G1"/>
    <mergeCell ref="H1"/>
    <mergeCell ref="I1"/>
    <mergeCell ref="J1"/>
  </mergeCells>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E278C-DD29-4DD3-BC5D-35436AF81564}">
  <sheetPr>
    <tabColor theme="6" tint="-0.499984740745262"/>
  </sheetPr>
  <dimension ref="A1:M16"/>
  <sheetViews>
    <sheetView workbookViewId="0">
      <selection activeCell="M68" sqref="M68"/>
    </sheetView>
  </sheetViews>
  <sheetFormatPr defaultRowHeight="12"/>
  <cols>
    <col min="1" max="1" width="8" style="3413" bestFit="1" customWidth="1"/>
    <col min="2" max="3" width="11.5" style="3413" bestFit="1" customWidth="1"/>
    <col min="4" max="4" width="14.25" style="3413" bestFit="1" customWidth="1"/>
    <col min="5" max="5" width="13.375" style="3413" bestFit="1" customWidth="1"/>
    <col min="6" max="7" width="15.125" style="3413" bestFit="1" customWidth="1"/>
    <col min="8" max="11" width="11.5" style="3413" bestFit="1" customWidth="1"/>
    <col min="12" max="12" width="14.25" style="3413" bestFit="1" customWidth="1"/>
    <col min="13" max="13" width="13.375" style="3413" bestFit="1" customWidth="1"/>
    <col min="14" max="197" width="20" style="3413" customWidth="1"/>
    <col min="198" max="16384" width="9" style="3413"/>
  </cols>
  <sheetData>
    <row r="1" spans="1:13">
      <c r="A1" s="3478" t="s">
        <v>3531</v>
      </c>
      <c r="B1" s="3478" t="s">
        <v>3530</v>
      </c>
      <c r="C1" s="3478" t="s">
        <v>3508</v>
      </c>
      <c r="D1" s="3478" t="s">
        <v>3529</v>
      </c>
      <c r="E1" s="3478" t="s">
        <v>3506</v>
      </c>
      <c r="F1" s="3478" t="s">
        <v>3528</v>
      </c>
      <c r="G1" s="3478" t="s">
        <v>3504</v>
      </c>
      <c r="H1" s="3478" t="s">
        <v>3527</v>
      </c>
      <c r="I1" s="3478" t="s">
        <v>3502</v>
      </c>
      <c r="J1" s="3478" t="s">
        <v>3526</v>
      </c>
      <c r="K1" s="3478" t="s">
        <v>3500</v>
      </c>
      <c r="L1" s="3478" t="s">
        <v>3525</v>
      </c>
      <c r="M1" s="3478" t="s">
        <v>3498</v>
      </c>
    </row>
    <row r="2" spans="1:13">
      <c r="A2" s="3413" t="s">
        <v>3524</v>
      </c>
      <c r="B2" s="3413">
        <v>274</v>
      </c>
      <c r="C2" s="3413">
        <v>24045</v>
      </c>
      <c r="D2" s="3413">
        <v>10097</v>
      </c>
      <c r="E2" s="3413">
        <v>24278.27</v>
      </c>
      <c r="F2" s="3413">
        <v>291</v>
      </c>
      <c r="G2" s="3413">
        <v>25898</v>
      </c>
      <c r="H2" s="3413" t="s">
        <v>3350</v>
      </c>
      <c r="I2" s="3413" t="s">
        <v>3350</v>
      </c>
      <c r="J2" s="3413">
        <v>294</v>
      </c>
      <c r="K2" s="3413">
        <v>25778</v>
      </c>
      <c r="L2" s="3413">
        <v>10212</v>
      </c>
      <c r="M2" s="3413">
        <v>26323.75</v>
      </c>
    </row>
    <row r="3" spans="1:13">
      <c r="A3" s="3413" t="s">
        <v>3523</v>
      </c>
      <c r="B3" s="3413">
        <v>3</v>
      </c>
      <c r="C3" s="3413">
        <v>266</v>
      </c>
      <c r="D3" s="3413">
        <v>11525</v>
      </c>
      <c r="E3" s="3413">
        <v>306.74</v>
      </c>
      <c r="F3" s="3413" t="s">
        <v>3350</v>
      </c>
      <c r="G3" s="3413" t="s">
        <v>3350</v>
      </c>
      <c r="H3" s="3413" t="s">
        <v>3350</v>
      </c>
      <c r="I3" s="3413" t="s">
        <v>3350</v>
      </c>
      <c r="J3" s="3413">
        <v>10</v>
      </c>
      <c r="K3" s="3413">
        <v>879</v>
      </c>
      <c r="L3" s="3413">
        <v>12287</v>
      </c>
      <c r="M3" s="3413">
        <v>1079.58</v>
      </c>
    </row>
    <row r="4" spans="1:13">
      <c r="A4" s="3413" t="s">
        <v>3522</v>
      </c>
      <c r="B4" s="3413">
        <v>1</v>
      </c>
      <c r="C4" s="3413">
        <v>74</v>
      </c>
      <c r="D4" s="3413">
        <v>13255</v>
      </c>
      <c r="E4" s="3413">
        <v>97.58</v>
      </c>
      <c r="F4" s="3413" t="s">
        <v>3350</v>
      </c>
      <c r="G4" s="3413" t="s">
        <v>3350</v>
      </c>
      <c r="H4" s="3413">
        <v>122</v>
      </c>
      <c r="I4" s="3413">
        <v>10971</v>
      </c>
      <c r="J4" s="3413">
        <v>6</v>
      </c>
      <c r="K4" s="3413">
        <v>519</v>
      </c>
      <c r="L4" s="3413">
        <v>11936</v>
      </c>
      <c r="M4" s="3413">
        <v>619.16</v>
      </c>
    </row>
    <row r="5" spans="1:13">
      <c r="A5" s="3413" t="s">
        <v>3521</v>
      </c>
      <c r="B5" s="3413">
        <v>19</v>
      </c>
      <c r="C5" s="3413">
        <v>1643</v>
      </c>
      <c r="D5" s="3413">
        <v>10867</v>
      </c>
      <c r="E5" s="3413">
        <v>1785.42</v>
      </c>
      <c r="F5" s="3413">
        <v>76</v>
      </c>
      <c r="G5" s="3413">
        <v>6493</v>
      </c>
      <c r="H5" s="3413">
        <v>126</v>
      </c>
      <c r="I5" s="3413">
        <v>11299</v>
      </c>
      <c r="J5" s="3413">
        <v>15</v>
      </c>
      <c r="K5" s="3413">
        <v>1337</v>
      </c>
      <c r="L5" s="3413">
        <v>11024</v>
      </c>
      <c r="M5" s="3413">
        <v>1473.72</v>
      </c>
    </row>
    <row r="6" spans="1:13">
      <c r="A6" s="3413" t="s">
        <v>3520</v>
      </c>
      <c r="B6" s="3413">
        <v>24</v>
      </c>
      <c r="C6" s="3413">
        <v>2016</v>
      </c>
      <c r="D6" s="3413">
        <v>10959</v>
      </c>
      <c r="E6" s="3413">
        <v>2208.96</v>
      </c>
      <c r="F6" s="3413" t="s">
        <v>3350</v>
      </c>
      <c r="G6" s="3413" t="s">
        <v>3350</v>
      </c>
      <c r="H6" s="3413">
        <v>69</v>
      </c>
      <c r="I6" s="3413">
        <v>6449</v>
      </c>
      <c r="J6" s="3413">
        <v>22</v>
      </c>
      <c r="K6" s="3413">
        <v>1784</v>
      </c>
      <c r="L6" s="3413">
        <v>11055</v>
      </c>
      <c r="M6" s="3413">
        <v>1971.86</v>
      </c>
    </row>
    <row r="7" spans="1:13">
      <c r="A7" s="3413" t="s">
        <v>3519</v>
      </c>
      <c r="B7" s="3413">
        <v>10</v>
      </c>
      <c r="C7" s="3413">
        <v>880</v>
      </c>
      <c r="D7" s="3413">
        <v>11024</v>
      </c>
      <c r="E7" s="3413">
        <v>969.61</v>
      </c>
      <c r="F7" s="3413">
        <v>32</v>
      </c>
      <c r="G7" s="3413">
        <v>3223</v>
      </c>
      <c r="H7" s="3413">
        <v>93</v>
      </c>
      <c r="I7" s="3413">
        <v>8465</v>
      </c>
      <c r="J7" s="3413">
        <v>17</v>
      </c>
      <c r="K7" s="3413">
        <v>1520</v>
      </c>
      <c r="L7" s="3413">
        <v>11035</v>
      </c>
      <c r="M7" s="3413">
        <v>1676.97</v>
      </c>
    </row>
    <row r="8" spans="1:13">
      <c r="A8" s="3413" t="s">
        <v>3518</v>
      </c>
      <c r="B8" s="3413">
        <v>16</v>
      </c>
      <c r="C8" s="3413">
        <v>1381</v>
      </c>
      <c r="D8" s="3413">
        <v>11032</v>
      </c>
      <c r="E8" s="3413">
        <v>1523.14</v>
      </c>
      <c r="F8" s="3413" t="s">
        <v>3350</v>
      </c>
      <c r="G8" s="3413" t="s">
        <v>3350</v>
      </c>
      <c r="H8" s="3413">
        <v>72</v>
      </c>
      <c r="I8" s="3413">
        <v>6201</v>
      </c>
      <c r="J8" s="3413">
        <v>14</v>
      </c>
      <c r="K8" s="3413">
        <v>1230</v>
      </c>
      <c r="L8" s="3413">
        <v>11134</v>
      </c>
      <c r="M8" s="3413">
        <v>1369.01</v>
      </c>
    </row>
    <row r="9" spans="1:13">
      <c r="A9" s="3413" t="s">
        <v>3517</v>
      </c>
      <c r="B9" s="3413">
        <v>23</v>
      </c>
      <c r="C9" s="3413">
        <v>2067</v>
      </c>
      <c r="D9" s="3413">
        <v>11022</v>
      </c>
      <c r="E9" s="3413">
        <v>2278.09</v>
      </c>
      <c r="F9" s="3413" t="s">
        <v>3350</v>
      </c>
      <c r="G9" s="3413" t="s">
        <v>3350</v>
      </c>
      <c r="H9" s="3413">
        <v>90</v>
      </c>
      <c r="I9" s="3413">
        <v>7778</v>
      </c>
      <c r="J9" s="3413">
        <v>21</v>
      </c>
      <c r="K9" s="3413">
        <v>1847</v>
      </c>
      <c r="L9" s="3413">
        <v>10994</v>
      </c>
      <c r="M9" s="3413">
        <v>2030.27</v>
      </c>
    </row>
    <row r="10" spans="1:13">
      <c r="A10" s="3413" t="s">
        <v>3516</v>
      </c>
      <c r="B10" s="3413">
        <v>21</v>
      </c>
      <c r="C10" s="3413">
        <v>1723</v>
      </c>
      <c r="D10" s="3413">
        <v>10240</v>
      </c>
      <c r="E10" s="3413">
        <v>1764.32</v>
      </c>
      <c r="F10" s="3413" t="s">
        <v>3350</v>
      </c>
      <c r="G10" s="3413" t="s">
        <v>3350</v>
      </c>
      <c r="H10" s="3413">
        <v>102</v>
      </c>
      <c r="I10" s="3413">
        <v>8864</v>
      </c>
      <c r="J10" s="3413">
        <v>25</v>
      </c>
      <c r="K10" s="3413">
        <v>2094</v>
      </c>
      <c r="L10" s="3413">
        <v>10460</v>
      </c>
      <c r="M10" s="3413">
        <v>2190.12</v>
      </c>
    </row>
    <row r="11" spans="1:13">
      <c r="A11" s="3413" t="s">
        <v>3515</v>
      </c>
      <c r="B11" s="3413">
        <v>6</v>
      </c>
      <c r="C11" s="3413">
        <v>554</v>
      </c>
      <c r="D11" s="3413">
        <v>10321</v>
      </c>
      <c r="E11" s="3413">
        <v>571.82000000000005</v>
      </c>
      <c r="F11" s="3413" t="s">
        <v>3350</v>
      </c>
      <c r="G11" s="3413" t="s">
        <v>3350</v>
      </c>
      <c r="H11" s="3413">
        <v>132</v>
      </c>
      <c r="I11" s="3413">
        <v>11372</v>
      </c>
      <c r="J11" s="3413">
        <v>6</v>
      </c>
      <c r="K11" s="3413">
        <v>506</v>
      </c>
      <c r="L11" s="3413">
        <v>10049</v>
      </c>
      <c r="M11" s="3413">
        <v>508.03</v>
      </c>
    </row>
    <row r="12" spans="1:13">
      <c r="A12" s="3413" t="s">
        <v>3514</v>
      </c>
      <c r="B12" s="3413">
        <v>23</v>
      </c>
      <c r="C12" s="3413">
        <v>2006</v>
      </c>
      <c r="D12" s="3413">
        <v>9790</v>
      </c>
      <c r="E12" s="3413">
        <v>1963.84</v>
      </c>
      <c r="F12" s="3413" t="s">
        <v>3350</v>
      </c>
      <c r="G12" s="3413" t="s">
        <v>3350</v>
      </c>
      <c r="H12" s="3413">
        <v>138</v>
      </c>
      <c r="I12" s="3413">
        <v>11926</v>
      </c>
      <c r="J12" s="3413">
        <v>30</v>
      </c>
      <c r="K12" s="3413">
        <v>2628</v>
      </c>
      <c r="L12" s="3413">
        <v>9878</v>
      </c>
      <c r="M12" s="3413">
        <v>2596.17</v>
      </c>
    </row>
    <row r="13" spans="1:13">
      <c r="A13" s="3413" t="s">
        <v>3513</v>
      </c>
      <c r="B13" s="3413">
        <v>42</v>
      </c>
      <c r="C13" s="3413">
        <v>3639</v>
      </c>
      <c r="D13" s="3413">
        <v>9649</v>
      </c>
      <c r="E13" s="3413">
        <v>3511.22</v>
      </c>
      <c r="F13" s="3413">
        <v>76</v>
      </c>
      <c r="G13" s="3413">
        <v>6462</v>
      </c>
      <c r="H13" s="3413">
        <v>161</v>
      </c>
      <c r="I13" s="3413">
        <v>13932</v>
      </c>
      <c r="J13" s="3413">
        <v>38</v>
      </c>
      <c r="K13" s="3413">
        <v>3236</v>
      </c>
      <c r="L13" s="3413">
        <v>9576</v>
      </c>
      <c r="M13" s="3413">
        <v>3099.02</v>
      </c>
    </row>
    <row r="14" spans="1:13">
      <c r="A14" s="3413" t="s">
        <v>3512</v>
      </c>
      <c r="B14" s="3413">
        <v>13</v>
      </c>
      <c r="C14" s="3413">
        <v>1152</v>
      </c>
      <c r="D14" s="3413">
        <v>9465</v>
      </c>
      <c r="E14" s="3413">
        <v>1090.22</v>
      </c>
      <c r="F14" s="3413" t="s">
        <v>3350</v>
      </c>
      <c r="G14" s="3413" t="s">
        <v>3350</v>
      </c>
      <c r="H14" s="3413">
        <v>127</v>
      </c>
      <c r="I14" s="3413">
        <v>11108</v>
      </c>
      <c r="J14" s="3413">
        <v>17</v>
      </c>
      <c r="K14" s="3413">
        <v>1555</v>
      </c>
      <c r="L14" s="3413">
        <v>9665</v>
      </c>
      <c r="M14" s="3413">
        <v>1502.49</v>
      </c>
    </row>
    <row r="15" spans="1:13">
      <c r="A15" s="3413" t="s">
        <v>3511</v>
      </c>
      <c r="B15" s="3413">
        <v>73</v>
      </c>
      <c r="C15" s="3413">
        <v>6646</v>
      </c>
      <c r="D15" s="3413">
        <v>9340</v>
      </c>
      <c r="E15" s="3413">
        <v>6207.31</v>
      </c>
      <c r="F15" s="3413">
        <v>107</v>
      </c>
      <c r="G15" s="3413">
        <v>9721</v>
      </c>
      <c r="H15" s="3413">
        <v>140</v>
      </c>
      <c r="I15" s="3413">
        <v>12260</v>
      </c>
      <c r="J15" s="3413">
        <v>73</v>
      </c>
      <c r="K15" s="3413">
        <v>6646</v>
      </c>
      <c r="L15" s="3413">
        <v>9340</v>
      </c>
      <c r="M15" s="3413">
        <v>6207.35</v>
      </c>
    </row>
    <row r="16" spans="1:13">
      <c r="C16" s="3422">
        <f>SUM(C2:C15)</f>
        <v>48092</v>
      </c>
      <c r="D16" s="3422">
        <f>ROUND(E16/C16*10000,0)</f>
        <v>10097</v>
      </c>
      <c r="E16" s="3422">
        <f>SUM(E2:E15)</f>
        <v>48556.539999999994</v>
      </c>
    </row>
  </sheetData>
  <mergeCells count="13">
    <mergeCell ref="K1"/>
    <mergeCell ref="L1"/>
    <mergeCell ref="M1"/>
    <mergeCell ref="F1"/>
    <mergeCell ref="G1"/>
    <mergeCell ref="H1"/>
    <mergeCell ref="I1"/>
    <mergeCell ref="J1"/>
    <mergeCell ref="A1"/>
    <mergeCell ref="B1"/>
    <mergeCell ref="C1"/>
    <mergeCell ref="D1"/>
    <mergeCell ref="E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受贵公司委托，我公司对出让国有建设用地使用权抵押价格进行了预评估。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93.75">
      <c r="A7" s="2179" t="s">
        <v>2029</v>
      </c>
    </row>
    <row r="8" spans="1:4" ht="18.75">
      <c r="A8" s="1492" t="s">
        <v>1430</v>
      </c>
    </row>
    <row r="9" spans="1:4" ht="75">
      <c r="A9" s="14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2025年12月9日（评估专业人员勘察现场之日）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2030</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row>
    <row r="26" spans="1:1" ht="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9" t="str">
        <f>IF(项目基本情况!E9="——","",定义!C57)</f>
        <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A6493-AABB-4822-B640-696B158949A7}">
  <sheetPr>
    <tabColor theme="6" tint="-0.499984740745262"/>
  </sheetPr>
  <dimension ref="A1:M16"/>
  <sheetViews>
    <sheetView workbookViewId="0">
      <selection activeCell="M68" sqref="M68"/>
    </sheetView>
  </sheetViews>
  <sheetFormatPr defaultRowHeight="12"/>
  <cols>
    <col min="1" max="1" width="8" style="3413" bestFit="1" customWidth="1"/>
    <col min="2" max="3" width="11.5" style="3413" bestFit="1" customWidth="1"/>
    <col min="4" max="4" width="14.25" style="3413" bestFit="1" customWidth="1"/>
    <col min="5" max="5" width="13.375" style="3413" bestFit="1" customWidth="1"/>
    <col min="6" max="7" width="15.125" style="3413" bestFit="1" customWidth="1"/>
    <col min="8" max="11" width="11.5" style="3413" bestFit="1" customWidth="1"/>
    <col min="12" max="12" width="14.25" style="3413" bestFit="1" customWidth="1"/>
    <col min="13" max="13" width="13.375" style="3413" bestFit="1" customWidth="1"/>
    <col min="14" max="197" width="20" style="3413" customWidth="1"/>
    <col min="198" max="16384" width="9" style="3413"/>
  </cols>
  <sheetData>
    <row r="1" spans="1:13">
      <c r="A1" s="3478" t="s">
        <v>3531</v>
      </c>
      <c r="B1" s="3478" t="s">
        <v>3530</v>
      </c>
      <c r="C1" s="3478" t="s">
        <v>3508</v>
      </c>
      <c r="D1" s="3478" t="s">
        <v>3529</v>
      </c>
      <c r="E1" s="3478" t="s">
        <v>3506</v>
      </c>
      <c r="F1" s="3478" t="s">
        <v>3528</v>
      </c>
      <c r="G1" s="3478" t="s">
        <v>3504</v>
      </c>
      <c r="H1" s="3478" t="s">
        <v>3527</v>
      </c>
      <c r="I1" s="3478" t="s">
        <v>3502</v>
      </c>
      <c r="J1" s="3478" t="s">
        <v>3526</v>
      </c>
      <c r="K1" s="3478" t="s">
        <v>3500</v>
      </c>
      <c r="L1" s="3478" t="s">
        <v>3525</v>
      </c>
      <c r="M1" s="3478" t="s">
        <v>3498</v>
      </c>
    </row>
    <row r="2" spans="1:13">
      <c r="A2" s="3413" t="s">
        <v>3524</v>
      </c>
      <c r="B2" s="3413">
        <v>226</v>
      </c>
      <c r="C2" s="3413">
        <v>21963</v>
      </c>
      <c r="D2" s="3413">
        <v>10474</v>
      </c>
      <c r="E2" s="3413">
        <v>23003.96</v>
      </c>
      <c r="F2" s="3413">
        <v>407</v>
      </c>
      <c r="G2" s="3413">
        <v>39789</v>
      </c>
      <c r="H2" s="3413" t="s">
        <v>3350</v>
      </c>
      <c r="I2" s="3413" t="s">
        <v>3350</v>
      </c>
      <c r="J2" s="3413">
        <v>203</v>
      </c>
      <c r="K2" s="3413">
        <v>19607</v>
      </c>
      <c r="L2" s="3413">
        <v>10417</v>
      </c>
      <c r="M2" s="3413">
        <v>20424.09</v>
      </c>
    </row>
    <row r="3" spans="1:13">
      <c r="A3" s="3413" t="s">
        <v>3523</v>
      </c>
      <c r="B3" s="3413" t="s">
        <v>3350</v>
      </c>
      <c r="C3" s="3413" t="s">
        <v>3350</v>
      </c>
      <c r="D3" s="3413" t="s">
        <v>3350</v>
      </c>
      <c r="E3" s="3413" t="s">
        <v>3350</v>
      </c>
      <c r="F3" s="3413" t="s">
        <v>3350</v>
      </c>
      <c r="G3" s="3413" t="s">
        <v>3350</v>
      </c>
      <c r="H3" s="3413" t="s">
        <v>3350</v>
      </c>
      <c r="I3" s="3413" t="s">
        <v>3350</v>
      </c>
      <c r="J3" s="3413">
        <v>1</v>
      </c>
      <c r="K3" s="3413">
        <v>88</v>
      </c>
      <c r="L3" s="3413">
        <v>9965</v>
      </c>
      <c r="M3" s="3413">
        <v>88</v>
      </c>
    </row>
    <row r="4" spans="1:13">
      <c r="A4" s="3413" t="s">
        <v>3522</v>
      </c>
      <c r="B4" s="3413" t="s">
        <v>3350</v>
      </c>
      <c r="C4" s="3413" t="s">
        <v>3350</v>
      </c>
      <c r="D4" s="3413" t="s">
        <v>3350</v>
      </c>
      <c r="E4" s="3413" t="s">
        <v>3350</v>
      </c>
      <c r="F4" s="3413">
        <v>261</v>
      </c>
      <c r="G4" s="3413">
        <v>25640</v>
      </c>
      <c r="H4" s="3413">
        <v>348</v>
      </c>
      <c r="I4" s="3413">
        <v>33765</v>
      </c>
      <c r="J4" s="3413">
        <v>5</v>
      </c>
      <c r="K4" s="3413">
        <v>502</v>
      </c>
      <c r="L4" s="3413">
        <v>9978</v>
      </c>
      <c r="M4" s="3413">
        <v>500.87</v>
      </c>
    </row>
    <row r="5" spans="1:13">
      <c r="A5" s="3413" t="s">
        <v>3521</v>
      </c>
      <c r="B5" s="3413">
        <v>43</v>
      </c>
      <c r="C5" s="3413">
        <v>3908</v>
      </c>
      <c r="D5" s="3413">
        <v>10198</v>
      </c>
      <c r="E5" s="3413">
        <v>3985.27</v>
      </c>
      <c r="F5" s="3413" t="s">
        <v>3350</v>
      </c>
      <c r="G5" s="3413" t="s">
        <v>3350</v>
      </c>
      <c r="H5" s="3413">
        <v>87</v>
      </c>
      <c r="I5" s="3413">
        <v>8124</v>
      </c>
      <c r="J5" s="3413">
        <v>29</v>
      </c>
      <c r="K5" s="3413">
        <v>2635</v>
      </c>
      <c r="L5" s="3413">
        <v>10089</v>
      </c>
      <c r="M5" s="3413">
        <v>2658.69</v>
      </c>
    </row>
    <row r="6" spans="1:13">
      <c r="A6" s="3413" t="s">
        <v>3520</v>
      </c>
      <c r="B6" s="3413">
        <v>11</v>
      </c>
      <c r="C6" s="3413">
        <v>984</v>
      </c>
      <c r="D6" s="3413">
        <v>10414</v>
      </c>
      <c r="E6" s="3413">
        <v>1024.93</v>
      </c>
      <c r="F6" s="3413" t="s">
        <v>3350</v>
      </c>
      <c r="G6" s="3413" t="s">
        <v>3350</v>
      </c>
      <c r="H6" s="3413">
        <v>130</v>
      </c>
      <c r="I6" s="3413">
        <v>12032</v>
      </c>
      <c r="J6" s="3413">
        <v>12</v>
      </c>
      <c r="K6" s="3413">
        <v>1072</v>
      </c>
      <c r="L6" s="3413">
        <v>10186</v>
      </c>
      <c r="M6" s="3413">
        <v>1092.31</v>
      </c>
    </row>
    <row r="7" spans="1:13">
      <c r="A7" s="3413" t="s">
        <v>3519</v>
      </c>
      <c r="B7" s="3413">
        <v>13</v>
      </c>
      <c r="C7" s="3413">
        <v>1188</v>
      </c>
      <c r="D7" s="3413">
        <v>10244</v>
      </c>
      <c r="E7" s="3413">
        <v>1217.17</v>
      </c>
      <c r="F7" s="3413" t="s">
        <v>3350</v>
      </c>
      <c r="G7" s="3413" t="s">
        <v>3350</v>
      </c>
      <c r="H7" s="3413">
        <v>141</v>
      </c>
      <c r="I7" s="3413">
        <v>13016</v>
      </c>
      <c r="J7" s="3413">
        <v>18</v>
      </c>
      <c r="K7" s="3413">
        <v>1623</v>
      </c>
      <c r="L7" s="3413">
        <v>10383</v>
      </c>
      <c r="M7" s="3413">
        <v>1685.49</v>
      </c>
    </row>
    <row r="8" spans="1:13">
      <c r="A8" s="3413" t="s">
        <v>3518</v>
      </c>
      <c r="B8" s="3413">
        <v>18</v>
      </c>
      <c r="C8" s="3413">
        <v>1638</v>
      </c>
      <c r="D8" s="3413">
        <v>10362</v>
      </c>
      <c r="E8" s="3413">
        <v>1697.65</v>
      </c>
      <c r="F8" s="3413" t="s">
        <v>3350</v>
      </c>
      <c r="G8" s="3413" t="s">
        <v>3350</v>
      </c>
      <c r="H8" s="3413">
        <v>154</v>
      </c>
      <c r="I8" s="3413">
        <v>14204</v>
      </c>
      <c r="J8" s="3413">
        <v>18</v>
      </c>
      <c r="K8" s="3413">
        <v>1630</v>
      </c>
      <c r="L8" s="3413">
        <v>10304</v>
      </c>
      <c r="M8" s="3413">
        <v>1679.82</v>
      </c>
    </row>
    <row r="9" spans="1:13">
      <c r="A9" s="3413" t="s">
        <v>3517</v>
      </c>
      <c r="B9" s="3413">
        <v>13</v>
      </c>
      <c r="C9" s="3413">
        <v>1162</v>
      </c>
      <c r="D9" s="3413">
        <v>10581</v>
      </c>
      <c r="E9" s="3413">
        <v>1229.4000000000001</v>
      </c>
      <c r="F9" s="3413">
        <v>73</v>
      </c>
      <c r="G9" s="3413">
        <v>7027</v>
      </c>
      <c r="H9" s="3413">
        <v>172</v>
      </c>
      <c r="I9" s="3413">
        <v>15843</v>
      </c>
      <c r="J9" s="3413">
        <v>13</v>
      </c>
      <c r="K9" s="3413">
        <v>1175</v>
      </c>
      <c r="L9" s="3413">
        <v>10495</v>
      </c>
      <c r="M9" s="3413">
        <v>1233.42</v>
      </c>
    </row>
    <row r="10" spans="1:13">
      <c r="A10" s="3413" t="s">
        <v>3516</v>
      </c>
      <c r="B10" s="3413">
        <v>8</v>
      </c>
      <c r="C10" s="3413">
        <v>717</v>
      </c>
      <c r="D10" s="3413">
        <v>10649</v>
      </c>
      <c r="E10" s="3413">
        <v>764</v>
      </c>
      <c r="F10" s="3413" t="s">
        <v>3350</v>
      </c>
      <c r="G10" s="3413" t="s">
        <v>3350</v>
      </c>
      <c r="H10" s="3413">
        <v>99</v>
      </c>
      <c r="I10" s="3413">
        <v>8771</v>
      </c>
      <c r="J10" s="3413">
        <v>13</v>
      </c>
      <c r="K10" s="3413">
        <v>1175</v>
      </c>
      <c r="L10" s="3413">
        <v>10561</v>
      </c>
      <c r="M10" s="3413">
        <v>1241.04</v>
      </c>
    </row>
    <row r="11" spans="1:13">
      <c r="A11" s="3413" t="s">
        <v>3515</v>
      </c>
      <c r="B11" s="3413">
        <v>6</v>
      </c>
      <c r="C11" s="3413">
        <v>576</v>
      </c>
      <c r="D11" s="3413">
        <v>10473</v>
      </c>
      <c r="E11" s="3413">
        <v>602.99</v>
      </c>
      <c r="F11" s="3413" t="s">
        <v>3350</v>
      </c>
      <c r="G11" s="3413" t="s">
        <v>3350</v>
      </c>
      <c r="H11" s="3413">
        <v>122</v>
      </c>
      <c r="I11" s="3413">
        <v>10887</v>
      </c>
      <c r="J11" s="3413">
        <v>9</v>
      </c>
      <c r="K11" s="3413">
        <v>838</v>
      </c>
      <c r="L11" s="3413">
        <v>10665</v>
      </c>
      <c r="M11" s="3413">
        <v>894.11</v>
      </c>
    </row>
    <row r="12" spans="1:13">
      <c r="A12" s="3413" t="s">
        <v>3514</v>
      </c>
      <c r="B12" s="3413">
        <v>12</v>
      </c>
      <c r="C12" s="3413">
        <v>1241</v>
      </c>
      <c r="D12" s="3413">
        <v>10543</v>
      </c>
      <c r="E12" s="3413">
        <v>1307.94</v>
      </c>
      <c r="F12" s="3413" t="s">
        <v>3350</v>
      </c>
      <c r="G12" s="3413" t="s">
        <v>3350</v>
      </c>
      <c r="H12" s="3413">
        <v>126</v>
      </c>
      <c r="I12" s="3413">
        <v>11271</v>
      </c>
      <c r="J12" s="3413">
        <v>9</v>
      </c>
      <c r="K12" s="3413">
        <v>930</v>
      </c>
      <c r="L12" s="3413">
        <v>10275</v>
      </c>
      <c r="M12" s="3413">
        <v>955.16</v>
      </c>
    </row>
    <row r="13" spans="1:13">
      <c r="A13" s="3413" t="s">
        <v>3513</v>
      </c>
      <c r="B13" s="3413">
        <v>37</v>
      </c>
      <c r="C13" s="3413">
        <v>3916</v>
      </c>
      <c r="D13" s="3413">
        <v>10475</v>
      </c>
      <c r="E13" s="3413">
        <v>4102.3100000000004</v>
      </c>
      <c r="F13" s="3413" t="s">
        <v>3350</v>
      </c>
      <c r="G13" s="3413" t="s">
        <v>3350</v>
      </c>
      <c r="H13" s="3413">
        <v>138</v>
      </c>
      <c r="I13" s="3413">
        <v>12512</v>
      </c>
      <c r="J13" s="3413">
        <v>36</v>
      </c>
      <c r="K13" s="3413">
        <v>3813</v>
      </c>
      <c r="L13" s="3413">
        <v>10461</v>
      </c>
      <c r="M13" s="3413">
        <v>3988.26</v>
      </c>
    </row>
    <row r="14" spans="1:13">
      <c r="A14" s="3413" t="s">
        <v>3512</v>
      </c>
      <c r="B14" s="3413" t="s">
        <v>3350</v>
      </c>
      <c r="C14" s="3413" t="s">
        <v>3350</v>
      </c>
      <c r="D14" s="3413" t="s">
        <v>3350</v>
      </c>
      <c r="E14" s="3413" t="s">
        <v>3350</v>
      </c>
      <c r="F14" s="3413">
        <v>73</v>
      </c>
      <c r="G14" s="3413">
        <v>7122</v>
      </c>
      <c r="H14" s="3413">
        <v>175</v>
      </c>
      <c r="I14" s="3413">
        <v>16428</v>
      </c>
      <c r="J14" s="3413">
        <v>1</v>
      </c>
      <c r="K14" s="3413">
        <v>104</v>
      </c>
      <c r="L14" s="3413">
        <v>11010</v>
      </c>
      <c r="M14" s="3413">
        <v>114.04</v>
      </c>
    </row>
    <row r="15" spans="1:13">
      <c r="A15" s="3413" t="s">
        <v>3511</v>
      </c>
      <c r="B15" s="3413">
        <v>65</v>
      </c>
      <c r="C15" s="3413">
        <v>6633</v>
      </c>
      <c r="D15" s="3413">
        <v>10663</v>
      </c>
      <c r="E15" s="3413">
        <v>7072.3</v>
      </c>
      <c r="F15" s="3413" t="s">
        <v>3350</v>
      </c>
      <c r="G15" s="3413" t="s">
        <v>3350</v>
      </c>
      <c r="H15" s="3413">
        <v>102</v>
      </c>
      <c r="I15" s="3413">
        <v>9306</v>
      </c>
      <c r="J15" s="3413">
        <v>39</v>
      </c>
      <c r="K15" s="3413">
        <v>4021</v>
      </c>
      <c r="L15" s="3413">
        <v>10676</v>
      </c>
      <c r="M15" s="3413">
        <v>4292.88</v>
      </c>
    </row>
    <row r="16" spans="1:13">
      <c r="C16" s="3422">
        <f>SUM(C2:C15)</f>
        <v>43926</v>
      </c>
      <c r="D16" s="3422">
        <f>ROUND(E16/C16*10000,0)</f>
        <v>10474</v>
      </c>
      <c r="E16" s="3422">
        <f>SUM(E2:E15)</f>
        <v>46007.920000000006</v>
      </c>
    </row>
  </sheetData>
  <mergeCells count="13">
    <mergeCell ref="A1"/>
    <mergeCell ref="B1"/>
    <mergeCell ref="C1"/>
    <mergeCell ref="D1"/>
    <mergeCell ref="E1"/>
    <mergeCell ref="K1"/>
    <mergeCell ref="L1"/>
    <mergeCell ref="M1"/>
    <mergeCell ref="F1"/>
    <mergeCell ref="G1"/>
    <mergeCell ref="H1"/>
    <mergeCell ref="I1"/>
    <mergeCell ref="J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B7BF-8528-4ADF-8FAF-9B79F060FC1D}">
  <dimension ref="A1:M16"/>
  <sheetViews>
    <sheetView workbookViewId="0">
      <selection activeCell="I32" sqref="I32"/>
    </sheetView>
  </sheetViews>
  <sheetFormatPr defaultRowHeight="12"/>
  <cols>
    <col min="1" max="1" width="8" style="3413" bestFit="1" customWidth="1"/>
    <col min="2" max="3" width="11.5" style="3413" bestFit="1" customWidth="1"/>
    <col min="4" max="4" width="14.25" style="3413" bestFit="1" customWidth="1"/>
    <col min="5" max="5" width="13.375" style="3413" bestFit="1" customWidth="1"/>
    <col min="6" max="7" width="15.125" style="3413" bestFit="1" customWidth="1"/>
    <col min="8" max="11" width="11.5" style="3413" bestFit="1" customWidth="1"/>
    <col min="12" max="12" width="14.25" style="3413" bestFit="1" customWidth="1"/>
    <col min="13" max="13" width="13.375" style="3413" bestFit="1" customWidth="1"/>
    <col min="14" max="197" width="20" style="3413" customWidth="1"/>
    <col min="198" max="16384" width="9" style="3413"/>
  </cols>
  <sheetData>
    <row r="1" spans="1:13">
      <c r="A1" s="3478" t="s">
        <v>3531</v>
      </c>
      <c r="B1" s="3478" t="s">
        <v>3530</v>
      </c>
      <c r="C1" s="3478" t="s">
        <v>3508</v>
      </c>
      <c r="D1" s="3478" t="s">
        <v>3529</v>
      </c>
      <c r="E1" s="3478" t="s">
        <v>3506</v>
      </c>
      <c r="F1" s="3478" t="s">
        <v>3528</v>
      </c>
      <c r="G1" s="3478" t="s">
        <v>3504</v>
      </c>
      <c r="H1" s="3478" t="s">
        <v>3527</v>
      </c>
      <c r="I1" s="3478" t="s">
        <v>3502</v>
      </c>
      <c r="J1" s="3478" t="s">
        <v>3526</v>
      </c>
      <c r="K1" s="3478" t="s">
        <v>3500</v>
      </c>
      <c r="L1" s="3478" t="s">
        <v>3525</v>
      </c>
      <c r="M1" s="3478" t="s">
        <v>3498</v>
      </c>
    </row>
    <row r="2" spans="1:13">
      <c r="A2" s="3413" t="s">
        <v>3524</v>
      </c>
      <c r="B2" s="3413">
        <v>128</v>
      </c>
      <c r="C2" s="3413">
        <v>14685</v>
      </c>
      <c r="D2" s="3413">
        <v>8566</v>
      </c>
      <c r="E2" s="3413">
        <v>12578.55</v>
      </c>
      <c r="F2" s="3413">
        <v>84</v>
      </c>
      <c r="G2" s="3413">
        <v>11420</v>
      </c>
      <c r="H2" s="3413" t="s">
        <v>3350</v>
      </c>
      <c r="I2" s="3413" t="s">
        <v>3350</v>
      </c>
      <c r="J2" s="3413">
        <v>122</v>
      </c>
      <c r="K2" s="3413">
        <v>14068</v>
      </c>
      <c r="L2" s="3413">
        <v>8562</v>
      </c>
      <c r="M2" s="3413">
        <v>12045.01</v>
      </c>
    </row>
    <row r="3" spans="1:13">
      <c r="A3" s="3413" t="s">
        <v>3523</v>
      </c>
      <c r="B3" s="3413" t="s">
        <v>3350</v>
      </c>
      <c r="C3" s="3413" t="s">
        <v>3350</v>
      </c>
      <c r="D3" s="3413" t="s">
        <v>3350</v>
      </c>
      <c r="E3" s="3413" t="s">
        <v>3350</v>
      </c>
      <c r="F3" s="3413" t="s">
        <v>3350</v>
      </c>
      <c r="G3" s="3413" t="s">
        <v>3350</v>
      </c>
      <c r="H3" s="3413" t="s">
        <v>3350</v>
      </c>
      <c r="I3" s="3413" t="s">
        <v>3350</v>
      </c>
      <c r="J3" s="3413">
        <v>2</v>
      </c>
      <c r="K3" s="3413">
        <v>266</v>
      </c>
      <c r="L3" s="3413">
        <v>8290</v>
      </c>
      <c r="M3" s="3413">
        <v>220.55</v>
      </c>
    </row>
    <row r="4" spans="1:13">
      <c r="A4" s="3413" t="s">
        <v>3522</v>
      </c>
      <c r="B4" s="3413" t="s">
        <v>3350</v>
      </c>
      <c r="C4" s="3413" t="s">
        <v>3350</v>
      </c>
      <c r="D4" s="3413" t="s">
        <v>3350</v>
      </c>
      <c r="E4" s="3413" t="s">
        <v>3350</v>
      </c>
      <c r="F4" s="3413" t="s">
        <v>3350</v>
      </c>
      <c r="G4" s="3413" t="s">
        <v>3350</v>
      </c>
      <c r="H4" s="3413">
        <v>161</v>
      </c>
      <c r="I4" s="3413">
        <v>20967</v>
      </c>
      <c r="J4" s="3413">
        <v>1</v>
      </c>
      <c r="K4" s="3413">
        <v>141</v>
      </c>
      <c r="L4" s="3413">
        <v>9066</v>
      </c>
      <c r="M4" s="3413">
        <v>127.8</v>
      </c>
    </row>
    <row r="5" spans="1:13">
      <c r="A5" s="3413" t="s">
        <v>3521</v>
      </c>
      <c r="B5" s="3413">
        <v>21</v>
      </c>
      <c r="C5" s="3413">
        <v>2581</v>
      </c>
      <c r="D5" s="3413">
        <v>8405</v>
      </c>
      <c r="E5" s="3413">
        <v>2169.54</v>
      </c>
      <c r="F5" s="3413" t="s">
        <v>3350</v>
      </c>
      <c r="G5" s="3413" t="s">
        <v>3350</v>
      </c>
      <c r="H5" s="3413">
        <v>119</v>
      </c>
      <c r="I5" s="3413">
        <v>15078</v>
      </c>
      <c r="J5" s="3413">
        <v>19</v>
      </c>
      <c r="K5" s="3413">
        <v>2325</v>
      </c>
      <c r="L5" s="3413">
        <v>8318</v>
      </c>
      <c r="M5" s="3413">
        <v>1933.55</v>
      </c>
    </row>
    <row r="6" spans="1:13">
      <c r="A6" s="3413" t="s">
        <v>3520</v>
      </c>
      <c r="B6" s="3413">
        <v>7</v>
      </c>
      <c r="C6" s="3413">
        <v>851</v>
      </c>
      <c r="D6" s="3413">
        <v>8287</v>
      </c>
      <c r="E6" s="3413">
        <v>705.1</v>
      </c>
      <c r="F6" s="3413">
        <v>42</v>
      </c>
      <c r="G6" s="3413">
        <v>5888</v>
      </c>
      <c r="H6" s="3413">
        <v>140</v>
      </c>
      <c r="I6" s="3413">
        <v>17659</v>
      </c>
      <c r="J6" s="3413">
        <v>8</v>
      </c>
      <c r="K6" s="3413">
        <v>1026</v>
      </c>
      <c r="L6" s="3413">
        <v>8446</v>
      </c>
      <c r="M6" s="3413">
        <v>866.11</v>
      </c>
    </row>
    <row r="7" spans="1:13">
      <c r="A7" s="3413" t="s">
        <v>3519</v>
      </c>
      <c r="B7" s="3413">
        <v>16</v>
      </c>
      <c r="C7" s="3413">
        <v>1948</v>
      </c>
      <c r="D7" s="3413">
        <v>7956</v>
      </c>
      <c r="E7" s="3413">
        <v>1550.22</v>
      </c>
      <c r="F7" s="3413" t="s">
        <v>3350</v>
      </c>
      <c r="G7" s="3413" t="s">
        <v>3350</v>
      </c>
      <c r="H7" s="3413">
        <v>147</v>
      </c>
      <c r="I7" s="3413">
        <v>18510</v>
      </c>
      <c r="J7" s="3413">
        <v>16</v>
      </c>
      <c r="K7" s="3413">
        <v>1913</v>
      </c>
      <c r="L7" s="3413">
        <v>7915</v>
      </c>
      <c r="M7" s="3413">
        <v>1514.22</v>
      </c>
    </row>
    <row r="8" spans="1:13">
      <c r="A8" s="3413" t="s">
        <v>3518</v>
      </c>
      <c r="B8" s="3413">
        <v>9</v>
      </c>
      <c r="C8" s="3413">
        <v>1009</v>
      </c>
      <c r="D8" s="3413">
        <v>8750</v>
      </c>
      <c r="E8" s="3413">
        <v>882.64</v>
      </c>
      <c r="F8" s="3413" t="s">
        <v>3350</v>
      </c>
      <c r="G8" s="3413" t="s">
        <v>3350</v>
      </c>
      <c r="H8" s="3413">
        <v>163</v>
      </c>
      <c r="I8" s="3413">
        <v>20459</v>
      </c>
      <c r="J8" s="3413">
        <v>7</v>
      </c>
      <c r="K8" s="3413">
        <v>790</v>
      </c>
      <c r="L8" s="3413">
        <v>9003</v>
      </c>
      <c r="M8" s="3413">
        <v>711.65</v>
      </c>
    </row>
    <row r="9" spans="1:13">
      <c r="A9" s="3413" t="s">
        <v>3517</v>
      </c>
      <c r="B9" s="3413">
        <v>5</v>
      </c>
      <c r="C9" s="3413">
        <v>574</v>
      </c>
      <c r="D9" s="3413">
        <v>9128</v>
      </c>
      <c r="E9" s="3413">
        <v>523.80999999999995</v>
      </c>
      <c r="F9" s="3413" t="s">
        <v>3350</v>
      </c>
      <c r="G9" s="3413" t="s">
        <v>3350</v>
      </c>
      <c r="H9" s="3413">
        <v>172</v>
      </c>
      <c r="I9" s="3413">
        <v>21467</v>
      </c>
      <c r="J9" s="3413">
        <v>7</v>
      </c>
      <c r="K9" s="3413">
        <v>768</v>
      </c>
      <c r="L9" s="3413">
        <v>8745</v>
      </c>
      <c r="M9" s="3413">
        <v>671.8</v>
      </c>
    </row>
    <row r="10" spans="1:13">
      <c r="A10" s="3413" t="s">
        <v>3516</v>
      </c>
      <c r="B10" s="3413">
        <v>8</v>
      </c>
      <c r="C10" s="3413">
        <v>887</v>
      </c>
      <c r="D10" s="3413">
        <v>8321</v>
      </c>
      <c r="E10" s="3413">
        <v>737.93</v>
      </c>
      <c r="F10" s="3413" t="s">
        <v>3350</v>
      </c>
      <c r="G10" s="3413" t="s">
        <v>3350</v>
      </c>
      <c r="H10" s="3413">
        <v>176</v>
      </c>
      <c r="I10" s="3413">
        <v>21900</v>
      </c>
      <c r="J10" s="3413">
        <v>5</v>
      </c>
      <c r="K10" s="3413">
        <v>539</v>
      </c>
      <c r="L10" s="3413">
        <v>8294</v>
      </c>
      <c r="M10" s="3413">
        <v>446.96</v>
      </c>
    </row>
    <row r="11" spans="1:13">
      <c r="A11" s="3413" t="s">
        <v>3515</v>
      </c>
      <c r="B11" s="3413">
        <v>16</v>
      </c>
      <c r="C11" s="3413">
        <v>1774</v>
      </c>
      <c r="D11" s="3413">
        <v>8666</v>
      </c>
      <c r="E11" s="3413">
        <v>1537.54</v>
      </c>
      <c r="F11" s="3413" t="s">
        <v>3350</v>
      </c>
      <c r="G11" s="3413" t="s">
        <v>3350</v>
      </c>
      <c r="H11" s="3413">
        <v>187</v>
      </c>
      <c r="I11" s="3413">
        <v>23133</v>
      </c>
      <c r="J11" s="3413">
        <v>16</v>
      </c>
      <c r="K11" s="3413">
        <v>1846</v>
      </c>
      <c r="L11" s="3413">
        <v>8720</v>
      </c>
      <c r="M11" s="3413">
        <v>1609.73</v>
      </c>
    </row>
    <row r="12" spans="1:13">
      <c r="A12" s="3413" t="s">
        <v>3514</v>
      </c>
      <c r="B12" s="3413">
        <v>3</v>
      </c>
      <c r="C12" s="3413">
        <v>332</v>
      </c>
      <c r="D12" s="3413">
        <v>8499</v>
      </c>
      <c r="E12" s="3413">
        <v>282</v>
      </c>
      <c r="F12" s="3413" t="s">
        <v>3350</v>
      </c>
      <c r="G12" s="3413" t="s">
        <v>3350</v>
      </c>
      <c r="H12" s="3413">
        <v>201</v>
      </c>
      <c r="I12" s="3413">
        <v>24702</v>
      </c>
      <c r="J12" s="3413">
        <v>7</v>
      </c>
      <c r="K12" s="3413">
        <v>749</v>
      </c>
      <c r="L12" s="3413">
        <v>8476</v>
      </c>
      <c r="M12" s="3413">
        <v>634.79</v>
      </c>
    </row>
    <row r="13" spans="1:13">
      <c r="A13" s="3413" t="s">
        <v>3513</v>
      </c>
      <c r="B13" s="3413">
        <v>13</v>
      </c>
      <c r="C13" s="3413">
        <v>1466</v>
      </c>
      <c r="D13" s="3413">
        <v>9073</v>
      </c>
      <c r="E13" s="3413">
        <v>1329.67</v>
      </c>
      <c r="F13" s="3413" t="s">
        <v>3350</v>
      </c>
      <c r="G13" s="3413" t="s">
        <v>3350</v>
      </c>
      <c r="H13" s="3413">
        <v>203</v>
      </c>
      <c r="I13" s="3413">
        <v>24916</v>
      </c>
      <c r="J13" s="3413">
        <v>12</v>
      </c>
      <c r="K13" s="3413">
        <v>1384</v>
      </c>
      <c r="L13" s="3413">
        <v>9029</v>
      </c>
      <c r="M13" s="3413">
        <v>1249.3599999999999</v>
      </c>
    </row>
    <row r="14" spans="1:13">
      <c r="A14" s="3413" t="s">
        <v>3512</v>
      </c>
      <c r="B14" s="3413">
        <v>2</v>
      </c>
      <c r="C14" s="3413">
        <v>207</v>
      </c>
      <c r="D14" s="3413">
        <v>9218</v>
      </c>
      <c r="E14" s="3413">
        <v>190.83</v>
      </c>
      <c r="F14" s="3413">
        <v>42</v>
      </c>
      <c r="G14" s="3413">
        <v>5532</v>
      </c>
      <c r="H14" s="3413">
        <v>216</v>
      </c>
      <c r="I14" s="3413">
        <v>26382</v>
      </c>
      <c r="J14" s="3413">
        <v>3</v>
      </c>
      <c r="K14" s="3413">
        <v>289</v>
      </c>
      <c r="L14" s="3413">
        <v>9385</v>
      </c>
      <c r="M14" s="3413">
        <v>271.14</v>
      </c>
    </row>
    <row r="15" spans="1:13">
      <c r="A15" s="3413" t="s">
        <v>3511</v>
      </c>
      <c r="B15" s="3413">
        <v>28</v>
      </c>
      <c r="C15" s="3413">
        <v>3056</v>
      </c>
      <c r="D15" s="3413">
        <v>8734</v>
      </c>
      <c r="E15" s="3413">
        <v>2669.26</v>
      </c>
      <c r="F15" s="3413" t="s">
        <v>3350</v>
      </c>
      <c r="G15" s="3413" t="s">
        <v>3350</v>
      </c>
      <c r="H15" s="3413">
        <v>176</v>
      </c>
      <c r="I15" s="3413">
        <v>21057</v>
      </c>
      <c r="J15" s="3413">
        <v>19</v>
      </c>
      <c r="K15" s="3413">
        <v>2032</v>
      </c>
      <c r="L15" s="3413">
        <v>8795</v>
      </c>
      <c r="M15" s="3413">
        <v>1787.36</v>
      </c>
    </row>
    <row r="16" spans="1:13">
      <c r="C16" s="3413">
        <f>SUM(C2:C15)</f>
        <v>29370</v>
      </c>
      <c r="D16" s="3413">
        <f>ROUND(E16/C16*10000,0)</f>
        <v>8566</v>
      </c>
      <c r="E16" s="3413">
        <f>SUM(E2:E15)</f>
        <v>25157.090000000004</v>
      </c>
    </row>
  </sheetData>
  <mergeCells count="13">
    <mergeCell ref="A1"/>
    <mergeCell ref="B1"/>
    <mergeCell ref="C1"/>
    <mergeCell ref="D1"/>
    <mergeCell ref="E1"/>
    <mergeCell ref="K1"/>
    <mergeCell ref="L1"/>
    <mergeCell ref="M1"/>
    <mergeCell ref="F1"/>
    <mergeCell ref="G1"/>
    <mergeCell ref="H1"/>
    <mergeCell ref="I1"/>
    <mergeCell ref="J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A2BF1-C2B2-4528-9931-7EA23EE1BCF8}">
  <dimension ref="A1:K16"/>
  <sheetViews>
    <sheetView workbookViewId="0">
      <selection activeCell="C16" sqref="C16:E16"/>
    </sheetView>
  </sheetViews>
  <sheetFormatPr defaultRowHeight="12"/>
  <cols>
    <col min="1" max="1" width="8" style="3413" bestFit="1" customWidth="1"/>
    <col min="2" max="3" width="11.5" style="3413" bestFit="1" customWidth="1"/>
    <col min="4" max="4" width="14.25" style="3413" bestFit="1" customWidth="1"/>
    <col min="5" max="5" width="13.375" style="3413" bestFit="1" customWidth="1"/>
    <col min="6" max="9" width="11.5" style="3413" bestFit="1" customWidth="1"/>
    <col min="10" max="10" width="14.25" style="3413" bestFit="1" customWidth="1"/>
    <col min="11" max="11" width="13.375" style="3413" bestFit="1" customWidth="1"/>
    <col min="12" max="167" width="20" style="3413" customWidth="1"/>
    <col min="168" max="16384" width="9" style="3413"/>
  </cols>
  <sheetData>
    <row r="1" spans="1:11">
      <c r="A1" s="3478" t="s">
        <v>3531</v>
      </c>
      <c r="B1" s="3478" t="s">
        <v>3530</v>
      </c>
      <c r="C1" s="3478" t="s">
        <v>3508</v>
      </c>
      <c r="D1" s="3478" t="s">
        <v>3529</v>
      </c>
      <c r="E1" s="3478" t="s">
        <v>3506</v>
      </c>
      <c r="F1" s="3478" t="s">
        <v>3527</v>
      </c>
      <c r="G1" s="3478" t="s">
        <v>3502</v>
      </c>
      <c r="H1" s="3478" t="s">
        <v>3526</v>
      </c>
      <c r="I1" s="3478" t="s">
        <v>3500</v>
      </c>
      <c r="J1" s="3478" t="s">
        <v>3525</v>
      </c>
      <c r="K1" s="3478" t="s">
        <v>3498</v>
      </c>
    </row>
    <row r="2" spans="1:11">
      <c r="A2" s="3413" t="s">
        <v>3524</v>
      </c>
      <c r="B2" s="3413">
        <v>82</v>
      </c>
      <c r="C2" s="3413">
        <v>8578</v>
      </c>
      <c r="D2" s="3413">
        <v>8265</v>
      </c>
      <c r="E2" s="3413">
        <v>7090.37</v>
      </c>
      <c r="F2" s="3413" t="s">
        <v>3350</v>
      </c>
      <c r="G2" s="3413" t="s">
        <v>3350</v>
      </c>
      <c r="H2" s="3413">
        <v>79</v>
      </c>
      <c r="I2" s="3413">
        <v>8333</v>
      </c>
      <c r="J2" s="3413">
        <v>8223</v>
      </c>
      <c r="K2" s="3413">
        <v>6852.41</v>
      </c>
    </row>
    <row r="3" spans="1:11">
      <c r="A3" s="3413" t="s">
        <v>3523</v>
      </c>
      <c r="B3" s="3413" t="s">
        <v>3350</v>
      </c>
      <c r="C3" s="3413" t="s">
        <v>3350</v>
      </c>
      <c r="D3" s="3413" t="s">
        <v>3350</v>
      </c>
      <c r="E3" s="3413" t="s">
        <v>3350</v>
      </c>
      <c r="F3" s="3413" t="s">
        <v>3350</v>
      </c>
      <c r="G3" s="3413" t="s">
        <v>3350</v>
      </c>
      <c r="H3" s="3413">
        <v>1</v>
      </c>
      <c r="I3" s="3413">
        <v>125</v>
      </c>
      <c r="J3" s="3413">
        <v>7400</v>
      </c>
      <c r="K3" s="3413">
        <v>92.55</v>
      </c>
    </row>
    <row r="4" spans="1:11">
      <c r="A4" s="3413" t="s">
        <v>3522</v>
      </c>
      <c r="B4" s="3413" t="s">
        <v>3350</v>
      </c>
      <c r="C4" s="3413" t="s">
        <v>3350</v>
      </c>
      <c r="D4" s="3413" t="s">
        <v>3350</v>
      </c>
      <c r="E4" s="3413" t="s">
        <v>3350</v>
      </c>
      <c r="F4" s="3413">
        <v>90</v>
      </c>
      <c r="G4" s="3413">
        <v>11141</v>
      </c>
      <c r="H4" s="3413" t="s">
        <v>3350</v>
      </c>
      <c r="I4" s="3413" t="s">
        <v>3350</v>
      </c>
      <c r="J4" s="3413" t="s">
        <v>3350</v>
      </c>
      <c r="K4" s="3413" t="s">
        <v>3350</v>
      </c>
    </row>
    <row r="5" spans="1:11">
      <c r="A5" s="3413" t="s">
        <v>3521</v>
      </c>
      <c r="B5" s="3413">
        <v>12</v>
      </c>
      <c r="C5" s="3413">
        <v>1414</v>
      </c>
      <c r="D5" s="3413">
        <v>7560</v>
      </c>
      <c r="E5" s="3413">
        <v>1069.0899999999999</v>
      </c>
      <c r="F5" s="3413">
        <v>90</v>
      </c>
      <c r="G5" s="3413">
        <v>11141</v>
      </c>
      <c r="H5" s="3413">
        <v>12</v>
      </c>
      <c r="I5" s="3413">
        <v>1414</v>
      </c>
      <c r="J5" s="3413">
        <v>7560</v>
      </c>
      <c r="K5" s="3413">
        <v>1069.0899999999999</v>
      </c>
    </row>
    <row r="6" spans="1:11">
      <c r="A6" s="3413" t="s">
        <v>3520</v>
      </c>
      <c r="B6" s="3413">
        <v>5</v>
      </c>
      <c r="C6" s="3413">
        <v>582</v>
      </c>
      <c r="D6" s="3413">
        <v>7819</v>
      </c>
      <c r="E6" s="3413">
        <v>454.8</v>
      </c>
      <c r="F6" s="3413">
        <v>102</v>
      </c>
      <c r="G6" s="3413">
        <v>12555</v>
      </c>
      <c r="H6" s="3413">
        <v>4</v>
      </c>
      <c r="I6" s="3413">
        <v>500</v>
      </c>
      <c r="J6" s="3413">
        <v>7599</v>
      </c>
      <c r="K6" s="3413">
        <v>379.8</v>
      </c>
    </row>
    <row r="7" spans="1:11">
      <c r="A7" s="3413" t="s">
        <v>3519</v>
      </c>
      <c r="B7" s="3413">
        <v>12</v>
      </c>
      <c r="C7" s="3413">
        <v>1421</v>
      </c>
      <c r="D7" s="3413">
        <v>7460</v>
      </c>
      <c r="E7" s="3413">
        <v>1060.21</v>
      </c>
      <c r="F7" s="3413">
        <v>107</v>
      </c>
      <c r="G7" s="3413">
        <v>13137</v>
      </c>
      <c r="H7" s="3413">
        <v>13</v>
      </c>
      <c r="I7" s="3413">
        <v>1503</v>
      </c>
      <c r="J7" s="3413">
        <v>7553</v>
      </c>
      <c r="K7" s="3413">
        <v>1135.22</v>
      </c>
    </row>
    <row r="8" spans="1:11">
      <c r="A8" s="3413" t="s">
        <v>3518</v>
      </c>
      <c r="B8" s="3413">
        <v>5</v>
      </c>
      <c r="C8" s="3413">
        <v>496</v>
      </c>
      <c r="D8" s="3413">
        <v>8206</v>
      </c>
      <c r="E8" s="3413">
        <v>406.79</v>
      </c>
      <c r="F8" s="3413">
        <v>119</v>
      </c>
      <c r="G8" s="3413">
        <v>14558</v>
      </c>
      <c r="H8" s="3413">
        <v>3</v>
      </c>
      <c r="I8" s="3413">
        <v>289</v>
      </c>
      <c r="J8" s="3413">
        <v>8482</v>
      </c>
      <c r="K8" s="3413">
        <v>244.81</v>
      </c>
    </row>
    <row r="9" spans="1:11">
      <c r="A9" s="3413" t="s">
        <v>3517</v>
      </c>
      <c r="B9" s="3413">
        <v>2</v>
      </c>
      <c r="C9" s="3413">
        <v>164</v>
      </c>
      <c r="D9" s="3413">
        <v>8664</v>
      </c>
      <c r="E9" s="3413">
        <v>141.80000000000001</v>
      </c>
      <c r="F9" s="3413">
        <v>124</v>
      </c>
      <c r="G9" s="3413">
        <v>15054</v>
      </c>
      <c r="H9" s="3413">
        <v>4</v>
      </c>
      <c r="I9" s="3413">
        <v>371</v>
      </c>
      <c r="J9" s="3413">
        <v>8194</v>
      </c>
      <c r="K9" s="3413">
        <v>303.79000000000002</v>
      </c>
    </row>
    <row r="10" spans="1:11">
      <c r="A10" s="3413" t="s">
        <v>3516</v>
      </c>
      <c r="B10" s="3413">
        <v>7</v>
      </c>
      <c r="C10" s="3413">
        <v>746</v>
      </c>
      <c r="D10" s="3413">
        <v>8382</v>
      </c>
      <c r="E10" s="3413">
        <v>625.01</v>
      </c>
      <c r="F10" s="3413">
        <v>126</v>
      </c>
      <c r="G10" s="3413">
        <v>15217</v>
      </c>
      <c r="H10" s="3413">
        <v>5</v>
      </c>
      <c r="I10" s="3413">
        <v>539</v>
      </c>
      <c r="J10" s="3413">
        <v>8294</v>
      </c>
      <c r="K10" s="3413">
        <v>446.96</v>
      </c>
    </row>
    <row r="11" spans="1:11">
      <c r="A11" s="3413" t="s">
        <v>3515</v>
      </c>
      <c r="B11" s="3413">
        <v>10</v>
      </c>
      <c r="C11" s="3413">
        <v>979</v>
      </c>
      <c r="D11" s="3413">
        <v>8756</v>
      </c>
      <c r="E11" s="3413">
        <v>857.61</v>
      </c>
      <c r="F11" s="3413">
        <v>134</v>
      </c>
      <c r="G11" s="3413">
        <v>16040</v>
      </c>
      <c r="H11" s="3413">
        <v>9</v>
      </c>
      <c r="I11" s="3413">
        <v>897</v>
      </c>
      <c r="J11" s="3413">
        <v>8770</v>
      </c>
      <c r="K11" s="3413">
        <v>786.87</v>
      </c>
    </row>
    <row r="12" spans="1:11">
      <c r="A12" s="3413" t="s">
        <v>3514</v>
      </c>
      <c r="B12" s="3413">
        <v>3</v>
      </c>
      <c r="C12" s="3413">
        <v>332</v>
      </c>
      <c r="D12" s="3413">
        <v>8499</v>
      </c>
      <c r="E12" s="3413">
        <v>282</v>
      </c>
      <c r="F12" s="3413">
        <v>143</v>
      </c>
      <c r="G12" s="3413">
        <v>16943</v>
      </c>
      <c r="H12" s="3413">
        <v>6</v>
      </c>
      <c r="I12" s="3413">
        <v>621</v>
      </c>
      <c r="J12" s="3413">
        <v>8551</v>
      </c>
      <c r="K12" s="3413">
        <v>530.79</v>
      </c>
    </row>
    <row r="13" spans="1:11">
      <c r="A13" s="3413" t="s">
        <v>3513</v>
      </c>
      <c r="B13" s="3413">
        <v>8</v>
      </c>
      <c r="C13" s="3413">
        <v>784</v>
      </c>
      <c r="D13" s="3413">
        <v>8872</v>
      </c>
      <c r="E13" s="3413">
        <v>695.8</v>
      </c>
      <c r="F13" s="3413">
        <v>145</v>
      </c>
      <c r="G13" s="3413">
        <v>17157</v>
      </c>
      <c r="H13" s="3413">
        <v>7</v>
      </c>
      <c r="I13" s="3413">
        <v>702</v>
      </c>
      <c r="J13" s="3413">
        <v>8763</v>
      </c>
      <c r="K13" s="3413">
        <v>615.49</v>
      </c>
    </row>
    <row r="14" spans="1:11">
      <c r="A14" s="3413" t="s">
        <v>3512</v>
      </c>
      <c r="B14" s="3413">
        <v>2</v>
      </c>
      <c r="C14" s="3413">
        <v>207</v>
      </c>
      <c r="D14" s="3413">
        <v>9218</v>
      </c>
      <c r="E14" s="3413">
        <v>190.83</v>
      </c>
      <c r="F14" s="3413">
        <v>153</v>
      </c>
      <c r="G14" s="3413">
        <v>17941</v>
      </c>
      <c r="H14" s="3413">
        <v>3</v>
      </c>
      <c r="I14" s="3413">
        <v>289</v>
      </c>
      <c r="J14" s="3413">
        <v>9385</v>
      </c>
      <c r="K14" s="3413">
        <v>271.14</v>
      </c>
    </row>
    <row r="15" spans="1:11">
      <c r="A15" s="3413" t="s">
        <v>3511</v>
      </c>
      <c r="B15" s="3413">
        <v>16</v>
      </c>
      <c r="C15" s="3413">
        <v>1454</v>
      </c>
      <c r="D15" s="3413">
        <v>8986</v>
      </c>
      <c r="E15" s="3413">
        <v>1306.4100000000001</v>
      </c>
      <c r="F15" s="3413">
        <v>155</v>
      </c>
      <c r="G15" s="3413">
        <v>18148</v>
      </c>
      <c r="H15" s="3413">
        <v>12</v>
      </c>
      <c r="I15" s="3413">
        <v>1083</v>
      </c>
      <c r="J15" s="3413">
        <v>9007</v>
      </c>
      <c r="K15" s="3413">
        <v>975.9</v>
      </c>
    </row>
    <row r="16" spans="1:11">
      <c r="C16" s="3413">
        <f>SUM(C2:C15)</f>
        <v>17157</v>
      </c>
      <c r="D16" s="3413">
        <f>ROUND(E16/C16*10000,0)</f>
        <v>8265</v>
      </c>
      <c r="E16" s="3413">
        <f>SUM(E2:E15)</f>
        <v>14180.720000000001</v>
      </c>
    </row>
  </sheetData>
  <mergeCells count="11">
    <mergeCell ref="A1"/>
    <mergeCell ref="B1"/>
    <mergeCell ref="C1"/>
    <mergeCell ref="D1"/>
    <mergeCell ref="E1"/>
    <mergeCell ref="K1"/>
    <mergeCell ref="F1"/>
    <mergeCell ref="G1"/>
    <mergeCell ref="H1"/>
    <mergeCell ref="I1"/>
    <mergeCell ref="J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A33E6-81D7-4A86-9FC8-484F65C6F577}">
  <dimension ref="A1"/>
  <sheetViews>
    <sheetView topLeftCell="A4" zoomScale="55" zoomScaleNormal="55" workbookViewId="0">
      <selection activeCell="AC52" sqref="AC52"/>
    </sheetView>
  </sheetViews>
  <sheetFormatPr defaultColWidth="9" defaultRowHeight="13.5"/>
  <cols>
    <col min="1" max="16384" width="9" style="3417"/>
  </cols>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BD717-5DFD-4068-BD39-C670F1B07255}">
  <sheetPr>
    <tabColor rgb="FF92D050"/>
  </sheetPr>
  <dimension ref="A1:R114"/>
  <sheetViews>
    <sheetView topLeftCell="B71" workbookViewId="0">
      <selection activeCell="R101" sqref="R101"/>
    </sheetView>
  </sheetViews>
  <sheetFormatPr defaultRowHeight="13.5"/>
  <cols>
    <col min="18" max="18" width="12.75" bestFit="1" customWidth="1"/>
  </cols>
  <sheetData>
    <row r="1" spans="1:18" ht="14.25" thickBot="1"/>
    <row r="2" spans="1:18" ht="21.75" thickBot="1">
      <c r="A2" s="3662" t="s">
        <v>3419</v>
      </c>
      <c r="B2" s="3664" t="s">
        <v>3594</v>
      </c>
      <c r="C2" s="3665"/>
      <c r="D2" s="3666"/>
      <c r="E2" s="3664" t="s">
        <v>3595</v>
      </c>
      <c r="F2" s="3665"/>
      <c r="G2" s="3665"/>
      <c r="H2" s="3666"/>
      <c r="I2" s="3664" t="s">
        <v>3596</v>
      </c>
      <c r="J2" s="3665"/>
      <c r="K2" s="3665"/>
      <c r="L2" s="3666"/>
      <c r="M2" s="3431" t="s">
        <v>3607</v>
      </c>
    </row>
    <row r="3" spans="1:18" ht="15" thickBot="1">
      <c r="A3" s="3663"/>
      <c r="B3" s="3428" t="s">
        <v>3597</v>
      </c>
      <c r="C3" s="3428" t="s">
        <v>3598</v>
      </c>
      <c r="D3" s="3428" t="s">
        <v>2492</v>
      </c>
      <c r="E3" s="3428" t="s">
        <v>3599</v>
      </c>
      <c r="F3" s="3428" t="s">
        <v>3600</v>
      </c>
      <c r="G3" s="3428" t="s">
        <v>3601</v>
      </c>
      <c r="H3" s="3428" t="s">
        <v>3602</v>
      </c>
      <c r="I3" s="3428" t="s">
        <v>3599</v>
      </c>
      <c r="J3" s="3428" t="s">
        <v>3600</v>
      </c>
      <c r="K3" s="3428" t="s">
        <v>3601</v>
      </c>
      <c r="L3" s="3428" t="s">
        <v>3602</v>
      </c>
      <c r="Q3" t="str">
        <f>K3</f>
        <v>居住地价</v>
      </c>
      <c r="R3" s="2750" t="s">
        <v>3622</v>
      </c>
    </row>
    <row r="4" spans="1:18" ht="15" thickBot="1">
      <c r="A4" s="3428" t="s">
        <v>3603</v>
      </c>
      <c r="B4" s="3429">
        <v>99</v>
      </c>
      <c r="C4" s="3429">
        <v>91</v>
      </c>
      <c r="D4" s="3429">
        <v>20</v>
      </c>
      <c r="E4" s="3429">
        <v>15506</v>
      </c>
      <c r="F4" s="3429">
        <v>12944</v>
      </c>
      <c r="G4" s="3429">
        <v>18150</v>
      </c>
      <c r="H4" s="3429">
        <v>910</v>
      </c>
      <c r="I4" s="3429">
        <v>228</v>
      </c>
      <c r="J4" s="3429">
        <v>241</v>
      </c>
      <c r="K4" s="3429">
        <v>275</v>
      </c>
      <c r="L4" s="3429">
        <v>139</v>
      </c>
      <c r="Q4">
        <f>K4</f>
        <v>275</v>
      </c>
      <c r="R4">
        <v>1</v>
      </c>
    </row>
    <row r="5" spans="1:18" ht="15" hidden="1" thickBot="1">
      <c r="A5" s="3428" t="s">
        <v>3604</v>
      </c>
      <c r="B5" s="3429">
        <v>32</v>
      </c>
      <c r="C5" s="3429">
        <v>38</v>
      </c>
      <c r="D5" s="3429">
        <v>10</v>
      </c>
      <c r="E5" s="3429">
        <v>2213</v>
      </c>
      <c r="F5" s="3429">
        <v>2780</v>
      </c>
      <c r="G5" s="3429">
        <v>3539</v>
      </c>
      <c r="H5" s="3429">
        <v>224</v>
      </c>
      <c r="I5" s="3429">
        <v>345</v>
      </c>
      <c r="J5" s="3429">
        <v>206</v>
      </c>
      <c r="K5" s="3429">
        <v>414</v>
      </c>
      <c r="L5" s="3429">
        <v>165</v>
      </c>
      <c r="Q5">
        <f t="shared" ref="Q5:Q68" si="0">K5</f>
        <v>414</v>
      </c>
    </row>
    <row r="6" spans="1:18" ht="15" hidden="1" thickBot="1">
      <c r="A6" s="3428" t="s">
        <v>3605</v>
      </c>
      <c r="B6" s="3429">
        <v>41</v>
      </c>
      <c r="C6" s="3429">
        <v>43</v>
      </c>
      <c r="D6" s="3429">
        <v>6</v>
      </c>
      <c r="E6" s="3429">
        <v>2204</v>
      </c>
      <c r="F6" s="3429">
        <v>2916</v>
      </c>
      <c r="G6" s="3429">
        <v>2645</v>
      </c>
      <c r="H6" s="3429">
        <v>546</v>
      </c>
      <c r="I6" s="3429">
        <v>419.01</v>
      </c>
      <c r="J6" s="3429">
        <v>299.38</v>
      </c>
      <c r="K6" s="3429">
        <v>560.38</v>
      </c>
      <c r="L6" s="3429">
        <v>303.33</v>
      </c>
      <c r="Q6">
        <f t="shared" si="0"/>
        <v>560.38</v>
      </c>
    </row>
    <row r="7" spans="1:18" ht="15" hidden="1" thickBot="1">
      <c r="A7" s="3428" t="s">
        <v>3606</v>
      </c>
      <c r="B7" s="3429">
        <v>34</v>
      </c>
      <c r="C7" s="3430">
        <v>40</v>
      </c>
      <c r="D7" s="3430">
        <v>9</v>
      </c>
      <c r="E7" s="3429">
        <v>2051</v>
      </c>
      <c r="F7" s="3429">
        <v>3481</v>
      </c>
      <c r="G7" s="3429">
        <v>3038</v>
      </c>
      <c r="H7" s="3429">
        <v>397</v>
      </c>
      <c r="I7" s="3429">
        <v>460</v>
      </c>
      <c r="J7" s="3429">
        <v>427</v>
      </c>
      <c r="K7" s="3429">
        <v>646</v>
      </c>
      <c r="L7" s="3429">
        <v>171</v>
      </c>
      <c r="Q7">
        <f t="shared" si="0"/>
        <v>646</v>
      </c>
    </row>
    <row r="8" spans="1:18">
      <c r="Q8">
        <f t="shared" si="0"/>
        <v>0</v>
      </c>
    </row>
    <row r="9" spans="1:18" ht="15" thickBot="1">
      <c r="A9" s="3667" t="s">
        <v>3419</v>
      </c>
      <c r="B9" s="3669" t="s">
        <v>3594</v>
      </c>
      <c r="C9" s="3670"/>
      <c r="D9" s="3671"/>
      <c r="E9" s="3669" t="s">
        <v>3595</v>
      </c>
      <c r="F9" s="3670"/>
      <c r="G9" s="3670"/>
      <c r="H9" s="3671"/>
      <c r="I9" s="3669" t="s">
        <v>3596</v>
      </c>
      <c r="J9" s="3670"/>
      <c r="K9" s="3670"/>
      <c r="L9" s="3672"/>
      <c r="M9" s="3439" t="s">
        <v>3621</v>
      </c>
      <c r="Q9">
        <f t="shared" si="0"/>
        <v>0</v>
      </c>
    </row>
    <row r="10" spans="1:18" ht="15" thickBot="1">
      <c r="A10" s="3668"/>
      <c r="B10" s="3428" t="s">
        <v>3597</v>
      </c>
      <c r="C10" s="3428" t="s">
        <v>3598</v>
      </c>
      <c r="D10" s="3428" t="s">
        <v>2492</v>
      </c>
      <c r="E10" s="3428" t="s">
        <v>3599</v>
      </c>
      <c r="F10" s="3428" t="s">
        <v>3600</v>
      </c>
      <c r="G10" s="3428" t="s">
        <v>3601</v>
      </c>
      <c r="H10" s="3428" t="s">
        <v>3602</v>
      </c>
      <c r="I10" s="3428" t="s">
        <v>3599</v>
      </c>
      <c r="J10" s="3428" t="s">
        <v>3600</v>
      </c>
      <c r="K10" s="3428" t="s">
        <v>3601</v>
      </c>
      <c r="L10" s="3432" t="s">
        <v>3602</v>
      </c>
      <c r="Q10" t="str">
        <f t="shared" si="0"/>
        <v>居住地价</v>
      </c>
    </row>
    <row r="11" spans="1:18" ht="15" thickBot="1">
      <c r="A11" s="3433" t="s">
        <v>3603</v>
      </c>
      <c r="B11" s="3429">
        <v>99</v>
      </c>
      <c r="C11" s="3429">
        <v>91</v>
      </c>
      <c r="D11" s="3429">
        <v>20</v>
      </c>
      <c r="E11" s="3429">
        <v>15619</v>
      </c>
      <c r="F11" s="3429">
        <v>12992</v>
      </c>
      <c r="G11" s="3429">
        <v>18298</v>
      </c>
      <c r="H11" s="3429">
        <v>913</v>
      </c>
      <c r="I11" s="3429">
        <v>229</v>
      </c>
      <c r="J11" s="3429">
        <v>242</v>
      </c>
      <c r="K11" s="3429">
        <v>277</v>
      </c>
      <c r="L11" s="3434">
        <v>139</v>
      </c>
      <c r="Q11">
        <f t="shared" si="0"/>
        <v>277</v>
      </c>
      <c r="R11">
        <f>(Q11/Q4-1)*100</f>
        <v>0.72727272727273196</v>
      </c>
    </row>
    <row r="12" spans="1:18" ht="15" hidden="1" thickBot="1">
      <c r="A12" s="3433" t="s">
        <v>3604</v>
      </c>
      <c r="B12" s="3429">
        <v>32</v>
      </c>
      <c r="C12" s="3429">
        <v>38</v>
      </c>
      <c r="D12" s="3429">
        <v>10</v>
      </c>
      <c r="E12" s="3429">
        <v>2205</v>
      </c>
      <c r="F12" s="3429">
        <v>2763</v>
      </c>
      <c r="G12" s="3429">
        <v>3526</v>
      </c>
      <c r="H12" s="3429">
        <v>224</v>
      </c>
      <c r="I12" s="3429">
        <v>344</v>
      </c>
      <c r="J12" s="3429">
        <v>205</v>
      </c>
      <c r="K12" s="3429">
        <v>412</v>
      </c>
      <c r="L12" s="3434">
        <v>165</v>
      </c>
      <c r="Q12">
        <f t="shared" si="0"/>
        <v>412</v>
      </c>
      <c r="R12">
        <f t="shared" ref="R12:R75" si="1">(Q12/Q5-1)*100</f>
        <v>-0.48309178743961567</v>
      </c>
    </row>
    <row r="13" spans="1:18" ht="15" hidden="1" thickBot="1">
      <c r="A13" s="3433" t="s">
        <v>3605</v>
      </c>
      <c r="B13" s="3429">
        <v>41</v>
      </c>
      <c r="C13" s="3429">
        <v>43</v>
      </c>
      <c r="D13" s="3429">
        <v>6</v>
      </c>
      <c r="E13" s="3429">
        <v>2187</v>
      </c>
      <c r="F13" s="3429">
        <v>2902</v>
      </c>
      <c r="G13" s="3429">
        <v>2616</v>
      </c>
      <c r="H13" s="3429">
        <v>546</v>
      </c>
      <c r="I13" s="3429">
        <v>415.78</v>
      </c>
      <c r="J13" s="3429">
        <v>297.95</v>
      </c>
      <c r="K13" s="3429">
        <v>554.24</v>
      </c>
      <c r="L13" s="3434">
        <v>303.33</v>
      </c>
      <c r="Q13">
        <f t="shared" si="0"/>
        <v>554.24</v>
      </c>
      <c r="R13">
        <f t="shared" si="1"/>
        <v>-1.0956850708447763</v>
      </c>
    </row>
    <row r="14" spans="1:18" ht="14.25" hidden="1">
      <c r="A14" s="3435" t="s">
        <v>3606</v>
      </c>
      <c r="B14" s="3436">
        <v>34</v>
      </c>
      <c r="C14" s="3437">
        <v>40</v>
      </c>
      <c r="D14" s="3437">
        <v>9</v>
      </c>
      <c r="E14" s="3436">
        <v>2041</v>
      </c>
      <c r="F14" s="3436">
        <v>3472</v>
      </c>
      <c r="G14" s="3436">
        <v>3016</v>
      </c>
      <c r="H14" s="3436">
        <v>397</v>
      </c>
      <c r="I14" s="3436">
        <v>458</v>
      </c>
      <c r="J14" s="3436">
        <v>426</v>
      </c>
      <c r="K14" s="3436">
        <v>642</v>
      </c>
      <c r="L14" s="3438">
        <v>171</v>
      </c>
      <c r="Q14">
        <f t="shared" si="0"/>
        <v>642</v>
      </c>
      <c r="R14">
        <f t="shared" si="1"/>
        <v>-0.61919504643962453</v>
      </c>
    </row>
    <row r="15" spans="1:18">
      <c r="Q15">
        <f t="shared" si="0"/>
        <v>0</v>
      </c>
    </row>
    <row r="16" spans="1:18">
      <c r="A16" s="3661" t="s">
        <v>3419</v>
      </c>
      <c r="B16" s="3661" t="s">
        <v>3594</v>
      </c>
      <c r="C16" s="3661"/>
      <c r="D16" s="3661"/>
      <c r="E16" s="3661" t="s">
        <v>3595</v>
      </c>
      <c r="F16" s="3661"/>
      <c r="G16" s="3661"/>
      <c r="H16" s="3661"/>
      <c r="I16" s="3661" t="s">
        <v>3596</v>
      </c>
      <c r="J16" s="3661"/>
      <c r="K16" s="3661"/>
      <c r="L16" s="3661"/>
      <c r="M16" s="2750" t="s">
        <v>3608</v>
      </c>
      <c r="Q16">
        <f t="shared" si="0"/>
        <v>0</v>
      </c>
    </row>
    <row r="17" spans="1:18">
      <c r="A17" s="3661"/>
      <c r="B17" s="3441" t="s">
        <v>3597</v>
      </c>
      <c r="C17" s="3441" t="s">
        <v>3598</v>
      </c>
      <c r="D17" s="3441" t="s">
        <v>2492</v>
      </c>
      <c r="E17" s="3441" t="s">
        <v>3599</v>
      </c>
      <c r="F17" s="3441" t="s">
        <v>3600</v>
      </c>
      <c r="G17" s="3441" t="s">
        <v>3601</v>
      </c>
      <c r="H17" s="3441" t="s">
        <v>3602</v>
      </c>
      <c r="I17" s="3441" t="s">
        <v>3599</v>
      </c>
      <c r="J17" s="3441" t="s">
        <v>3600</v>
      </c>
      <c r="K17" s="3441" t="s">
        <v>3601</v>
      </c>
      <c r="L17" s="3441" t="s">
        <v>3602</v>
      </c>
      <c r="Q17" t="str">
        <f t="shared" si="0"/>
        <v>居住地价</v>
      </c>
    </row>
    <row r="18" spans="1:18">
      <c r="A18" s="3440" t="s">
        <v>3603</v>
      </c>
      <c r="B18" s="3442">
        <v>99</v>
      </c>
      <c r="C18" s="3442">
        <v>91</v>
      </c>
      <c r="D18" s="3442">
        <v>20</v>
      </c>
      <c r="E18" s="3442">
        <v>15810</v>
      </c>
      <c r="F18" s="3442">
        <v>12932</v>
      </c>
      <c r="G18" s="3442">
        <v>18592</v>
      </c>
      <c r="H18" s="3442">
        <v>918</v>
      </c>
      <c r="I18" s="3442">
        <v>232</v>
      </c>
      <c r="J18" s="3442">
        <v>241</v>
      </c>
      <c r="K18" s="3442">
        <v>281</v>
      </c>
      <c r="L18" s="3442">
        <v>140</v>
      </c>
      <c r="Q18">
        <f t="shared" si="0"/>
        <v>281</v>
      </c>
      <c r="R18">
        <f t="shared" si="1"/>
        <v>1.4440433212996373</v>
      </c>
    </row>
    <row r="19" spans="1:18" hidden="1">
      <c r="A19" s="3440" t="s">
        <v>3604</v>
      </c>
      <c r="B19" s="3442">
        <v>32</v>
      </c>
      <c r="C19" s="3442">
        <v>38</v>
      </c>
      <c r="D19" s="3442">
        <v>10</v>
      </c>
      <c r="E19" s="3442">
        <v>2202</v>
      </c>
      <c r="F19" s="3442">
        <v>2753</v>
      </c>
      <c r="G19" s="3442">
        <v>3523</v>
      </c>
      <c r="H19" s="3442">
        <v>224</v>
      </c>
      <c r="I19" s="3442">
        <v>344</v>
      </c>
      <c r="J19" s="3442">
        <v>204</v>
      </c>
      <c r="K19" s="3442">
        <v>412</v>
      </c>
      <c r="L19" s="3442">
        <v>165</v>
      </c>
      <c r="Q19">
        <f t="shared" si="0"/>
        <v>412</v>
      </c>
      <c r="R19">
        <f t="shared" si="1"/>
        <v>0</v>
      </c>
    </row>
    <row r="20" spans="1:18" hidden="1">
      <c r="A20" s="3440" t="s">
        <v>3605</v>
      </c>
      <c r="B20" s="3442">
        <v>41</v>
      </c>
      <c r="C20" s="3442">
        <v>43</v>
      </c>
      <c r="D20" s="3442">
        <v>6</v>
      </c>
      <c r="E20" s="3442">
        <v>2162</v>
      </c>
      <c r="F20" s="3442">
        <v>2860</v>
      </c>
      <c r="G20" s="3442">
        <v>2587</v>
      </c>
      <c r="H20" s="3442">
        <v>548</v>
      </c>
      <c r="I20" s="3442">
        <v>411.03</v>
      </c>
      <c r="J20" s="3442">
        <v>293.63</v>
      </c>
      <c r="K20" s="3442">
        <v>548.09</v>
      </c>
      <c r="L20" s="3442">
        <v>304.44</v>
      </c>
      <c r="Q20">
        <f t="shared" si="0"/>
        <v>548.09</v>
      </c>
      <c r="R20">
        <f t="shared" si="1"/>
        <v>-1.1096275981524184</v>
      </c>
    </row>
    <row r="21" spans="1:18" hidden="1">
      <c r="A21" s="3440" t="s">
        <v>3606</v>
      </c>
      <c r="B21" s="3442">
        <v>34</v>
      </c>
      <c r="C21" s="3443">
        <v>40</v>
      </c>
      <c r="D21" s="3443">
        <v>9</v>
      </c>
      <c r="E21" s="3442">
        <v>2030</v>
      </c>
      <c r="F21" s="3442">
        <v>3456</v>
      </c>
      <c r="G21" s="3442">
        <v>2995</v>
      </c>
      <c r="H21" s="3442">
        <v>397</v>
      </c>
      <c r="I21" s="3442">
        <v>455</v>
      </c>
      <c r="J21" s="3442">
        <v>424</v>
      </c>
      <c r="K21" s="3442">
        <v>637</v>
      </c>
      <c r="L21" s="3442">
        <v>171</v>
      </c>
      <c r="Q21">
        <f t="shared" si="0"/>
        <v>637</v>
      </c>
      <c r="R21">
        <f t="shared" si="1"/>
        <v>-0.77881619937694158</v>
      </c>
    </row>
    <row r="22" spans="1:18">
      <c r="Q22">
        <f t="shared" si="0"/>
        <v>0</v>
      </c>
    </row>
    <row r="23" spans="1:18">
      <c r="A23" s="3661" t="s">
        <v>3419</v>
      </c>
      <c r="B23" s="3661" t="s">
        <v>3594</v>
      </c>
      <c r="C23" s="3661"/>
      <c r="D23" s="3661"/>
      <c r="E23" s="3661" t="s">
        <v>3595</v>
      </c>
      <c r="F23" s="3661"/>
      <c r="G23" s="3661"/>
      <c r="H23" s="3661"/>
      <c r="I23" s="3661" t="s">
        <v>3596</v>
      </c>
      <c r="J23" s="3661"/>
      <c r="K23" s="3661"/>
      <c r="L23" s="3661"/>
      <c r="M23" t="s">
        <v>3609</v>
      </c>
      <c r="Q23">
        <f t="shared" si="0"/>
        <v>0</v>
      </c>
    </row>
    <row r="24" spans="1:18">
      <c r="A24" s="3661"/>
      <c r="B24" s="3441" t="s">
        <v>3597</v>
      </c>
      <c r="C24" s="3441" t="s">
        <v>3598</v>
      </c>
      <c r="D24" s="3441" t="s">
        <v>2492</v>
      </c>
      <c r="E24" s="3441" t="s">
        <v>3599</v>
      </c>
      <c r="F24" s="3441" t="s">
        <v>3600</v>
      </c>
      <c r="G24" s="3441" t="s">
        <v>3601</v>
      </c>
      <c r="H24" s="3441" t="s">
        <v>3602</v>
      </c>
      <c r="I24" s="3441" t="s">
        <v>3599</v>
      </c>
      <c r="J24" s="3441" t="s">
        <v>3600</v>
      </c>
      <c r="K24" s="3441" t="s">
        <v>3601</v>
      </c>
      <c r="L24" s="3441" t="s">
        <v>3602</v>
      </c>
      <c r="Q24" t="str">
        <f t="shared" si="0"/>
        <v>居住地价</v>
      </c>
    </row>
    <row r="25" spans="1:18">
      <c r="A25" s="3440" t="s">
        <v>3603</v>
      </c>
      <c r="B25" s="3442">
        <v>99</v>
      </c>
      <c r="C25" s="3442">
        <v>91</v>
      </c>
      <c r="D25" s="3442">
        <v>20</v>
      </c>
      <c r="E25" s="3442">
        <v>15660</v>
      </c>
      <c r="F25" s="3442">
        <v>12863</v>
      </c>
      <c r="G25" s="3442">
        <v>18398</v>
      </c>
      <c r="H25" s="3442">
        <v>918</v>
      </c>
      <c r="I25" s="3442">
        <v>230</v>
      </c>
      <c r="J25" s="3442">
        <v>240</v>
      </c>
      <c r="K25" s="3442">
        <v>278</v>
      </c>
      <c r="L25" s="3442">
        <v>140</v>
      </c>
      <c r="Q25">
        <f t="shared" si="0"/>
        <v>278</v>
      </c>
      <c r="R25">
        <f t="shared" si="1"/>
        <v>-1.0676156583629859</v>
      </c>
    </row>
    <row r="26" spans="1:18" hidden="1">
      <c r="A26" s="3440" t="s">
        <v>3604</v>
      </c>
      <c r="B26" s="3442">
        <v>32</v>
      </c>
      <c r="C26" s="3442">
        <v>38</v>
      </c>
      <c r="D26" s="3442">
        <v>10</v>
      </c>
      <c r="E26" s="3442">
        <v>2195</v>
      </c>
      <c r="F26" s="3442">
        <v>2718</v>
      </c>
      <c r="G26" s="3442">
        <v>3518</v>
      </c>
      <c r="H26" s="3442">
        <v>224</v>
      </c>
      <c r="I26" s="3442">
        <v>342</v>
      </c>
      <c r="J26" s="3442">
        <v>201</v>
      </c>
      <c r="K26" s="3442">
        <v>411</v>
      </c>
      <c r="L26" s="3442">
        <v>165</v>
      </c>
      <c r="Q26">
        <f t="shared" si="0"/>
        <v>411</v>
      </c>
      <c r="R26">
        <f t="shared" si="1"/>
        <v>-0.24271844660194164</v>
      </c>
    </row>
    <row r="27" spans="1:18" hidden="1">
      <c r="A27" s="3440" t="s">
        <v>3605</v>
      </c>
      <c r="B27" s="3442">
        <v>41</v>
      </c>
      <c r="C27" s="3442">
        <v>43</v>
      </c>
      <c r="D27" s="3442">
        <v>6</v>
      </c>
      <c r="E27" s="3442">
        <v>2142</v>
      </c>
      <c r="F27" s="3442">
        <v>2835</v>
      </c>
      <c r="G27" s="3442">
        <v>2560</v>
      </c>
      <c r="H27" s="3442">
        <v>550</v>
      </c>
      <c r="I27" s="3442">
        <v>407</v>
      </c>
      <c r="J27" s="3442">
        <v>291</v>
      </c>
      <c r="K27" s="3442">
        <v>543</v>
      </c>
      <c r="L27" s="3442">
        <v>306</v>
      </c>
      <c r="Q27">
        <f t="shared" si="0"/>
        <v>543</v>
      </c>
      <c r="R27">
        <f t="shared" si="1"/>
        <v>-0.92867959641664832</v>
      </c>
    </row>
    <row r="28" spans="1:18" hidden="1">
      <c r="A28" s="3440" t="s">
        <v>3606</v>
      </c>
      <c r="B28" s="3442">
        <v>34</v>
      </c>
      <c r="C28" s="3442">
        <v>40</v>
      </c>
      <c r="D28" s="3442">
        <v>9</v>
      </c>
      <c r="E28" s="3442">
        <v>2023</v>
      </c>
      <c r="F28" s="3442">
        <v>3450</v>
      </c>
      <c r="G28" s="3442">
        <v>2982</v>
      </c>
      <c r="H28" s="3442">
        <v>397</v>
      </c>
      <c r="I28" s="3442">
        <v>454</v>
      </c>
      <c r="J28" s="3442">
        <v>423</v>
      </c>
      <c r="K28" s="3442">
        <v>634</v>
      </c>
      <c r="L28" s="3442">
        <v>171</v>
      </c>
      <c r="Q28">
        <f t="shared" si="0"/>
        <v>634</v>
      </c>
      <c r="R28">
        <f t="shared" si="1"/>
        <v>-0.47095761381475976</v>
      </c>
    </row>
    <row r="29" spans="1:18">
      <c r="Q29">
        <f t="shared" si="0"/>
        <v>0</v>
      </c>
    </row>
    <row r="30" spans="1:18">
      <c r="A30" s="3661" t="s">
        <v>3419</v>
      </c>
      <c r="B30" s="3661" t="s">
        <v>3594</v>
      </c>
      <c r="C30" s="3661"/>
      <c r="D30" s="3661"/>
      <c r="E30" s="3661" t="s">
        <v>3595</v>
      </c>
      <c r="F30" s="3661"/>
      <c r="G30" s="3661"/>
      <c r="H30" s="3661"/>
      <c r="I30" s="3661" t="s">
        <v>3596</v>
      </c>
      <c r="J30" s="3661"/>
      <c r="K30" s="3661"/>
      <c r="L30" s="3661"/>
      <c r="M30" s="2750" t="s">
        <v>3610</v>
      </c>
      <c r="Q30">
        <f t="shared" si="0"/>
        <v>0</v>
      </c>
    </row>
    <row r="31" spans="1:18">
      <c r="A31" s="3661"/>
      <c r="B31" s="3441" t="s">
        <v>3597</v>
      </c>
      <c r="C31" s="3441" t="s">
        <v>3598</v>
      </c>
      <c r="D31" s="3441" t="s">
        <v>2492</v>
      </c>
      <c r="E31" s="3441" t="s">
        <v>3599</v>
      </c>
      <c r="F31" s="3441" t="s">
        <v>3600</v>
      </c>
      <c r="G31" s="3441" t="s">
        <v>3601</v>
      </c>
      <c r="H31" s="3441" t="s">
        <v>3602</v>
      </c>
      <c r="I31" s="3441" t="s">
        <v>3599</v>
      </c>
      <c r="J31" s="3441" t="s">
        <v>3600</v>
      </c>
      <c r="K31" s="3441" t="s">
        <v>3601</v>
      </c>
      <c r="L31" s="3441" t="s">
        <v>3602</v>
      </c>
      <c r="Q31" t="str">
        <f t="shared" si="0"/>
        <v>居住地价</v>
      </c>
    </row>
    <row r="32" spans="1:18">
      <c r="A32" s="3440" t="s">
        <v>3603</v>
      </c>
      <c r="B32" s="3442">
        <v>99</v>
      </c>
      <c r="C32" s="3442">
        <v>91</v>
      </c>
      <c r="D32" s="3442">
        <v>20</v>
      </c>
      <c r="E32" s="3442">
        <v>15753</v>
      </c>
      <c r="F32" s="3442">
        <v>12923</v>
      </c>
      <c r="G32" s="3442">
        <v>18512</v>
      </c>
      <c r="H32" s="3442">
        <v>921</v>
      </c>
      <c r="I32" s="3442">
        <v>231</v>
      </c>
      <c r="J32" s="3442">
        <v>241</v>
      </c>
      <c r="K32" s="3442">
        <v>280</v>
      </c>
      <c r="L32" s="3442">
        <v>140</v>
      </c>
      <c r="Q32">
        <f t="shared" si="0"/>
        <v>280</v>
      </c>
      <c r="R32">
        <f t="shared" si="1"/>
        <v>0.7194244604316502</v>
      </c>
    </row>
    <row r="33" spans="1:18" hidden="1">
      <c r="A33" s="3440" t="s">
        <v>3604</v>
      </c>
      <c r="B33" s="3442">
        <v>32</v>
      </c>
      <c r="C33" s="3442">
        <v>38</v>
      </c>
      <c r="D33" s="3442">
        <v>10</v>
      </c>
      <c r="E33" s="3442">
        <v>2200</v>
      </c>
      <c r="F33" s="3442">
        <v>2709</v>
      </c>
      <c r="G33" s="3442">
        <v>3530</v>
      </c>
      <c r="H33" s="3442">
        <v>224</v>
      </c>
      <c r="I33" s="3442">
        <v>343</v>
      </c>
      <c r="J33" s="3442">
        <v>201</v>
      </c>
      <c r="K33" s="3442">
        <v>413</v>
      </c>
      <c r="L33" s="3442">
        <v>165</v>
      </c>
      <c r="Q33">
        <f t="shared" si="0"/>
        <v>413</v>
      </c>
      <c r="R33">
        <f t="shared" si="1"/>
        <v>0.48661800486617945</v>
      </c>
    </row>
    <row r="34" spans="1:18" hidden="1">
      <c r="A34" s="3440" t="s">
        <v>3605</v>
      </c>
      <c r="B34" s="3442">
        <v>41</v>
      </c>
      <c r="C34" s="3442">
        <v>43</v>
      </c>
      <c r="D34" s="3442">
        <v>6</v>
      </c>
      <c r="E34" s="3442">
        <v>2161</v>
      </c>
      <c r="F34" s="3442">
        <v>2862</v>
      </c>
      <c r="G34" s="3442">
        <v>2584</v>
      </c>
      <c r="H34" s="3442">
        <v>550</v>
      </c>
      <c r="I34" s="3442">
        <v>410.84</v>
      </c>
      <c r="J34" s="3442">
        <v>293.83999999999997</v>
      </c>
      <c r="K34" s="3442">
        <v>547.46</v>
      </c>
      <c r="L34" s="3442">
        <v>305.56</v>
      </c>
      <c r="Q34">
        <f t="shared" si="0"/>
        <v>547.46</v>
      </c>
      <c r="R34">
        <f t="shared" si="1"/>
        <v>0.82136279926334765</v>
      </c>
    </row>
    <row r="35" spans="1:18" hidden="1">
      <c r="A35" s="3440" t="s">
        <v>3606</v>
      </c>
      <c r="B35" s="3442">
        <v>34</v>
      </c>
      <c r="C35" s="3442">
        <v>40</v>
      </c>
      <c r="D35" s="3442">
        <v>9</v>
      </c>
      <c r="E35" s="3442">
        <v>2030</v>
      </c>
      <c r="F35" s="3442">
        <v>3464</v>
      </c>
      <c r="G35" s="3442">
        <v>2991</v>
      </c>
      <c r="H35" s="3442">
        <v>397</v>
      </c>
      <c r="I35" s="3442">
        <v>456</v>
      </c>
      <c r="J35" s="3442">
        <v>425</v>
      </c>
      <c r="K35" s="3442">
        <v>636</v>
      </c>
      <c r="L35" s="3442">
        <v>171</v>
      </c>
      <c r="Q35">
        <f t="shared" si="0"/>
        <v>636</v>
      </c>
      <c r="R35">
        <f t="shared" si="1"/>
        <v>0.3154574132492094</v>
      </c>
    </row>
    <row r="36" spans="1:18">
      <c r="Q36">
        <f t="shared" si="0"/>
        <v>0</v>
      </c>
    </row>
    <row r="37" spans="1:18">
      <c r="A37" s="3661" t="s">
        <v>3419</v>
      </c>
      <c r="B37" s="3661" t="s">
        <v>3594</v>
      </c>
      <c r="C37" s="3661"/>
      <c r="D37" s="3661"/>
      <c r="E37" s="3661" t="s">
        <v>3595</v>
      </c>
      <c r="F37" s="3661"/>
      <c r="G37" s="3661"/>
      <c r="H37" s="3661"/>
      <c r="I37" s="3661" t="s">
        <v>3596</v>
      </c>
      <c r="J37" s="3661"/>
      <c r="K37" s="3661"/>
      <c r="L37" s="3661"/>
      <c r="M37" s="2750" t="s">
        <v>3611</v>
      </c>
      <c r="Q37">
        <f t="shared" si="0"/>
        <v>0</v>
      </c>
    </row>
    <row r="38" spans="1:18">
      <c r="A38" s="3661"/>
      <c r="B38" s="3441" t="s">
        <v>3597</v>
      </c>
      <c r="C38" s="3441" t="s">
        <v>3598</v>
      </c>
      <c r="D38" s="3441" t="s">
        <v>2492</v>
      </c>
      <c r="E38" s="3441" t="s">
        <v>3599</v>
      </c>
      <c r="F38" s="3441" t="s">
        <v>3600</v>
      </c>
      <c r="G38" s="3441" t="s">
        <v>3601</v>
      </c>
      <c r="H38" s="3441" t="s">
        <v>3602</v>
      </c>
      <c r="I38" s="3441" t="s">
        <v>3599</v>
      </c>
      <c r="J38" s="3441" t="s">
        <v>3600</v>
      </c>
      <c r="K38" s="3441" t="s">
        <v>3601</v>
      </c>
      <c r="L38" s="3441" t="s">
        <v>3602</v>
      </c>
      <c r="Q38" t="str">
        <f t="shared" si="0"/>
        <v>居住地价</v>
      </c>
    </row>
    <row r="39" spans="1:18">
      <c r="A39" s="3440" t="s">
        <v>3603</v>
      </c>
      <c r="B39" s="3442">
        <v>99</v>
      </c>
      <c r="C39" s="3442">
        <v>91</v>
      </c>
      <c r="D39" s="3442">
        <v>20</v>
      </c>
      <c r="E39" s="3442">
        <v>15907</v>
      </c>
      <c r="F39" s="3442">
        <v>12959</v>
      </c>
      <c r="G39" s="3442">
        <v>18723</v>
      </c>
      <c r="H39" s="3442">
        <v>925</v>
      </c>
      <c r="I39" s="3442">
        <v>234</v>
      </c>
      <c r="J39" s="3442">
        <v>241</v>
      </c>
      <c r="K39" s="3442">
        <v>283</v>
      </c>
      <c r="L39" s="3442">
        <v>141</v>
      </c>
      <c r="Q39">
        <f t="shared" si="0"/>
        <v>283</v>
      </c>
      <c r="R39">
        <f t="shared" si="1"/>
        <v>1.0714285714285676</v>
      </c>
    </row>
    <row r="40" spans="1:18" hidden="1">
      <c r="A40" s="3440" t="s">
        <v>3604</v>
      </c>
      <c r="B40" s="3442">
        <v>32</v>
      </c>
      <c r="C40" s="3442">
        <v>38</v>
      </c>
      <c r="D40" s="3442">
        <v>10</v>
      </c>
      <c r="E40" s="3442">
        <v>2196</v>
      </c>
      <c r="F40" s="3442">
        <v>2697</v>
      </c>
      <c r="G40" s="3442">
        <v>3525</v>
      </c>
      <c r="H40" s="3442">
        <v>224</v>
      </c>
      <c r="I40" s="3442">
        <v>343</v>
      </c>
      <c r="J40" s="3442">
        <v>200</v>
      </c>
      <c r="K40" s="3442">
        <v>412</v>
      </c>
      <c r="L40" s="3442">
        <v>165</v>
      </c>
      <c r="Q40">
        <f t="shared" si="0"/>
        <v>412</v>
      </c>
      <c r="R40">
        <f t="shared" si="1"/>
        <v>-0.2421307506053294</v>
      </c>
    </row>
    <row r="41" spans="1:18" hidden="1">
      <c r="A41" s="3440" t="s">
        <v>3605</v>
      </c>
      <c r="B41" s="3442">
        <v>41</v>
      </c>
      <c r="C41" s="3442">
        <v>43</v>
      </c>
      <c r="D41" s="3442">
        <v>6</v>
      </c>
      <c r="E41" s="3442">
        <v>2180</v>
      </c>
      <c r="F41" s="3442">
        <v>2877</v>
      </c>
      <c r="G41" s="3442">
        <v>2613</v>
      </c>
      <c r="H41" s="3442">
        <v>552</v>
      </c>
      <c r="I41" s="3442">
        <v>414.45</v>
      </c>
      <c r="J41" s="3442">
        <v>295.38</v>
      </c>
      <c r="K41" s="3442">
        <v>553.6</v>
      </c>
      <c r="L41" s="3442">
        <v>306.67</v>
      </c>
      <c r="Q41">
        <f t="shared" si="0"/>
        <v>553.6</v>
      </c>
      <c r="R41">
        <f t="shared" si="1"/>
        <v>1.1215431264384623</v>
      </c>
    </row>
    <row r="42" spans="1:18" hidden="1">
      <c r="A42" s="3440" t="s">
        <v>3606</v>
      </c>
      <c r="B42" s="3442">
        <v>34</v>
      </c>
      <c r="C42" s="3442">
        <v>40</v>
      </c>
      <c r="D42" s="3442">
        <v>9</v>
      </c>
      <c r="E42" s="3442">
        <v>2039</v>
      </c>
      <c r="F42" s="3442">
        <v>3473</v>
      </c>
      <c r="G42" s="3442">
        <v>3010</v>
      </c>
      <c r="H42" s="3442">
        <v>397</v>
      </c>
      <c r="I42" s="3442">
        <v>458</v>
      </c>
      <c r="J42" s="3442">
        <v>426</v>
      </c>
      <c r="K42" s="3442">
        <v>640</v>
      </c>
      <c r="L42" s="3442">
        <v>171</v>
      </c>
      <c r="Q42">
        <f t="shared" si="0"/>
        <v>640</v>
      </c>
      <c r="R42">
        <f t="shared" si="1"/>
        <v>0.62893081761006275</v>
      </c>
    </row>
    <row r="43" spans="1:18">
      <c r="Q43">
        <f t="shared" si="0"/>
        <v>0</v>
      </c>
    </row>
    <row r="44" spans="1:18">
      <c r="A44" s="3661" t="s">
        <v>3419</v>
      </c>
      <c r="B44" s="3661" t="s">
        <v>3594</v>
      </c>
      <c r="C44" s="3661"/>
      <c r="D44" s="3661"/>
      <c r="E44" s="3661" t="s">
        <v>3595</v>
      </c>
      <c r="F44" s="3661"/>
      <c r="G44" s="3661"/>
      <c r="H44" s="3661"/>
      <c r="I44" s="3661" t="s">
        <v>3596</v>
      </c>
      <c r="J44" s="3661"/>
      <c r="K44" s="3661"/>
      <c r="L44" s="3661"/>
      <c r="M44" s="2750" t="s">
        <v>3612</v>
      </c>
      <c r="Q44">
        <f t="shared" si="0"/>
        <v>0</v>
      </c>
    </row>
    <row r="45" spans="1:18">
      <c r="A45" s="3661"/>
      <c r="B45" s="3441" t="s">
        <v>3597</v>
      </c>
      <c r="C45" s="3441" t="s">
        <v>3598</v>
      </c>
      <c r="D45" s="3441" t="s">
        <v>2492</v>
      </c>
      <c r="E45" s="3441" t="s">
        <v>3599</v>
      </c>
      <c r="F45" s="3441" t="s">
        <v>3600</v>
      </c>
      <c r="G45" s="3441" t="s">
        <v>3601</v>
      </c>
      <c r="H45" s="3441" t="s">
        <v>3602</v>
      </c>
      <c r="I45" s="3441" t="s">
        <v>3599</v>
      </c>
      <c r="J45" s="3441" t="s">
        <v>3600</v>
      </c>
      <c r="K45" s="3441" t="s">
        <v>3601</v>
      </c>
      <c r="L45" s="3441" t="s">
        <v>3602</v>
      </c>
      <c r="Q45" t="str">
        <f t="shared" si="0"/>
        <v>居住地价</v>
      </c>
    </row>
    <row r="46" spans="1:18">
      <c r="A46" s="3440" t="s">
        <v>3603</v>
      </c>
      <c r="B46" s="3442">
        <v>99</v>
      </c>
      <c r="C46" s="3442">
        <v>91</v>
      </c>
      <c r="D46" s="3442">
        <v>20</v>
      </c>
      <c r="E46" s="3442">
        <v>15753</v>
      </c>
      <c r="F46" s="3442">
        <v>13016</v>
      </c>
      <c r="G46" s="3442">
        <v>18483</v>
      </c>
      <c r="H46" s="3442">
        <v>925</v>
      </c>
      <c r="I46" s="3442">
        <v>231</v>
      </c>
      <c r="J46" s="3442">
        <v>242</v>
      </c>
      <c r="K46" s="3442">
        <v>280</v>
      </c>
      <c r="L46" s="3442">
        <v>141</v>
      </c>
      <c r="Q46">
        <f t="shared" si="0"/>
        <v>280</v>
      </c>
      <c r="R46">
        <f t="shared" si="1"/>
        <v>-1.0600706713780883</v>
      </c>
    </row>
    <row r="47" spans="1:18" hidden="1">
      <c r="A47" s="3440" t="s">
        <v>3604</v>
      </c>
      <c r="B47" s="3442">
        <v>32</v>
      </c>
      <c r="C47" s="3442">
        <v>38</v>
      </c>
      <c r="D47" s="3442">
        <v>10</v>
      </c>
      <c r="E47" s="3442">
        <v>2191</v>
      </c>
      <c r="F47" s="3442">
        <v>2684</v>
      </c>
      <c r="G47" s="3442">
        <v>3519</v>
      </c>
      <c r="H47" s="3442">
        <v>224</v>
      </c>
      <c r="I47" s="3442">
        <v>342</v>
      </c>
      <c r="J47" s="3442">
        <v>199</v>
      </c>
      <c r="K47" s="3442">
        <v>412</v>
      </c>
      <c r="L47" s="3442">
        <v>165</v>
      </c>
      <c r="Q47">
        <f t="shared" si="0"/>
        <v>412</v>
      </c>
      <c r="R47">
        <f t="shared" si="1"/>
        <v>0</v>
      </c>
    </row>
    <row r="48" spans="1:18" hidden="1">
      <c r="A48" s="3440" t="s">
        <v>3605</v>
      </c>
      <c r="B48" s="3442">
        <v>41</v>
      </c>
      <c r="C48" s="3442">
        <v>43</v>
      </c>
      <c r="D48" s="3442">
        <v>6</v>
      </c>
      <c r="E48" s="3442">
        <v>2186</v>
      </c>
      <c r="F48" s="3442">
        <v>2880</v>
      </c>
      <c r="G48" s="3442">
        <v>2623</v>
      </c>
      <c r="H48" s="3442">
        <v>553</v>
      </c>
      <c r="I48" s="3442">
        <v>415.59</v>
      </c>
      <c r="J48" s="3442">
        <v>295.69</v>
      </c>
      <c r="K48" s="3442">
        <v>555.72</v>
      </c>
      <c r="L48" s="3442">
        <v>307.22000000000003</v>
      </c>
      <c r="Q48">
        <f t="shared" si="0"/>
        <v>555.72</v>
      </c>
      <c r="R48">
        <f t="shared" si="1"/>
        <v>0.38294797687861148</v>
      </c>
    </row>
    <row r="49" spans="1:18" hidden="1">
      <c r="A49" s="3440" t="s">
        <v>3606</v>
      </c>
      <c r="B49" s="3442">
        <v>34</v>
      </c>
      <c r="C49" s="3442">
        <v>40</v>
      </c>
      <c r="D49" s="3442">
        <v>9</v>
      </c>
      <c r="E49" s="3442">
        <v>2022</v>
      </c>
      <c r="F49" s="3442">
        <v>3454</v>
      </c>
      <c r="G49" s="3442">
        <v>2977</v>
      </c>
      <c r="H49" s="3442">
        <v>397</v>
      </c>
      <c r="I49" s="3442">
        <v>454</v>
      </c>
      <c r="J49" s="3442">
        <v>424</v>
      </c>
      <c r="K49" s="3442">
        <v>633</v>
      </c>
      <c r="L49" s="3442">
        <v>171</v>
      </c>
      <c r="Q49">
        <f t="shared" si="0"/>
        <v>633</v>
      </c>
      <c r="R49">
        <f t="shared" si="1"/>
        <v>-1.0937500000000044</v>
      </c>
    </row>
    <row r="50" spans="1:18">
      <c r="Q50">
        <f t="shared" si="0"/>
        <v>0</v>
      </c>
    </row>
    <row r="51" spans="1:18">
      <c r="A51" s="3661" t="s">
        <v>3419</v>
      </c>
      <c r="B51" s="3661" t="s">
        <v>3594</v>
      </c>
      <c r="C51" s="3661"/>
      <c r="D51" s="3661"/>
      <c r="E51" s="3661" t="s">
        <v>3595</v>
      </c>
      <c r="F51" s="3661"/>
      <c r="G51" s="3661"/>
      <c r="H51" s="3661"/>
      <c r="I51" s="3661" t="s">
        <v>3596</v>
      </c>
      <c r="J51" s="3661"/>
      <c r="K51" s="3661"/>
      <c r="L51" s="3661"/>
      <c r="M51" s="2750" t="s">
        <v>3613</v>
      </c>
      <c r="Q51">
        <f t="shared" si="0"/>
        <v>0</v>
      </c>
    </row>
    <row r="52" spans="1:18">
      <c r="A52" s="3661"/>
      <c r="B52" s="3441" t="s">
        <v>3597</v>
      </c>
      <c r="C52" s="3441" t="s">
        <v>3598</v>
      </c>
      <c r="D52" s="3441" t="s">
        <v>2492</v>
      </c>
      <c r="E52" s="3441" t="s">
        <v>3599</v>
      </c>
      <c r="F52" s="3441" t="s">
        <v>3600</v>
      </c>
      <c r="G52" s="3441" t="s">
        <v>3601</v>
      </c>
      <c r="H52" s="3441" t="s">
        <v>3602</v>
      </c>
      <c r="I52" s="3441" t="s">
        <v>3599</v>
      </c>
      <c r="J52" s="3441" t="s">
        <v>3600</v>
      </c>
      <c r="K52" s="3441" t="s">
        <v>3601</v>
      </c>
      <c r="L52" s="3441" t="s">
        <v>3602</v>
      </c>
      <c r="Q52" t="str">
        <f t="shared" si="0"/>
        <v>居住地价</v>
      </c>
    </row>
    <row r="53" spans="1:18">
      <c r="A53" s="3440" t="s">
        <v>3603</v>
      </c>
      <c r="B53" s="3442">
        <v>99</v>
      </c>
      <c r="C53" s="3442">
        <v>91</v>
      </c>
      <c r="D53" s="3442">
        <v>20</v>
      </c>
      <c r="E53" s="3442">
        <v>15522</v>
      </c>
      <c r="F53" s="3442">
        <v>12973</v>
      </c>
      <c r="G53" s="3442">
        <v>18161</v>
      </c>
      <c r="H53" s="3442">
        <v>933</v>
      </c>
      <c r="I53" s="3442">
        <v>228</v>
      </c>
      <c r="J53" s="3442">
        <v>242</v>
      </c>
      <c r="K53" s="3442">
        <v>275</v>
      </c>
      <c r="L53" s="3442">
        <v>142</v>
      </c>
      <c r="Q53">
        <f t="shared" si="0"/>
        <v>275</v>
      </c>
      <c r="R53">
        <f t="shared" si="1"/>
        <v>-1.7857142857142905</v>
      </c>
    </row>
    <row r="54" spans="1:18" hidden="1">
      <c r="A54" s="3440" t="s">
        <v>3604</v>
      </c>
      <c r="B54" s="3442">
        <v>32</v>
      </c>
      <c r="C54" s="3442">
        <v>38</v>
      </c>
      <c r="D54" s="3442">
        <v>10</v>
      </c>
      <c r="E54" s="3442">
        <v>2190</v>
      </c>
      <c r="F54" s="3442">
        <v>2689</v>
      </c>
      <c r="G54" s="3442">
        <v>3516</v>
      </c>
      <c r="H54" s="3442">
        <v>224</v>
      </c>
      <c r="I54" s="3442">
        <v>342</v>
      </c>
      <c r="J54" s="3442">
        <v>199</v>
      </c>
      <c r="K54" s="3442">
        <v>411</v>
      </c>
      <c r="L54" s="3442">
        <v>165</v>
      </c>
      <c r="Q54">
        <f t="shared" si="0"/>
        <v>411</v>
      </c>
      <c r="R54">
        <f t="shared" si="1"/>
        <v>-0.24271844660194164</v>
      </c>
    </row>
    <row r="55" spans="1:18" hidden="1">
      <c r="A55" s="3440" t="s">
        <v>3605</v>
      </c>
      <c r="B55" s="3442">
        <v>41</v>
      </c>
      <c r="C55" s="3442">
        <v>43</v>
      </c>
      <c r="D55" s="3442">
        <v>6</v>
      </c>
      <c r="E55" s="3442">
        <v>2195</v>
      </c>
      <c r="F55" s="3442">
        <v>2877</v>
      </c>
      <c r="G55" s="3442">
        <v>2644</v>
      </c>
      <c r="H55" s="3442">
        <v>553</v>
      </c>
      <c r="I55" s="3442">
        <v>417</v>
      </c>
      <c r="J55" s="3442">
        <v>295</v>
      </c>
      <c r="K55" s="3442">
        <v>561</v>
      </c>
      <c r="L55" s="3442">
        <v>307</v>
      </c>
      <c r="Q55">
        <f t="shared" si="0"/>
        <v>561</v>
      </c>
      <c r="R55">
        <f t="shared" si="1"/>
        <v>0.95011876484560887</v>
      </c>
    </row>
    <row r="56" spans="1:18" hidden="1">
      <c r="A56" s="3440" t="s">
        <v>3606</v>
      </c>
      <c r="B56" s="3442">
        <v>34</v>
      </c>
      <c r="C56" s="3442">
        <v>40</v>
      </c>
      <c r="D56" s="3442">
        <v>9</v>
      </c>
      <c r="E56" s="3442">
        <v>2020</v>
      </c>
      <c r="F56" s="3442">
        <v>3461</v>
      </c>
      <c r="G56" s="3442">
        <v>2967</v>
      </c>
      <c r="H56" s="3442">
        <v>397</v>
      </c>
      <c r="I56" s="3442">
        <v>454</v>
      </c>
      <c r="J56" s="3442">
        <v>425</v>
      </c>
      <c r="K56" s="3442">
        <v>631</v>
      </c>
      <c r="L56" s="3442">
        <v>171</v>
      </c>
      <c r="Q56">
        <f t="shared" si="0"/>
        <v>631</v>
      </c>
      <c r="R56">
        <f t="shared" si="1"/>
        <v>-0.31595576619273258</v>
      </c>
    </row>
    <row r="57" spans="1:18">
      <c r="Q57">
        <f t="shared" si="0"/>
        <v>0</v>
      </c>
    </row>
    <row r="58" spans="1:18">
      <c r="A58" s="3661" t="s">
        <v>3419</v>
      </c>
      <c r="B58" s="3661" t="s">
        <v>3594</v>
      </c>
      <c r="C58" s="3661"/>
      <c r="D58" s="3661"/>
      <c r="E58" s="3661" t="s">
        <v>3595</v>
      </c>
      <c r="F58" s="3661"/>
      <c r="G58" s="3661"/>
      <c r="H58" s="3661"/>
      <c r="I58" s="3661" t="s">
        <v>3596</v>
      </c>
      <c r="J58" s="3661"/>
      <c r="K58" s="3661"/>
      <c r="L58" s="3661"/>
      <c r="M58" s="2750" t="s">
        <v>3615</v>
      </c>
      <c r="Q58">
        <f t="shared" si="0"/>
        <v>0</v>
      </c>
    </row>
    <row r="59" spans="1:18">
      <c r="A59" s="3661"/>
      <c r="B59" s="3441" t="s">
        <v>3597</v>
      </c>
      <c r="C59" s="3441" t="s">
        <v>3598</v>
      </c>
      <c r="D59" s="3441" t="s">
        <v>2492</v>
      </c>
      <c r="E59" s="3441" t="s">
        <v>3599</v>
      </c>
      <c r="F59" s="3441" t="s">
        <v>3600</v>
      </c>
      <c r="G59" s="3441" t="s">
        <v>3601</v>
      </c>
      <c r="H59" s="3441" t="s">
        <v>3602</v>
      </c>
      <c r="I59" s="3441" t="s">
        <v>3599</v>
      </c>
      <c r="J59" s="3441" t="s">
        <v>3600</v>
      </c>
      <c r="K59" s="3441" t="s">
        <v>3601</v>
      </c>
      <c r="L59" s="3441" t="s">
        <v>3602</v>
      </c>
      <c r="Q59" t="str">
        <f t="shared" si="0"/>
        <v>居住地价</v>
      </c>
    </row>
    <row r="60" spans="1:18">
      <c r="A60" s="3440" t="s">
        <v>3603</v>
      </c>
      <c r="B60" s="3442">
        <v>180</v>
      </c>
      <c r="C60" s="3442">
        <v>178</v>
      </c>
      <c r="D60" s="3442">
        <v>38</v>
      </c>
      <c r="E60" s="3442">
        <v>16237</v>
      </c>
      <c r="F60" s="3442">
        <v>11796</v>
      </c>
      <c r="G60" s="3442">
        <v>23577</v>
      </c>
      <c r="H60" s="3442">
        <v>741</v>
      </c>
      <c r="I60" s="3442">
        <v>228</v>
      </c>
      <c r="J60" s="3442">
        <v>242</v>
      </c>
      <c r="K60" s="3442">
        <v>274</v>
      </c>
      <c r="L60" s="3442">
        <v>150</v>
      </c>
      <c r="Q60">
        <f t="shared" si="0"/>
        <v>274</v>
      </c>
      <c r="R60">
        <f t="shared" si="1"/>
        <v>-0.36363636363636598</v>
      </c>
    </row>
    <row r="61" spans="1:18" hidden="1">
      <c r="A61" s="3440" t="s">
        <v>3604</v>
      </c>
      <c r="B61" s="3442">
        <v>33</v>
      </c>
      <c r="C61" s="3442">
        <v>30</v>
      </c>
      <c r="D61" s="3442">
        <v>17</v>
      </c>
      <c r="E61" s="3442">
        <v>3386</v>
      </c>
      <c r="F61" s="3442">
        <v>2621</v>
      </c>
      <c r="G61" s="3442">
        <v>5234</v>
      </c>
      <c r="H61" s="3442">
        <v>310</v>
      </c>
      <c r="I61" s="3442">
        <v>337</v>
      </c>
      <c r="J61" s="3442">
        <v>192</v>
      </c>
      <c r="K61" s="3442">
        <v>407</v>
      </c>
      <c r="L61" s="3442">
        <v>164</v>
      </c>
      <c r="Q61">
        <f t="shared" si="0"/>
        <v>407</v>
      </c>
      <c r="R61">
        <f t="shared" si="1"/>
        <v>-0.97323600973235891</v>
      </c>
    </row>
    <row r="62" spans="1:18" hidden="1">
      <c r="A62" s="3440" t="s">
        <v>3605</v>
      </c>
      <c r="B62" s="3442">
        <v>39</v>
      </c>
      <c r="C62" s="3442">
        <v>47</v>
      </c>
      <c r="D62" s="3442">
        <v>8</v>
      </c>
      <c r="E62" s="3442">
        <v>3630</v>
      </c>
      <c r="F62" s="3442">
        <v>3753</v>
      </c>
      <c r="G62" s="3442">
        <v>4632</v>
      </c>
      <c r="H62" s="3442">
        <v>132</v>
      </c>
      <c r="I62" s="3442">
        <v>416</v>
      </c>
      <c r="J62" s="3442">
        <v>296</v>
      </c>
      <c r="K62" s="3442">
        <v>559</v>
      </c>
      <c r="L62" s="3442">
        <v>302</v>
      </c>
      <c r="Q62">
        <f t="shared" si="0"/>
        <v>559</v>
      </c>
      <c r="R62">
        <f t="shared" si="1"/>
        <v>-0.35650623885917776</v>
      </c>
    </row>
    <row r="63" spans="1:18" hidden="1">
      <c r="A63" s="3440" t="s">
        <v>3606</v>
      </c>
      <c r="B63" s="3442">
        <v>32</v>
      </c>
      <c r="C63" s="3442">
        <v>38</v>
      </c>
      <c r="D63" s="3442">
        <v>13</v>
      </c>
      <c r="E63" s="3442">
        <v>3047</v>
      </c>
      <c r="F63" s="3442">
        <v>3669</v>
      </c>
      <c r="G63" s="3442">
        <v>4653</v>
      </c>
      <c r="H63" s="3442">
        <v>361</v>
      </c>
      <c r="I63" s="3442">
        <v>458</v>
      </c>
      <c r="J63" s="3442">
        <v>424</v>
      </c>
      <c r="K63" s="3442">
        <v>638</v>
      </c>
      <c r="L63" s="3442">
        <v>170</v>
      </c>
      <c r="Q63">
        <f t="shared" si="0"/>
        <v>638</v>
      </c>
      <c r="R63">
        <f t="shared" si="1"/>
        <v>1.1093502377178988</v>
      </c>
    </row>
    <row r="64" spans="1:18">
      <c r="Q64">
        <f t="shared" si="0"/>
        <v>0</v>
      </c>
    </row>
    <row r="65" spans="1:18">
      <c r="A65" s="3661" t="s">
        <v>3419</v>
      </c>
      <c r="B65" s="3661" t="s">
        <v>3594</v>
      </c>
      <c r="C65" s="3661"/>
      <c r="D65" s="3661"/>
      <c r="E65" s="3661" t="s">
        <v>3595</v>
      </c>
      <c r="F65" s="3661"/>
      <c r="G65" s="3661"/>
      <c r="H65" s="3661"/>
      <c r="I65" s="3661" t="s">
        <v>3596</v>
      </c>
      <c r="J65" s="3661"/>
      <c r="K65" s="3661"/>
      <c r="L65" s="3661"/>
      <c r="M65" t="s">
        <v>3616</v>
      </c>
      <c r="Q65">
        <f t="shared" si="0"/>
        <v>0</v>
      </c>
    </row>
    <row r="66" spans="1:18">
      <c r="A66" s="3661"/>
      <c r="B66" s="3441" t="s">
        <v>3597</v>
      </c>
      <c r="C66" s="3441" t="s">
        <v>3598</v>
      </c>
      <c r="D66" s="3441" t="s">
        <v>2492</v>
      </c>
      <c r="E66" s="3441" t="s">
        <v>3599</v>
      </c>
      <c r="F66" s="3441" t="s">
        <v>3600</v>
      </c>
      <c r="G66" s="3441" t="s">
        <v>3601</v>
      </c>
      <c r="H66" s="3441" t="s">
        <v>3602</v>
      </c>
      <c r="I66" s="3441" t="s">
        <v>3599</v>
      </c>
      <c r="J66" s="3441" t="s">
        <v>3600</v>
      </c>
      <c r="K66" s="3441" t="s">
        <v>3601</v>
      </c>
      <c r="L66" s="3441" t="s">
        <v>3602</v>
      </c>
      <c r="Q66" t="str">
        <f t="shared" si="0"/>
        <v>居住地价</v>
      </c>
    </row>
    <row r="67" spans="1:18">
      <c r="A67" s="3440" t="s">
        <v>3603</v>
      </c>
      <c r="B67" s="3442">
        <v>180</v>
      </c>
      <c r="C67" s="3442">
        <v>178</v>
      </c>
      <c r="D67" s="3442">
        <v>38</v>
      </c>
      <c r="E67" s="3442">
        <v>15996</v>
      </c>
      <c r="F67" s="3442">
        <v>11654</v>
      </c>
      <c r="G67" s="3442">
        <v>23225</v>
      </c>
      <c r="H67" s="3442">
        <v>713</v>
      </c>
      <c r="I67" s="3442">
        <v>225</v>
      </c>
      <c r="J67" s="3442">
        <v>239</v>
      </c>
      <c r="K67" s="3442">
        <v>270</v>
      </c>
      <c r="L67" s="3442">
        <v>144</v>
      </c>
      <c r="Q67">
        <f t="shared" si="0"/>
        <v>270</v>
      </c>
      <c r="R67">
        <f t="shared" si="1"/>
        <v>-1.4598540145985384</v>
      </c>
    </row>
    <row r="68" spans="1:18" hidden="1">
      <c r="A68" s="3440" t="s">
        <v>3604</v>
      </c>
      <c r="B68" s="3442">
        <v>33</v>
      </c>
      <c r="C68" s="3442">
        <v>30</v>
      </c>
      <c r="D68" s="3442">
        <v>17</v>
      </c>
      <c r="E68" s="3442">
        <v>3402</v>
      </c>
      <c r="F68" s="3442">
        <v>2613</v>
      </c>
      <c r="G68" s="3442">
        <v>5261</v>
      </c>
      <c r="H68" s="3442">
        <v>313</v>
      </c>
      <c r="I68" s="3442">
        <v>339</v>
      </c>
      <c r="J68" s="3442">
        <v>197</v>
      </c>
      <c r="K68" s="3442">
        <v>408</v>
      </c>
      <c r="L68" s="3442">
        <v>166</v>
      </c>
      <c r="Q68">
        <f t="shared" si="0"/>
        <v>408</v>
      </c>
      <c r="R68">
        <f t="shared" si="1"/>
        <v>0.24570024570025328</v>
      </c>
    </row>
    <row r="69" spans="1:18" hidden="1">
      <c r="A69" s="3440" t="s">
        <v>3605</v>
      </c>
      <c r="B69" s="3442">
        <v>39</v>
      </c>
      <c r="C69" s="3442">
        <v>47</v>
      </c>
      <c r="D69" s="3442">
        <v>8</v>
      </c>
      <c r="E69" s="3442">
        <v>3575</v>
      </c>
      <c r="F69" s="3442">
        <v>3739</v>
      </c>
      <c r="G69" s="3442">
        <v>4557</v>
      </c>
      <c r="H69" s="3442">
        <v>132</v>
      </c>
      <c r="I69" s="3442">
        <v>409</v>
      </c>
      <c r="J69" s="3442">
        <v>294</v>
      </c>
      <c r="K69" s="3442">
        <v>549</v>
      </c>
      <c r="L69" s="3442">
        <v>302</v>
      </c>
      <c r="Q69">
        <f t="shared" ref="Q69:Q100" si="2">K69</f>
        <v>549</v>
      </c>
      <c r="R69">
        <f t="shared" si="1"/>
        <v>-1.7889087656529523</v>
      </c>
    </row>
    <row r="70" spans="1:18" hidden="1">
      <c r="A70" s="3440" t="s">
        <v>3606</v>
      </c>
      <c r="B70" s="3442">
        <v>32</v>
      </c>
      <c r="C70" s="3442">
        <v>38</v>
      </c>
      <c r="D70" s="3442">
        <v>13</v>
      </c>
      <c r="E70" s="3442">
        <v>2997</v>
      </c>
      <c r="F70" s="3442">
        <v>3626</v>
      </c>
      <c r="G70" s="3442">
        <v>4573</v>
      </c>
      <c r="H70" s="3442">
        <v>355</v>
      </c>
      <c r="I70" s="3442">
        <v>438</v>
      </c>
      <c r="J70" s="3442">
        <v>419</v>
      </c>
      <c r="K70" s="3442">
        <v>606</v>
      </c>
      <c r="L70" s="3442">
        <v>171</v>
      </c>
      <c r="Q70">
        <f t="shared" si="2"/>
        <v>606</v>
      </c>
      <c r="R70">
        <f t="shared" si="1"/>
        <v>-5.0156739811912265</v>
      </c>
    </row>
    <row r="71" spans="1:18">
      <c r="Q71">
        <f t="shared" si="2"/>
        <v>0</v>
      </c>
    </row>
    <row r="72" spans="1:18">
      <c r="A72" s="3661" t="s">
        <v>3419</v>
      </c>
      <c r="B72" s="3661" t="s">
        <v>3594</v>
      </c>
      <c r="C72" s="3661"/>
      <c r="D72" s="3661"/>
      <c r="E72" s="3661" t="s">
        <v>3595</v>
      </c>
      <c r="F72" s="3661"/>
      <c r="G72" s="3661"/>
      <c r="H72" s="3661"/>
      <c r="I72" s="3661" t="s">
        <v>3596</v>
      </c>
      <c r="J72" s="3661"/>
      <c r="K72" s="3661"/>
      <c r="L72" s="3661"/>
      <c r="M72" s="2750" t="s">
        <v>3617</v>
      </c>
      <c r="Q72">
        <f t="shared" si="2"/>
        <v>0</v>
      </c>
    </row>
    <row r="73" spans="1:18">
      <c r="A73" s="3661"/>
      <c r="B73" s="3441" t="s">
        <v>3597</v>
      </c>
      <c r="C73" s="3441" t="s">
        <v>3598</v>
      </c>
      <c r="D73" s="3441" t="s">
        <v>2492</v>
      </c>
      <c r="E73" s="3441" t="s">
        <v>3599</v>
      </c>
      <c r="F73" s="3441" t="s">
        <v>3600</v>
      </c>
      <c r="G73" s="3441" t="s">
        <v>3601</v>
      </c>
      <c r="H73" s="3441" t="s">
        <v>3602</v>
      </c>
      <c r="I73" s="3441" t="s">
        <v>3599</v>
      </c>
      <c r="J73" s="3441" t="s">
        <v>3600</v>
      </c>
      <c r="K73" s="3441" t="s">
        <v>3601</v>
      </c>
      <c r="L73" s="3441" t="s">
        <v>3602</v>
      </c>
      <c r="Q73" t="str">
        <f t="shared" si="2"/>
        <v>居住地价</v>
      </c>
    </row>
    <row r="74" spans="1:18">
      <c r="A74" s="3440" t="s">
        <v>3603</v>
      </c>
      <c r="B74" s="3444">
        <v>180</v>
      </c>
      <c r="C74" s="3444">
        <v>178</v>
      </c>
      <c r="D74" s="3444">
        <v>38</v>
      </c>
      <c r="E74" s="3444">
        <v>15829</v>
      </c>
      <c r="F74" s="3444">
        <v>11613</v>
      </c>
      <c r="G74" s="3444">
        <v>22947</v>
      </c>
      <c r="H74" s="3444">
        <v>741</v>
      </c>
      <c r="I74" s="3444">
        <v>223</v>
      </c>
      <c r="J74" s="3444">
        <v>238</v>
      </c>
      <c r="K74" s="3444">
        <v>267</v>
      </c>
      <c r="L74" s="3444">
        <v>150</v>
      </c>
      <c r="Q74">
        <f t="shared" si="2"/>
        <v>267</v>
      </c>
      <c r="R74">
        <f t="shared" si="1"/>
        <v>-1.1111111111111072</v>
      </c>
    </row>
    <row r="75" spans="1:18" hidden="1">
      <c r="A75" s="3440" t="s">
        <v>3604</v>
      </c>
      <c r="B75" s="3444">
        <v>33</v>
      </c>
      <c r="C75" s="3444">
        <v>30</v>
      </c>
      <c r="D75" s="3444">
        <v>17</v>
      </c>
      <c r="E75" s="3444">
        <v>3398</v>
      </c>
      <c r="F75" s="3444">
        <v>2609</v>
      </c>
      <c r="G75" s="3444">
        <v>5251</v>
      </c>
      <c r="H75" s="3444">
        <v>321</v>
      </c>
      <c r="I75" s="3444">
        <v>339</v>
      </c>
      <c r="J75" s="3444">
        <v>196</v>
      </c>
      <c r="K75" s="3444">
        <v>408</v>
      </c>
      <c r="L75" s="3444">
        <v>170</v>
      </c>
      <c r="Q75">
        <f t="shared" si="2"/>
        <v>408</v>
      </c>
      <c r="R75">
        <f t="shared" si="1"/>
        <v>0</v>
      </c>
    </row>
    <row r="76" spans="1:18" hidden="1">
      <c r="A76" s="3440" t="s">
        <v>3605</v>
      </c>
      <c r="B76" s="3444">
        <v>39</v>
      </c>
      <c r="C76" s="3444">
        <v>47</v>
      </c>
      <c r="D76" s="3444">
        <v>8</v>
      </c>
      <c r="E76" s="3444">
        <v>3477</v>
      </c>
      <c r="F76" s="3444">
        <v>3701</v>
      </c>
      <c r="G76" s="3444">
        <v>4422</v>
      </c>
      <c r="H76" s="3444">
        <v>132</v>
      </c>
      <c r="I76" s="3444">
        <v>398</v>
      </c>
      <c r="J76" s="3444">
        <v>291</v>
      </c>
      <c r="K76" s="3444">
        <v>533</v>
      </c>
      <c r="L76" s="3444">
        <v>302</v>
      </c>
      <c r="Q76">
        <f t="shared" si="2"/>
        <v>533</v>
      </c>
      <c r="R76">
        <f t="shared" ref="R76:R98" si="3">(Q76/Q69-1)*100</f>
        <v>-2.9143897996356971</v>
      </c>
    </row>
    <row r="77" spans="1:18" hidden="1">
      <c r="A77" s="3440" t="s">
        <v>3606</v>
      </c>
      <c r="B77" s="3444">
        <v>32</v>
      </c>
      <c r="C77" s="3444">
        <v>38</v>
      </c>
      <c r="D77" s="3444">
        <v>13</v>
      </c>
      <c r="E77" s="3444">
        <v>2959</v>
      </c>
      <c r="F77" s="3444">
        <v>3592</v>
      </c>
      <c r="G77" s="3444">
        <v>4511</v>
      </c>
      <c r="H77" s="3444">
        <v>355</v>
      </c>
      <c r="I77" s="3444">
        <v>432</v>
      </c>
      <c r="J77" s="3444">
        <v>415</v>
      </c>
      <c r="K77" s="3444">
        <v>598</v>
      </c>
      <c r="L77" s="3444">
        <v>171</v>
      </c>
      <c r="Q77">
        <f t="shared" si="2"/>
        <v>598</v>
      </c>
      <c r="R77">
        <f t="shared" si="3"/>
        <v>-1.320132013201325</v>
      </c>
    </row>
    <row r="78" spans="1:18">
      <c r="Q78">
        <f t="shared" si="2"/>
        <v>0</v>
      </c>
    </row>
    <row r="79" spans="1:18">
      <c r="A79" s="3661" t="s">
        <v>3419</v>
      </c>
      <c r="B79" s="3661" t="s">
        <v>3594</v>
      </c>
      <c r="C79" s="3661"/>
      <c r="D79" s="3661"/>
      <c r="E79" s="3661" t="s">
        <v>3595</v>
      </c>
      <c r="F79" s="3661"/>
      <c r="G79" s="3661"/>
      <c r="H79" s="3661"/>
      <c r="I79" s="3661" t="s">
        <v>3596</v>
      </c>
      <c r="J79" s="3661"/>
      <c r="K79" s="3661"/>
      <c r="L79" s="3661"/>
      <c r="M79" s="2750" t="s">
        <v>3614</v>
      </c>
      <c r="Q79">
        <f t="shared" si="2"/>
        <v>0</v>
      </c>
    </row>
    <row r="80" spans="1:18">
      <c r="A80" s="3661"/>
      <c r="B80" s="3441" t="s">
        <v>3597</v>
      </c>
      <c r="C80" s="3441" t="s">
        <v>3598</v>
      </c>
      <c r="D80" s="3441" t="s">
        <v>2492</v>
      </c>
      <c r="E80" s="3441" t="s">
        <v>3599</v>
      </c>
      <c r="F80" s="3441" t="s">
        <v>3600</v>
      </c>
      <c r="G80" s="3441" t="s">
        <v>3601</v>
      </c>
      <c r="H80" s="3441" t="s">
        <v>3602</v>
      </c>
      <c r="I80" s="3441" t="s">
        <v>3599</v>
      </c>
      <c r="J80" s="3441" t="s">
        <v>3600</v>
      </c>
      <c r="K80" s="3441" t="s">
        <v>3601</v>
      </c>
      <c r="L80" s="3441" t="s">
        <v>3602</v>
      </c>
      <c r="Q80" t="str">
        <f t="shared" si="2"/>
        <v>居住地价</v>
      </c>
    </row>
    <row r="81" spans="1:18">
      <c r="A81" s="3440" t="s">
        <v>3603</v>
      </c>
      <c r="B81" s="3444">
        <v>180</v>
      </c>
      <c r="C81" s="3444">
        <v>178</v>
      </c>
      <c r="D81" s="3444">
        <v>38</v>
      </c>
      <c r="E81" s="3444">
        <v>15770</v>
      </c>
      <c r="F81" s="3444">
        <v>11499</v>
      </c>
      <c r="G81" s="3444">
        <v>22878</v>
      </c>
      <c r="H81" s="3444">
        <v>742</v>
      </c>
      <c r="I81" s="3444">
        <v>222</v>
      </c>
      <c r="J81" s="3444">
        <v>236</v>
      </c>
      <c r="K81" s="3444">
        <v>266</v>
      </c>
      <c r="L81" s="3444">
        <v>150</v>
      </c>
      <c r="Q81">
        <f t="shared" si="2"/>
        <v>266</v>
      </c>
      <c r="R81">
        <f t="shared" si="3"/>
        <v>-0.37453183520599342</v>
      </c>
    </row>
    <row r="82" spans="1:18" hidden="1">
      <c r="A82" s="3440" t="s">
        <v>3604</v>
      </c>
      <c r="B82" s="3444">
        <v>33</v>
      </c>
      <c r="C82" s="3444">
        <v>30</v>
      </c>
      <c r="D82" s="3444">
        <v>17</v>
      </c>
      <c r="E82" s="3444">
        <v>3387</v>
      </c>
      <c r="F82" s="3444">
        <v>2610</v>
      </c>
      <c r="G82" s="3444">
        <v>5230</v>
      </c>
      <c r="H82" s="3444">
        <v>324</v>
      </c>
      <c r="I82" s="3444">
        <v>338</v>
      </c>
      <c r="J82" s="3444">
        <v>197</v>
      </c>
      <c r="K82" s="3444">
        <v>406</v>
      </c>
      <c r="L82" s="3444">
        <v>171</v>
      </c>
      <c r="Q82">
        <f t="shared" si="2"/>
        <v>406</v>
      </c>
      <c r="R82">
        <f t="shared" si="3"/>
        <v>-0.49019607843137081</v>
      </c>
    </row>
    <row r="83" spans="1:18" hidden="1">
      <c r="A83" s="3440" t="s">
        <v>3605</v>
      </c>
      <c r="B83" s="3444">
        <v>39</v>
      </c>
      <c r="C83" s="3444">
        <v>47</v>
      </c>
      <c r="D83" s="3444">
        <v>8</v>
      </c>
      <c r="E83" s="3444">
        <v>3436</v>
      </c>
      <c r="F83" s="3444">
        <v>3670</v>
      </c>
      <c r="G83" s="3444">
        <v>4368</v>
      </c>
      <c r="H83" s="3444">
        <v>132</v>
      </c>
      <c r="I83" s="3444">
        <v>393</v>
      </c>
      <c r="J83" s="3444">
        <v>289</v>
      </c>
      <c r="K83" s="3444">
        <v>526</v>
      </c>
      <c r="L83" s="3444">
        <v>302</v>
      </c>
      <c r="Q83">
        <f t="shared" si="2"/>
        <v>526</v>
      </c>
      <c r="R83">
        <f t="shared" si="3"/>
        <v>-1.3133208255159512</v>
      </c>
    </row>
    <row r="84" spans="1:18" hidden="1">
      <c r="A84" s="3440" t="s">
        <v>3606</v>
      </c>
      <c r="B84" s="3444">
        <v>32</v>
      </c>
      <c r="C84" s="3444">
        <v>38</v>
      </c>
      <c r="D84" s="3444">
        <v>13</v>
      </c>
      <c r="E84" s="3444">
        <v>2909</v>
      </c>
      <c r="F84" s="3444">
        <v>3498</v>
      </c>
      <c r="G84" s="3444">
        <v>4432</v>
      </c>
      <c r="H84" s="3444">
        <v>362</v>
      </c>
      <c r="I84" s="3445">
        <v>425</v>
      </c>
      <c r="J84" s="3445">
        <v>404</v>
      </c>
      <c r="K84" s="3445">
        <v>588</v>
      </c>
      <c r="L84" s="3445">
        <v>175</v>
      </c>
      <c r="Q84">
        <f t="shared" si="2"/>
        <v>588</v>
      </c>
      <c r="R84">
        <f t="shared" si="3"/>
        <v>-1.6722408026755842</v>
      </c>
    </row>
    <row r="85" spans="1:18">
      <c r="Q85">
        <f t="shared" si="2"/>
        <v>0</v>
      </c>
    </row>
    <row r="86" spans="1:18">
      <c r="A86" s="3661" t="s">
        <v>3419</v>
      </c>
      <c r="B86" s="3661" t="s">
        <v>3594</v>
      </c>
      <c r="C86" s="3661"/>
      <c r="D86" s="3661"/>
      <c r="E86" s="3661" t="s">
        <v>3595</v>
      </c>
      <c r="F86" s="3661"/>
      <c r="G86" s="3661"/>
      <c r="H86" s="3661"/>
      <c r="I86" s="3661" t="s">
        <v>3596</v>
      </c>
      <c r="J86" s="3661"/>
      <c r="K86" s="3661"/>
      <c r="L86" s="3661"/>
      <c r="M86" s="2750" t="s">
        <v>3618</v>
      </c>
      <c r="Q86">
        <f t="shared" si="2"/>
        <v>0</v>
      </c>
    </row>
    <row r="87" spans="1:18">
      <c r="A87" s="3661"/>
      <c r="B87" s="3441" t="s">
        <v>3597</v>
      </c>
      <c r="C87" s="3441" t="s">
        <v>3598</v>
      </c>
      <c r="D87" s="3441" t="s">
        <v>2492</v>
      </c>
      <c r="E87" s="3441" t="s">
        <v>3599</v>
      </c>
      <c r="F87" s="3441" t="s">
        <v>3600</v>
      </c>
      <c r="G87" s="3441" t="s">
        <v>3601</v>
      </c>
      <c r="H87" s="3441" t="s">
        <v>3602</v>
      </c>
      <c r="I87" s="3440" t="s">
        <v>3599</v>
      </c>
      <c r="J87" s="3440" t="s">
        <v>3600</v>
      </c>
      <c r="K87" s="3440" t="s">
        <v>3601</v>
      </c>
      <c r="L87" s="3440" t="s">
        <v>3602</v>
      </c>
      <c r="Q87" t="str">
        <f t="shared" si="2"/>
        <v>居住地价</v>
      </c>
    </row>
    <row r="88" spans="1:18">
      <c r="A88" s="3440" t="s">
        <v>3603</v>
      </c>
      <c r="B88" s="3444">
        <v>180</v>
      </c>
      <c r="C88" s="3444">
        <v>178</v>
      </c>
      <c r="D88" s="3444">
        <v>36</v>
      </c>
      <c r="E88" s="3444">
        <v>15912</v>
      </c>
      <c r="F88" s="3444">
        <v>11567</v>
      </c>
      <c r="G88" s="3444">
        <v>23097</v>
      </c>
      <c r="H88" s="3444">
        <v>739</v>
      </c>
      <c r="I88" s="3444">
        <v>224</v>
      </c>
      <c r="J88" s="3446">
        <v>237.4</v>
      </c>
      <c r="K88" s="3446">
        <v>268.55</v>
      </c>
      <c r="L88" s="3446">
        <v>149.38999999999999</v>
      </c>
      <c r="Q88">
        <f t="shared" si="2"/>
        <v>268.55</v>
      </c>
      <c r="R88">
        <f t="shared" si="3"/>
        <v>0.95864661654134764</v>
      </c>
    </row>
    <row r="89" spans="1:18" hidden="1">
      <c r="A89" s="3440" t="s">
        <v>3604</v>
      </c>
      <c r="B89" s="3444">
        <v>33</v>
      </c>
      <c r="C89" s="3444">
        <v>30</v>
      </c>
      <c r="D89" s="3444">
        <v>17</v>
      </c>
      <c r="E89" s="3444">
        <v>3431</v>
      </c>
      <c r="F89" s="3444">
        <v>2707</v>
      </c>
      <c r="G89" s="3444">
        <v>5291</v>
      </c>
      <c r="H89" s="3444">
        <v>320</v>
      </c>
      <c r="I89" s="3444">
        <v>342</v>
      </c>
      <c r="J89" s="3444">
        <v>204</v>
      </c>
      <c r="K89" s="3444">
        <v>411</v>
      </c>
      <c r="L89" s="3444">
        <v>169</v>
      </c>
      <c r="Q89">
        <f t="shared" si="2"/>
        <v>411</v>
      </c>
      <c r="R89">
        <f t="shared" si="3"/>
        <v>1.2315270935960632</v>
      </c>
    </row>
    <row r="90" spans="1:18" hidden="1">
      <c r="A90" s="3440" t="s">
        <v>3605</v>
      </c>
      <c r="B90" s="3444">
        <v>39</v>
      </c>
      <c r="C90" s="3444">
        <v>47</v>
      </c>
      <c r="D90" s="3444">
        <v>8</v>
      </c>
      <c r="E90" s="3444">
        <v>3343</v>
      </c>
      <c r="F90" s="3444">
        <v>3647</v>
      </c>
      <c r="G90" s="3444">
        <v>4239</v>
      </c>
      <c r="H90" s="3444">
        <v>132</v>
      </c>
      <c r="I90" s="3444">
        <v>382</v>
      </c>
      <c r="J90" s="3444">
        <v>287</v>
      </c>
      <c r="K90" s="3444">
        <v>510</v>
      </c>
      <c r="L90" s="3444">
        <v>302</v>
      </c>
      <c r="Q90">
        <f t="shared" si="2"/>
        <v>510</v>
      </c>
      <c r="R90">
        <f t="shared" si="3"/>
        <v>-3.041825095057038</v>
      </c>
    </row>
    <row r="91" spans="1:18" hidden="1">
      <c r="A91" s="3440" t="s">
        <v>3606</v>
      </c>
      <c r="B91" s="3444">
        <v>32</v>
      </c>
      <c r="C91" s="3444">
        <v>38</v>
      </c>
      <c r="D91" s="3444">
        <v>13</v>
      </c>
      <c r="E91" s="3444">
        <v>2874</v>
      </c>
      <c r="F91" s="3444">
        <v>3471</v>
      </c>
      <c r="G91" s="3444">
        <v>4374</v>
      </c>
      <c r="H91" s="3444">
        <v>359</v>
      </c>
      <c r="I91" s="3444">
        <v>420</v>
      </c>
      <c r="J91" s="3444">
        <v>401</v>
      </c>
      <c r="K91" s="3444">
        <v>580</v>
      </c>
      <c r="L91" s="3444">
        <v>174</v>
      </c>
      <c r="Q91">
        <f t="shared" si="2"/>
        <v>580</v>
      </c>
      <c r="R91">
        <f t="shared" si="3"/>
        <v>-1.3605442176870763</v>
      </c>
    </row>
    <row r="92" spans="1:18">
      <c r="Q92">
        <f t="shared" si="2"/>
        <v>0</v>
      </c>
    </row>
    <row r="93" spans="1:18">
      <c r="A93" s="3661" t="s">
        <v>3419</v>
      </c>
      <c r="B93" s="3661" t="s">
        <v>3594</v>
      </c>
      <c r="C93" s="3661"/>
      <c r="D93" s="3661"/>
      <c r="E93" s="3661" t="s">
        <v>3595</v>
      </c>
      <c r="F93" s="3661"/>
      <c r="G93" s="3661"/>
      <c r="H93" s="3661"/>
      <c r="I93" s="3661" t="s">
        <v>3596</v>
      </c>
      <c r="J93" s="3661"/>
      <c r="K93" s="3661"/>
      <c r="L93" s="3661"/>
      <c r="M93" s="2750" t="s">
        <v>3619</v>
      </c>
      <c r="Q93">
        <f t="shared" si="2"/>
        <v>0</v>
      </c>
    </row>
    <row r="94" spans="1:18">
      <c r="A94" s="3661"/>
      <c r="B94" s="3441" t="s">
        <v>3597</v>
      </c>
      <c r="C94" s="3441" t="s">
        <v>3598</v>
      </c>
      <c r="D94" s="3441" t="s">
        <v>2492</v>
      </c>
      <c r="E94" s="3441" t="s">
        <v>3599</v>
      </c>
      <c r="F94" s="3441" t="s">
        <v>3600</v>
      </c>
      <c r="G94" s="3441" t="s">
        <v>3601</v>
      </c>
      <c r="H94" s="3441" t="s">
        <v>3602</v>
      </c>
      <c r="I94" s="3441" t="s">
        <v>3599</v>
      </c>
      <c r="J94" s="3441" t="s">
        <v>3600</v>
      </c>
      <c r="K94" s="3441" t="s">
        <v>3601</v>
      </c>
      <c r="L94" s="3441" t="s">
        <v>3602</v>
      </c>
      <c r="Q94" t="str">
        <f t="shared" si="2"/>
        <v>居住地价</v>
      </c>
    </row>
    <row r="95" spans="1:18">
      <c r="A95" s="3440" t="s">
        <v>3603</v>
      </c>
      <c r="B95" s="3444">
        <v>180</v>
      </c>
      <c r="C95" s="3444">
        <v>178</v>
      </c>
      <c r="D95" s="3444">
        <v>36</v>
      </c>
      <c r="E95" s="3445">
        <v>16052</v>
      </c>
      <c r="F95" s="3445">
        <v>11378</v>
      </c>
      <c r="G95" s="3445">
        <v>23383</v>
      </c>
      <c r="H95" s="3445">
        <v>729</v>
      </c>
      <c r="I95" s="3445">
        <v>225.97</v>
      </c>
      <c r="J95" s="3445">
        <v>233.53</v>
      </c>
      <c r="K95" s="3445">
        <v>271.88</v>
      </c>
      <c r="L95" s="3445">
        <v>147.37</v>
      </c>
      <c r="Q95">
        <f t="shared" si="2"/>
        <v>271.88</v>
      </c>
      <c r="R95">
        <f t="shared" si="3"/>
        <v>1.2399925525972799</v>
      </c>
    </row>
    <row r="96" spans="1:18" hidden="1">
      <c r="A96" s="3440" t="s">
        <v>3604</v>
      </c>
      <c r="B96" s="3444">
        <v>33</v>
      </c>
      <c r="C96" s="3444">
        <v>30</v>
      </c>
      <c r="D96" s="3444">
        <v>17</v>
      </c>
      <c r="E96" s="3444">
        <v>3385</v>
      </c>
      <c r="F96" s="3444">
        <v>2651</v>
      </c>
      <c r="G96" s="3444">
        <v>5218</v>
      </c>
      <c r="H96" s="3444">
        <v>326</v>
      </c>
      <c r="I96" s="3444">
        <v>337</v>
      </c>
      <c r="J96" s="3444">
        <v>200</v>
      </c>
      <c r="K96" s="3444">
        <v>405</v>
      </c>
      <c r="L96" s="3444">
        <v>172</v>
      </c>
      <c r="Q96">
        <f t="shared" si="2"/>
        <v>405</v>
      </c>
      <c r="R96">
        <f t="shared" si="3"/>
        <v>-1.4598540145985384</v>
      </c>
    </row>
    <row r="97" spans="1:18" hidden="1">
      <c r="A97" s="3440" t="s">
        <v>3605</v>
      </c>
      <c r="B97" s="3444">
        <v>39</v>
      </c>
      <c r="C97" s="3444">
        <v>47</v>
      </c>
      <c r="D97" s="3444">
        <v>8</v>
      </c>
      <c r="E97" s="3444">
        <v>3263</v>
      </c>
      <c r="F97" s="3444">
        <v>3586</v>
      </c>
      <c r="G97" s="3444">
        <v>4133</v>
      </c>
      <c r="H97" s="3444">
        <v>132</v>
      </c>
      <c r="I97" s="3444">
        <v>373</v>
      </c>
      <c r="J97" s="3444">
        <v>282</v>
      </c>
      <c r="K97" s="3444">
        <v>497</v>
      </c>
      <c r="L97" s="3444">
        <v>302</v>
      </c>
      <c r="Q97">
        <f t="shared" si="2"/>
        <v>497</v>
      </c>
      <c r="R97">
        <f t="shared" si="3"/>
        <v>-2.5490196078431393</v>
      </c>
    </row>
    <row r="98" spans="1:18" hidden="1">
      <c r="A98" s="3440" t="s">
        <v>3606</v>
      </c>
      <c r="B98" s="3444">
        <v>32</v>
      </c>
      <c r="C98" s="3444">
        <v>38</v>
      </c>
      <c r="D98" s="3444">
        <v>13</v>
      </c>
      <c r="E98" s="3444">
        <v>2859</v>
      </c>
      <c r="F98" s="3444">
        <v>3427</v>
      </c>
      <c r="G98" s="3444">
        <v>4358</v>
      </c>
      <c r="H98" s="3444">
        <v>354</v>
      </c>
      <c r="I98" s="3445">
        <v>418</v>
      </c>
      <c r="J98" s="3445">
        <v>396</v>
      </c>
      <c r="K98" s="3445">
        <v>578</v>
      </c>
      <c r="L98" s="3445">
        <v>172</v>
      </c>
      <c r="Q98">
        <f t="shared" si="2"/>
        <v>578</v>
      </c>
      <c r="R98">
        <f t="shared" si="3"/>
        <v>-0.34482758620689724</v>
      </c>
    </row>
    <row r="99" spans="1:18">
      <c r="Q99">
        <f t="shared" si="2"/>
        <v>0</v>
      </c>
    </row>
    <row r="100" spans="1:18">
      <c r="A100" s="3661" t="s">
        <v>3419</v>
      </c>
      <c r="B100" s="3661" t="s">
        <v>3594</v>
      </c>
      <c r="C100" s="3661"/>
      <c r="D100" s="3661"/>
      <c r="E100" s="3661" t="s">
        <v>3595</v>
      </c>
      <c r="F100" s="3661"/>
      <c r="G100" s="3661"/>
      <c r="H100" s="3661"/>
      <c r="I100" s="3661" t="s">
        <v>3596</v>
      </c>
      <c r="J100" s="3661"/>
      <c r="K100" s="3661"/>
      <c r="L100" s="3661"/>
      <c r="M100" s="2750" t="s">
        <v>3620</v>
      </c>
      <c r="Q100">
        <f t="shared" si="2"/>
        <v>0</v>
      </c>
    </row>
    <row r="101" spans="1:18">
      <c r="A101" s="3661"/>
      <c r="B101" s="3441" t="s">
        <v>3597</v>
      </c>
      <c r="C101" s="3441" t="s">
        <v>3598</v>
      </c>
      <c r="D101" s="3441" t="s">
        <v>2492</v>
      </c>
      <c r="E101" s="3441" t="s">
        <v>3599</v>
      </c>
      <c r="F101" s="3441" t="s">
        <v>3600</v>
      </c>
      <c r="G101" s="3441" t="s">
        <v>3601</v>
      </c>
      <c r="H101" s="3441" t="s">
        <v>3602</v>
      </c>
      <c r="I101" s="3441" t="s">
        <v>3599</v>
      </c>
      <c r="J101" s="3441" t="s">
        <v>3600</v>
      </c>
      <c r="K101" s="3441" t="s">
        <v>3601</v>
      </c>
      <c r="L101" s="3441" t="s">
        <v>3602</v>
      </c>
      <c r="R101">
        <f>AVERAGE(R4:R100)</f>
        <v>-0.47155038809519861</v>
      </c>
    </row>
    <row r="102" spans="1:18">
      <c r="A102" s="3440" t="s">
        <v>3603</v>
      </c>
      <c r="B102" s="3444">
        <v>180</v>
      </c>
      <c r="C102" s="3444">
        <v>178</v>
      </c>
      <c r="D102" s="3444">
        <v>36</v>
      </c>
      <c r="E102" s="3447">
        <v>16149</v>
      </c>
      <c r="F102" s="3447">
        <v>11356</v>
      </c>
      <c r="G102" s="3447">
        <v>23548</v>
      </c>
      <c r="H102" s="3447">
        <v>734</v>
      </c>
      <c r="I102" s="3445">
        <v>227.33</v>
      </c>
      <c r="J102" s="3445">
        <v>233.08</v>
      </c>
      <c r="K102" s="3445">
        <v>273.8</v>
      </c>
      <c r="L102" s="3445">
        <v>148.38</v>
      </c>
    </row>
    <row r="103" spans="1:18" hidden="1">
      <c r="A103" s="3440" t="s">
        <v>3604</v>
      </c>
      <c r="B103" s="3445">
        <v>33</v>
      </c>
      <c r="C103" s="3445">
        <v>30</v>
      </c>
      <c r="D103" s="3445">
        <v>17</v>
      </c>
      <c r="E103" s="3445">
        <v>3368</v>
      </c>
      <c r="F103" s="3445">
        <v>2645</v>
      </c>
      <c r="G103" s="3445">
        <v>5189</v>
      </c>
      <c r="H103" s="3445">
        <v>328</v>
      </c>
      <c r="I103" s="3445">
        <v>336</v>
      </c>
      <c r="J103" s="3445">
        <v>199</v>
      </c>
      <c r="K103" s="3445">
        <v>403</v>
      </c>
      <c r="L103" s="3445">
        <v>174</v>
      </c>
    </row>
    <row r="104" spans="1:18" hidden="1">
      <c r="A104" s="3440" t="s">
        <v>3605</v>
      </c>
      <c r="B104" s="3444">
        <v>39</v>
      </c>
      <c r="C104" s="3444">
        <v>47</v>
      </c>
      <c r="D104" s="3444">
        <v>8</v>
      </c>
      <c r="E104" s="3445">
        <v>3250</v>
      </c>
      <c r="F104" s="3445">
        <v>3558</v>
      </c>
      <c r="G104" s="3445">
        <v>4119</v>
      </c>
      <c r="H104" s="3445">
        <v>131</v>
      </c>
      <c r="I104" s="3448">
        <v>371.51</v>
      </c>
      <c r="J104" s="3448">
        <v>279.8</v>
      </c>
      <c r="K104" s="3448">
        <v>495.32</v>
      </c>
      <c r="L104" s="3448">
        <v>299.70999999999998</v>
      </c>
    </row>
    <row r="105" spans="1:18" hidden="1">
      <c r="A105" s="3440" t="s">
        <v>3606</v>
      </c>
      <c r="B105" s="3444">
        <v>35</v>
      </c>
      <c r="C105" s="3444">
        <v>40</v>
      </c>
      <c r="D105" s="3444">
        <v>13</v>
      </c>
      <c r="E105" s="3444">
        <v>2836</v>
      </c>
      <c r="F105" s="3444">
        <v>3387</v>
      </c>
      <c r="G105" s="3444">
        <v>4323</v>
      </c>
      <c r="H105" s="3444">
        <v>355</v>
      </c>
      <c r="I105" s="3445">
        <v>414.66</v>
      </c>
      <c r="J105" s="3445">
        <v>391.37</v>
      </c>
      <c r="K105" s="3445">
        <v>573.38</v>
      </c>
      <c r="L105" s="3445">
        <v>172.48</v>
      </c>
    </row>
    <row r="107" spans="1:18">
      <c r="M107" s="2750"/>
    </row>
    <row r="114" spans="13:13">
      <c r="M114" s="2750" t="s">
        <v>3614</v>
      </c>
    </row>
  </sheetData>
  <mergeCells count="60">
    <mergeCell ref="A2:A3"/>
    <mergeCell ref="B2:D2"/>
    <mergeCell ref="E2:H2"/>
    <mergeCell ref="I2:L2"/>
    <mergeCell ref="A9:A10"/>
    <mergeCell ref="B9:D9"/>
    <mergeCell ref="E9:H9"/>
    <mergeCell ref="I9:L9"/>
    <mergeCell ref="A16:A17"/>
    <mergeCell ref="B16:D16"/>
    <mergeCell ref="E16:H16"/>
    <mergeCell ref="I16:L16"/>
    <mergeCell ref="A23:A24"/>
    <mergeCell ref="B23:D23"/>
    <mergeCell ref="E23:H23"/>
    <mergeCell ref="I23:L23"/>
    <mergeCell ref="A30:A31"/>
    <mergeCell ref="B30:D30"/>
    <mergeCell ref="E30:H30"/>
    <mergeCell ref="I30:L30"/>
    <mergeCell ref="A37:A38"/>
    <mergeCell ref="B37:D37"/>
    <mergeCell ref="E37:H37"/>
    <mergeCell ref="I37:L37"/>
    <mergeCell ref="A44:A45"/>
    <mergeCell ref="B44:D44"/>
    <mergeCell ref="E44:H44"/>
    <mergeCell ref="I44:L44"/>
    <mergeCell ref="A51:A52"/>
    <mergeCell ref="B51:D51"/>
    <mergeCell ref="E51:H51"/>
    <mergeCell ref="I51:L51"/>
    <mergeCell ref="A100:A101"/>
    <mergeCell ref="B100:D100"/>
    <mergeCell ref="E100:H100"/>
    <mergeCell ref="I100:L100"/>
    <mergeCell ref="A79:A80"/>
    <mergeCell ref="B79:D79"/>
    <mergeCell ref="E79:H79"/>
    <mergeCell ref="I79:L79"/>
    <mergeCell ref="A86:A87"/>
    <mergeCell ref="B86:D86"/>
    <mergeCell ref="E86:H86"/>
    <mergeCell ref="I86:L86"/>
    <mergeCell ref="E58:H58"/>
    <mergeCell ref="I58:L58"/>
    <mergeCell ref="A93:A94"/>
    <mergeCell ref="B93:D93"/>
    <mergeCell ref="E93:H93"/>
    <mergeCell ref="I93:L93"/>
    <mergeCell ref="A65:A66"/>
    <mergeCell ref="B65:D65"/>
    <mergeCell ref="E65:H65"/>
    <mergeCell ref="I65:L65"/>
    <mergeCell ref="A72:A73"/>
    <mergeCell ref="B72:D72"/>
    <mergeCell ref="E72:H72"/>
    <mergeCell ref="I72:L72"/>
    <mergeCell ref="A58:A59"/>
    <mergeCell ref="B58:D58"/>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630C3-A6F2-4F0A-B200-0176E153929C}">
  <dimension ref="A3:B11"/>
  <sheetViews>
    <sheetView workbookViewId="0">
      <selection activeCell="R101" sqref="R101"/>
    </sheetView>
  </sheetViews>
  <sheetFormatPr defaultRowHeight="13.5"/>
  <cols>
    <col min="1" max="1" width="15.125" bestFit="1" customWidth="1"/>
  </cols>
  <sheetData>
    <row r="3" spans="1:2">
      <c r="A3" s="2750" t="s">
        <v>3434</v>
      </c>
      <c r="B3">
        <v>2550</v>
      </c>
    </row>
    <row r="4" spans="1:2">
      <c r="A4" s="2750" t="s">
        <v>3435</v>
      </c>
      <c r="B4">
        <v>1</v>
      </c>
    </row>
    <row r="5" spans="1:2">
      <c r="A5" s="2750" t="s">
        <v>3436</v>
      </c>
      <c r="B5">
        <f>(1-1/(1+6.5%)^项目基本情况!C19)/(1-1/(1+6.5%)^70)</f>
        <v>0.98534454247482506</v>
      </c>
    </row>
    <row r="6" spans="1:2">
      <c r="A6" s="2750" t="s">
        <v>3437</v>
      </c>
      <c r="B6">
        <v>1.1599999999999999</v>
      </c>
    </row>
    <row r="7" spans="1:2">
      <c r="A7" s="2750" t="s">
        <v>3438</v>
      </c>
      <c r="B7" s="2750">
        <f>-1.62%-2.88%-1.38%-1.5%-1.15%-1.73%-0.96%</f>
        <v>-0.11219999999999999</v>
      </c>
    </row>
    <row r="8" spans="1:2">
      <c r="A8" s="2750" t="s">
        <v>3439</v>
      </c>
      <c r="B8">
        <f>-0.62%-0.92%-0.75%-1.04%-0.83%</f>
        <v>-4.1599999999999998E-2</v>
      </c>
    </row>
    <row r="9" spans="1:2">
      <c r="A9" s="2750" t="s">
        <v>3440</v>
      </c>
      <c r="B9">
        <v>1</v>
      </c>
    </row>
    <row r="10" spans="1:2">
      <c r="A10" s="2750" t="s">
        <v>3441</v>
      </c>
      <c r="B10">
        <f>35+30+30+45+35+65+20</f>
        <v>260</v>
      </c>
    </row>
    <row r="11" spans="1:2">
      <c r="A11" s="2750" t="s">
        <v>3442</v>
      </c>
      <c r="B11">
        <f>B3*B4*B5*B6*(1+B7+B8)*B9+B10</f>
        <v>2726.3761163492186</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644" t="s">
        <v>471</v>
      </c>
      <c r="D4" s="3645"/>
      <c r="E4" s="3682" t="s">
        <v>472</v>
      </c>
      <c r="F4" s="3683"/>
      <c r="G4" s="3644" t="s">
        <v>473</v>
      </c>
      <c r="H4" s="3645"/>
      <c r="I4" s="3644" t="s">
        <v>474</v>
      </c>
      <c r="J4" s="3645"/>
      <c r="K4" s="465" t="s">
        <v>475</v>
      </c>
      <c r="L4" s="1742"/>
      <c r="M4" s="1743"/>
      <c r="N4" s="1743"/>
      <c r="O4" s="1743"/>
      <c r="P4" s="3646" t="s">
        <v>476</v>
      </c>
      <c r="Q4" s="3647"/>
      <c r="R4" s="3630" t="s">
        <v>472</v>
      </c>
      <c r="S4" s="3631"/>
      <c r="T4" s="3630" t="s">
        <v>473</v>
      </c>
      <c r="U4" s="3631"/>
      <c r="V4" s="3652" t="s">
        <v>474</v>
      </c>
      <c r="W4" s="3652"/>
      <c r="X4" s="1303"/>
      <c r="Y4" s="3630" t="s">
        <v>476</v>
      </c>
      <c r="Z4" s="3631"/>
      <c r="AA4" s="3625" t="s">
        <v>472</v>
      </c>
      <c r="AB4" s="3652" t="s">
        <v>473</v>
      </c>
      <c r="AC4" s="3625" t="s">
        <v>474</v>
      </c>
    </row>
    <row r="5" spans="1:29" ht="15">
      <c r="A5" s="466"/>
      <c r="B5" s="467"/>
      <c r="C5" s="3655" t="s">
        <v>2181</v>
      </c>
      <c r="D5" s="3656"/>
      <c r="E5" s="3684" t="s">
        <v>2182</v>
      </c>
      <c r="F5" s="3685"/>
      <c r="G5" s="3655" t="s">
        <v>2183</v>
      </c>
      <c r="H5" s="3656"/>
      <c r="I5" s="3655" t="s">
        <v>2184</v>
      </c>
      <c r="J5" s="3656"/>
      <c r="K5" s="465"/>
      <c r="L5" s="1742"/>
      <c r="M5" s="1743"/>
      <c r="N5" s="1743"/>
      <c r="O5" s="1743"/>
      <c r="P5" s="3648"/>
      <c r="Q5" s="3649"/>
      <c r="R5" s="3632"/>
      <c r="S5" s="3633"/>
      <c r="T5" s="3632"/>
      <c r="U5" s="3633"/>
      <c r="V5" s="3652"/>
      <c r="W5" s="3652"/>
      <c r="X5" s="1303"/>
      <c r="Y5" s="3632"/>
      <c r="Z5" s="3633"/>
      <c r="AA5" s="3626"/>
      <c r="AB5" s="3652"/>
      <c r="AC5" s="3626"/>
    </row>
    <row r="6" spans="1:29" ht="15.75" thickBot="1">
      <c r="A6" s="468"/>
      <c r="B6" s="469"/>
      <c r="C6" s="3653" t="s">
        <v>2185</v>
      </c>
      <c r="D6" s="3654"/>
      <c r="E6" s="3686" t="s">
        <v>2185</v>
      </c>
      <c r="F6" s="3687"/>
      <c r="G6" s="3653" t="s">
        <v>2185</v>
      </c>
      <c r="H6" s="3654"/>
      <c r="I6" s="3653" t="s">
        <v>2185</v>
      </c>
      <c r="J6" s="3654"/>
      <c r="K6" s="465" t="s">
        <v>477</v>
      </c>
      <c r="L6" s="1742"/>
      <c r="M6" s="1743"/>
      <c r="N6" s="1743"/>
      <c r="O6" s="1743"/>
      <c r="P6" s="3650"/>
      <c r="Q6" s="3651"/>
      <c r="R6" s="3632"/>
      <c r="S6" s="3633"/>
      <c r="T6" s="3634"/>
      <c r="U6" s="3635"/>
      <c r="V6" s="3652"/>
      <c r="W6" s="3652"/>
      <c r="X6" s="1303"/>
      <c r="Y6" s="3634"/>
      <c r="Z6" s="3635"/>
      <c r="AA6" s="3627"/>
      <c r="AB6" s="3652"/>
      <c r="AC6" s="3627"/>
    </row>
    <row r="7" spans="1:29" s="1060" customFormat="1" ht="15.75" thickBot="1">
      <c r="A7" s="2210"/>
      <c r="B7" s="2217" t="s">
        <v>478</v>
      </c>
      <c r="C7" s="470">
        <f>'数据-取费表'!B2</f>
        <v>46000</v>
      </c>
      <c r="D7" s="471">
        <v>100</v>
      </c>
      <c r="E7" s="472"/>
      <c r="F7" s="473">
        <f>SUMIF(58:58,YEAR(E7)&amp;"-"&amp;MONTH(E7),59:59)</f>
        <v>0</v>
      </c>
      <c r="G7" s="472"/>
      <c r="H7" s="471">
        <f>SUMIF(58:58,YEAR(G7)&amp;"-"&amp;MONTH(G7),59:59)</f>
        <v>0</v>
      </c>
      <c r="I7" s="472"/>
      <c r="J7" s="471">
        <f>SUMIF(58:58,YEAR(I7)&amp;"-"&amp;MONTH(I7),59:59)</f>
        <v>0</v>
      </c>
      <c r="K7" s="88"/>
      <c r="L7" s="1744"/>
      <c r="M7" s="1641"/>
      <c r="N7" s="1641"/>
      <c r="O7" s="1641"/>
      <c r="P7" s="3628" t="s">
        <v>479</v>
      </c>
      <c r="Q7" s="3637"/>
      <c r="R7" s="1304" t="s">
        <v>5</v>
      </c>
      <c r="S7" s="1305">
        <f t="shared" ref="S7:S15" si="0">F7</f>
        <v>0</v>
      </c>
      <c r="T7" s="1304" t="s">
        <v>5</v>
      </c>
      <c r="U7" s="1305">
        <f t="shared" ref="U7:U15" si="1">H7</f>
        <v>0</v>
      </c>
      <c r="V7" s="1304" t="s">
        <v>5</v>
      </c>
      <c r="W7" s="1305">
        <f t="shared" ref="W7:W15" si="2">J7</f>
        <v>0</v>
      </c>
      <c r="X7" s="1306"/>
      <c r="Y7" s="3628" t="s">
        <v>479</v>
      </c>
      <c r="Z7" s="3629"/>
      <c r="AA7" s="997" t="e">
        <f>D7/F7</f>
        <v>#DIV/0!</v>
      </c>
      <c r="AB7" s="997" t="e">
        <f>D7/H7</f>
        <v>#DIV/0!</v>
      </c>
      <c r="AC7" s="997" t="e">
        <f>D7/J7</f>
        <v>#DIV/0!</v>
      </c>
    </row>
    <row r="8" spans="1:29" s="1060" customFormat="1" ht="15.7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28" t="s">
        <v>482</v>
      </c>
      <c r="Q8" s="3629"/>
      <c r="R8" s="1304" t="s">
        <v>5</v>
      </c>
      <c r="S8" s="1305">
        <f t="shared" si="0"/>
        <v>0</v>
      </c>
      <c r="T8" s="1304" t="s">
        <v>5</v>
      </c>
      <c r="U8" s="1305">
        <f t="shared" si="1"/>
        <v>0</v>
      </c>
      <c r="V8" s="1304" t="s">
        <v>5</v>
      </c>
      <c r="W8" s="1305">
        <f t="shared" si="2"/>
        <v>0</v>
      </c>
      <c r="X8" s="1306"/>
      <c r="Y8" s="3628" t="s">
        <v>482</v>
      </c>
      <c r="Z8" s="3629"/>
      <c r="AA8" s="997" t="e">
        <f t="shared" ref="AA8:AA46" si="3">D8/F8</f>
        <v>#DIV/0!</v>
      </c>
      <c r="AB8" s="997" t="e">
        <f t="shared" ref="AB8:AB46" si="4">D8/H8</f>
        <v>#DIV/0!</v>
      </c>
      <c r="AC8" s="997" t="e">
        <f t="shared" ref="AC8:AC46" si="5">D8/J8</f>
        <v>#DIV/0!</v>
      </c>
    </row>
    <row r="9" spans="1:29" s="1060" customFormat="1" ht="15">
      <c r="A9" s="2212"/>
      <c r="B9" s="2219" t="s">
        <v>2037</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636" t="s">
        <v>484</v>
      </c>
      <c r="Q9" s="818" t="str">
        <f t="shared" ref="Q9:Q15" si="6">B9</f>
        <v>用途</v>
      </c>
      <c r="R9" s="1304" t="s">
        <v>5</v>
      </c>
      <c r="S9" s="1305">
        <f t="shared" si="0"/>
        <v>100</v>
      </c>
      <c r="T9" s="1304" t="s">
        <v>5</v>
      </c>
      <c r="U9" s="1305">
        <f t="shared" si="1"/>
        <v>100</v>
      </c>
      <c r="V9" s="1304" t="s">
        <v>5</v>
      </c>
      <c r="W9" s="1305">
        <f t="shared" si="2"/>
        <v>100</v>
      </c>
      <c r="X9" s="1306"/>
      <c r="Y9" s="3587" t="s">
        <v>485</v>
      </c>
      <c r="Z9" s="997" t="str">
        <f t="shared" ref="Z9:Z15" si="7">Q9</f>
        <v>用途</v>
      </c>
      <c r="AA9" s="997">
        <f t="shared" si="3"/>
        <v>1</v>
      </c>
      <c r="AB9" s="997">
        <f t="shared" si="4"/>
        <v>1</v>
      </c>
      <c r="AC9" s="997">
        <f t="shared" si="5"/>
        <v>1</v>
      </c>
    </row>
    <row r="10" spans="1:29" s="1133" customFormat="1" ht="27">
      <c r="A10" s="2213"/>
      <c r="B10" s="2218" t="s">
        <v>2038</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636"/>
      <c r="Q10" s="818" t="str">
        <f t="shared" si="6"/>
        <v>土地使用年限（年）</v>
      </c>
      <c r="R10" s="1304" t="s">
        <v>5</v>
      </c>
      <c r="S10" s="1305">
        <f t="shared" si="0"/>
        <v>100</v>
      </c>
      <c r="T10" s="1304" t="s">
        <v>5</v>
      </c>
      <c r="U10" s="1305">
        <f t="shared" si="1"/>
        <v>100</v>
      </c>
      <c r="V10" s="1304" t="s">
        <v>5</v>
      </c>
      <c r="W10" s="1305">
        <f t="shared" si="2"/>
        <v>100</v>
      </c>
      <c r="X10" s="1306"/>
      <c r="Y10" s="3587"/>
      <c r="Z10" s="997" t="str">
        <f t="shared" si="7"/>
        <v>土地使用年限（年）</v>
      </c>
      <c r="AA10" s="997">
        <f t="shared" si="3"/>
        <v>1</v>
      </c>
      <c r="AB10" s="997">
        <f t="shared" si="4"/>
        <v>1</v>
      </c>
      <c r="AC10" s="997">
        <f t="shared" si="5"/>
        <v>1</v>
      </c>
    </row>
    <row r="11" spans="1:29" ht="15">
      <c r="A11" s="2214"/>
      <c r="B11" s="2218" t="s">
        <v>2039</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636"/>
      <c r="Q11" s="818" t="str">
        <f t="shared" si="6"/>
        <v>容积率</v>
      </c>
      <c r="R11" s="1304" t="s">
        <v>5</v>
      </c>
      <c r="S11" s="1305" t="e">
        <f t="shared" si="0"/>
        <v>#N/A</v>
      </c>
      <c r="T11" s="1304" t="s">
        <v>5</v>
      </c>
      <c r="U11" s="1305" t="e">
        <f t="shared" si="1"/>
        <v>#N/A</v>
      </c>
      <c r="V11" s="1304" t="s">
        <v>5</v>
      </c>
      <c r="W11" s="1305" t="e">
        <f t="shared" si="2"/>
        <v>#N/A</v>
      </c>
      <c r="X11" s="1306"/>
      <c r="Y11" s="3587"/>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636"/>
      <c r="Q12" s="818">
        <f t="shared" si="6"/>
        <v>111</v>
      </c>
      <c r="R12" s="1304" t="s">
        <v>5</v>
      </c>
      <c r="S12" s="1305">
        <f t="shared" si="0"/>
        <v>100</v>
      </c>
      <c r="T12" s="1304" t="s">
        <v>5</v>
      </c>
      <c r="U12" s="1305">
        <f t="shared" si="1"/>
        <v>100</v>
      </c>
      <c r="V12" s="1304" t="s">
        <v>5</v>
      </c>
      <c r="W12" s="1305">
        <f t="shared" si="2"/>
        <v>100</v>
      </c>
      <c r="X12" s="1306"/>
      <c r="Y12" s="3587"/>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636"/>
      <c r="Q13" s="818">
        <f t="shared" si="6"/>
        <v>111</v>
      </c>
      <c r="R13" s="1304" t="s">
        <v>5</v>
      </c>
      <c r="S13" s="1305">
        <f t="shared" si="0"/>
        <v>100</v>
      </c>
      <c r="T13" s="1304" t="s">
        <v>5</v>
      </c>
      <c r="U13" s="1305">
        <f t="shared" si="1"/>
        <v>100</v>
      </c>
      <c r="V13" s="1304" t="s">
        <v>5</v>
      </c>
      <c r="W13" s="1305">
        <f t="shared" si="2"/>
        <v>100</v>
      </c>
      <c r="X13" s="1306"/>
      <c r="Y13" s="3587"/>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636"/>
      <c r="Q14" s="818">
        <f t="shared" si="6"/>
        <v>111</v>
      </c>
      <c r="R14" s="1304" t="s">
        <v>5</v>
      </c>
      <c r="S14" s="1305">
        <f t="shared" si="0"/>
        <v>100</v>
      </c>
      <c r="T14" s="1304" t="s">
        <v>5</v>
      </c>
      <c r="U14" s="1305">
        <f t="shared" si="1"/>
        <v>100</v>
      </c>
      <c r="V14" s="1304" t="s">
        <v>5</v>
      </c>
      <c r="W14" s="1305">
        <f t="shared" si="2"/>
        <v>100</v>
      </c>
      <c r="X14" s="1306"/>
      <c r="Y14" s="3587"/>
      <c r="Z14" s="997">
        <f t="shared" si="7"/>
        <v>111</v>
      </c>
      <c r="AA14" s="997">
        <f t="shared" si="3"/>
        <v>1</v>
      </c>
      <c r="AB14" s="997">
        <f t="shared" si="4"/>
        <v>1</v>
      </c>
      <c r="AC14" s="997">
        <f t="shared" si="5"/>
        <v>1</v>
      </c>
    </row>
    <row r="15" spans="1:29" ht="15">
      <c r="A15" s="2208" t="s">
        <v>2035</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38" t="s">
        <v>489</v>
      </c>
      <c r="Q15" s="1307" t="str">
        <f t="shared" si="6"/>
        <v>商业繁华度</v>
      </c>
      <c r="R15" s="1308" t="s">
        <v>5</v>
      </c>
      <c r="S15" s="1309">
        <f t="shared" si="0"/>
        <v>100</v>
      </c>
      <c r="T15" s="1308" t="s">
        <v>5</v>
      </c>
      <c r="U15" s="1309">
        <f t="shared" si="1"/>
        <v>100</v>
      </c>
      <c r="V15" s="1308" t="s">
        <v>5</v>
      </c>
      <c r="W15" s="1309">
        <f t="shared" si="2"/>
        <v>100</v>
      </c>
      <c r="X15" s="1303"/>
      <c r="Y15" s="3638"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9"/>
      <c r="Q16" s="1307"/>
      <c r="R16" s="1308"/>
      <c r="S16" s="1309"/>
      <c r="T16" s="1308"/>
      <c r="U16" s="1309"/>
      <c r="V16" s="1308"/>
      <c r="W16" s="1309"/>
      <c r="X16" s="1303"/>
      <c r="Y16" s="3639"/>
      <c r="Z16" s="1310"/>
      <c r="AA16" s="1310">
        <v>1</v>
      </c>
      <c r="AB16" s="1310">
        <v>1</v>
      </c>
      <c r="AC16" s="1310">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39"/>
      <c r="Q17" s="1307" t="str">
        <f>B17</f>
        <v>交通便捷度</v>
      </c>
      <c r="R17" s="1308" t="s">
        <v>5</v>
      </c>
      <c r="S17" s="1309">
        <f>F17</f>
        <v>100</v>
      </c>
      <c r="T17" s="1308" t="s">
        <v>5</v>
      </c>
      <c r="U17" s="1309">
        <f>H17</f>
        <v>100</v>
      </c>
      <c r="V17" s="1308" t="s">
        <v>5</v>
      </c>
      <c r="W17" s="1309">
        <f>J17</f>
        <v>100</v>
      </c>
      <c r="X17" s="1303"/>
      <c r="Y17" s="3639"/>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9"/>
      <c r="Q18" s="1307"/>
      <c r="R18" s="1308"/>
      <c r="S18" s="1309"/>
      <c r="T18" s="1308"/>
      <c r="U18" s="1309"/>
      <c r="V18" s="1308"/>
      <c r="W18" s="1309"/>
      <c r="X18" s="1303"/>
      <c r="Y18" s="3639"/>
      <c r="Z18" s="1310"/>
      <c r="AA18" s="1310">
        <v>1</v>
      </c>
      <c r="AB18" s="1310">
        <v>1</v>
      </c>
      <c r="AC18" s="1310">
        <v>1</v>
      </c>
    </row>
    <row r="19" spans="1:29" ht="15">
      <c r="A19" s="482"/>
      <c r="B19" s="2060"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39"/>
      <c r="Q19" s="1307" t="str">
        <f>B19</f>
        <v>公共配套设施</v>
      </c>
      <c r="R19" s="1308" t="s">
        <v>5</v>
      </c>
      <c r="S19" s="1309">
        <f>F19</f>
        <v>100</v>
      </c>
      <c r="T19" s="1308" t="s">
        <v>5</v>
      </c>
      <c r="U19" s="1309">
        <f>H19</f>
        <v>100</v>
      </c>
      <c r="V19" s="1308" t="s">
        <v>5</v>
      </c>
      <c r="W19" s="1309">
        <f>J19</f>
        <v>100</v>
      </c>
      <c r="X19" s="1303"/>
      <c r="Y19" s="3639"/>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39"/>
      <c r="Q20" s="1307"/>
      <c r="R20" s="1308"/>
      <c r="S20" s="1309"/>
      <c r="T20" s="1308"/>
      <c r="U20" s="1309"/>
      <c r="V20" s="1308"/>
      <c r="W20" s="1309"/>
      <c r="X20" s="1303"/>
      <c r="Y20" s="3639"/>
      <c r="Z20" s="1310"/>
      <c r="AA20" s="1310">
        <v>1</v>
      </c>
      <c r="AB20" s="1310">
        <v>1</v>
      </c>
      <c r="AC20" s="1310">
        <v>1</v>
      </c>
    </row>
    <row r="21" spans="1:29" ht="15">
      <c r="A21" s="482"/>
      <c r="B21" s="2053"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39"/>
      <c r="Q21" s="1307" t="str">
        <f>B21</f>
        <v>基础设施水平</v>
      </c>
      <c r="R21" s="1308" t="s">
        <v>5</v>
      </c>
      <c r="S21" s="1309">
        <f>F21</f>
        <v>100</v>
      </c>
      <c r="T21" s="1308" t="s">
        <v>5</v>
      </c>
      <c r="U21" s="1309">
        <f>H21</f>
        <v>100</v>
      </c>
      <c r="V21" s="1308" t="s">
        <v>5</v>
      </c>
      <c r="W21" s="1309">
        <f>J21</f>
        <v>100</v>
      </c>
      <c r="X21" s="1303"/>
      <c r="Y21" s="3639"/>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39"/>
      <c r="Q22" s="1307"/>
      <c r="R22" s="1308"/>
      <c r="S22" s="1309"/>
      <c r="T22" s="1308"/>
      <c r="U22" s="1309"/>
      <c r="V22" s="1308"/>
      <c r="W22" s="1309"/>
      <c r="X22" s="1303"/>
      <c r="Y22" s="3639"/>
      <c r="Z22" s="1310"/>
      <c r="AA22" s="1310">
        <v>1</v>
      </c>
      <c r="AB22" s="1310">
        <v>1</v>
      </c>
      <c r="AC22" s="1310">
        <v>1</v>
      </c>
    </row>
    <row r="23" spans="1:29" ht="15">
      <c r="A23" s="482"/>
      <c r="B23" s="677" t="s">
        <v>263</v>
      </c>
      <c r="C23" s="824">
        <f>估价对象房地状况!C9</f>
        <v>0</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39"/>
      <c r="Q23" s="1307" t="str">
        <f>B23</f>
        <v>自然及人文环境</v>
      </c>
      <c r="R23" s="1308" t="s">
        <v>5</v>
      </c>
      <c r="S23" s="1309">
        <f>F23</f>
        <v>100</v>
      </c>
      <c r="T23" s="1308" t="s">
        <v>5</v>
      </c>
      <c r="U23" s="1309">
        <f>H23</f>
        <v>100</v>
      </c>
      <c r="V23" s="1308" t="s">
        <v>5</v>
      </c>
      <c r="W23" s="1309">
        <f>J23</f>
        <v>100</v>
      </c>
      <c r="X23" s="1303"/>
      <c r="Y23" s="3639"/>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39"/>
      <c r="Q24" s="1307"/>
      <c r="R24" s="1308"/>
      <c r="S24" s="1309"/>
      <c r="T24" s="1308"/>
      <c r="U24" s="1309"/>
      <c r="V24" s="1308"/>
      <c r="W24" s="1309"/>
      <c r="X24" s="1303"/>
      <c r="Y24" s="3639"/>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39"/>
      <c r="Q25" s="1307" t="str">
        <f t="shared" ref="Q25:Q46" si="8">B25</f>
        <v>临街状况</v>
      </c>
      <c r="R25" s="1308" t="s">
        <v>5</v>
      </c>
      <c r="S25" s="1309">
        <f>F25</f>
        <v>100</v>
      </c>
      <c r="T25" s="1308" t="s">
        <v>5</v>
      </c>
      <c r="U25" s="1309">
        <f>H25</f>
        <v>100</v>
      </c>
      <c r="V25" s="1308" t="s">
        <v>5</v>
      </c>
      <c r="W25" s="1309">
        <f>J25</f>
        <v>100</v>
      </c>
      <c r="X25" s="1303"/>
      <c r="Y25" s="3639"/>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39"/>
      <c r="Q26" s="1307" t="str">
        <f t="shared" si="8"/>
        <v>平面位置/可视性</v>
      </c>
      <c r="R26" s="1308" t="s">
        <v>5</v>
      </c>
      <c r="S26" s="1309">
        <f>F26</f>
        <v>100</v>
      </c>
      <c r="T26" s="1308" t="s">
        <v>5</v>
      </c>
      <c r="U26" s="1309">
        <f>H26</f>
        <v>100</v>
      </c>
      <c r="V26" s="1308" t="s">
        <v>5</v>
      </c>
      <c r="W26" s="1309">
        <f>J26</f>
        <v>100</v>
      </c>
      <c r="X26" s="1303"/>
      <c r="Y26" s="3639"/>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39"/>
      <c r="Q27" s="818" t="str">
        <f t="shared" si="8"/>
        <v>人流量</v>
      </c>
      <c r="R27" s="1304" t="s">
        <v>5</v>
      </c>
      <c r="S27" s="1305">
        <f>F27</f>
        <v>100</v>
      </c>
      <c r="T27" s="1304" t="s">
        <v>5</v>
      </c>
      <c r="U27" s="1305">
        <f>H27</f>
        <v>100</v>
      </c>
      <c r="V27" s="1304" t="s">
        <v>5</v>
      </c>
      <c r="W27" s="1305">
        <f>J27</f>
        <v>100</v>
      </c>
      <c r="X27" s="1306"/>
      <c r="Y27" s="3639"/>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39"/>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39"/>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39"/>
      <c r="Q29" s="1307">
        <f t="shared" si="8"/>
        <v>111</v>
      </c>
      <c r="R29" s="1308" t="s">
        <v>5</v>
      </c>
      <c r="S29" s="1309">
        <f t="shared" si="9"/>
        <v>100</v>
      </c>
      <c r="T29" s="1308" t="s">
        <v>5</v>
      </c>
      <c r="U29" s="1309">
        <f t="shared" si="10"/>
        <v>100</v>
      </c>
      <c r="V29" s="1308" t="s">
        <v>5</v>
      </c>
      <c r="W29" s="1309">
        <f t="shared" si="11"/>
        <v>100</v>
      </c>
      <c r="X29" s="1303"/>
      <c r="Y29" s="3639"/>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39"/>
      <c r="Q30" s="1307">
        <f t="shared" si="8"/>
        <v>111</v>
      </c>
      <c r="R30" s="1308" t="s">
        <v>5</v>
      </c>
      <c r="S30" s="1309">
        <f t="shared" si="9"/>
        <v>100</v>
      </c>
      <c r="T30" s="1308" t="s">
        <v>5</v>
      </c>
      <c r="U30" s="1309">
        <f t="shared" si="10"/>
        <v>100</v>
      </c>
      <c r="V30" s="1308" t="s">
        <v>5</v>
      </c>
      <c r="W30" s="1309">
        <f t="shared" si="11"/>
        <v>100</v>
      </c>
      <c r="X30" s="1303"/>
      <c r="Y30" s="3639"/>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39"/>
      <c r="Q31" s="1307">
        <f t="shared" si="8"/>
        <v>111</v>
      </c>
      <c r="R31" s="1308" t="s">
        <v>5</v>
      </c>
      <c r="S31" s="1309">
        <f t="shared" si="9"/>
        <v>100</v>
      </c>
      <c r="T31" s="1308" t="s">
        <v>5</v>
      </c>
      <c r="U31" s="1309">
        <f t="shared" si="10"/>
        <v>100</v>
      </c>
      <c r="V31" s="1308" t="s">
        <v>5</v>
      </c>
      <c r="W31" s="1309">
        <f t="shared" si="11"/>
        <v>100</v>
      </c>
      <c r="X31" s="1303"/>
      <c r="Y31" s="3639"/>
      <c r="Z31" s="1310">
        <f t="shared" si="12"/>
        <v>111</v>
      </c>
      <c r="AA31" s="1310">
        <f t="shared" si="3"/>
        <v>1</v>
      </c>
      <c r="AB31" s="1310">
        <f t="shared" si="4"/>
        <v>1</v>
      </c>
      <c r="AC31" s="1310">
        <f t="shared" si="5"/>
        <v>1</v>
      </c>
    </row>
    <row r="32" spans="1:29" ht="15">
      <c r="A32" s="2205" t="s">
        <v>2036</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40" t="s">
        <v>499</v>
      </c>
      <c r="Q32" s="1307" t="str">
        <f t="shared" si="8"/>
        <v>商业类型</v>
      </c>
      <c r="R32" s="1308" t="s">
        <v>5</v>
      </c>
      <c r="S32" s="1309">
        <f t="shared" si="9"/>
        <v>100</v>
      </c>
      <c r="T32" s="1308" t="s">
        <v>5</v>
      </c>
      <c r="U32" s="1309">
        <f t="shared" si="10"/>
        <v>100</v>
      </c>
      <c r="V32" s="1308" t="s">
        <v>5</v>
      </c>
      <c r="W32" s="1309">
        <f t="shared" si="11"/>
        <v>100</v>
      </c>
      <c r="X32" s="1303"/>
      <c r="Y32" s="3641"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41"/>
      <c r="Q33" s="819" t="str">
        <f t="shared" si="8"/>
        <v>项目建筑规模</v>
      </c>
      <c r="R33" s="1311" t="s">
        <v>5</v>
      </c>
      <c r="S33" s="1312" t="e">
        <f t="shared" si="9"/>
        <v>#N/A</v>
      </c>
      <c r="T33" s="1311" t="s">
        <v>5</v>
      </c>
      <c r="U33" s="1312" t="e">
        <f t="shared" si="10"/>
        <v>#N/A</v>
      </c>
      <c r="V33" s="1311" t="s">
        <v>5</v>
      </c>
      <c r="W33" s="1312" t="e">
        <f t="shared" si="11"/>
        <v>#N/A</v>
      </c>
      <c r="X33" s="1313"/>
      <c r="Y33" s="3641"/>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41"/>
      <c r="Q34" s="1307" t="str">
        <f t="shared" si="8"/>
        <v>建筑结构</v>
      </c>
      <c r="R34" s="1308" t="s">
        <v>5</v>
      </c>
      <c r="S34" s="1309">
        <f t="shared" si="9"/>
        <v>100</v>
      </c>
      <c r="T34" s="1308" t="s">
        <v>5</v>
      </c>
      <c r="U34" s="1309">
        <f t="shared" si="10"/>
        <v>100</v>
      </c>
      <c r="V34" s="1308" t="s">
        <v>5</v>
      </c>
      <c r="W34" s="1309">
        <f t="shared" si="11"/>
        <v>100</v>
      </c>
      <c r="X34" s="1303"/>
      <c r="Y34" s="3641"/>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41"/>
      <c r="Q35" s="1307" t="str">
        <f t="shared" si="8"/>
        <v>公共部分装修</v>
      </c>
      <c r="R35" s="1308" t="s">
        <v>5</v>
      </c>
      <c r="S35" s="1309">
        <f t="shared" si="9"/>
        <v>100</v>
      </c>
      <c r="T35" s="1308" t="s">
        <v>5</v>
      </c>
      <c r="U35" s="1309">
        <f t="shared" si="10"/>
        <v>100</v>
      </c>
      <c r="V35" s="1308" t="s">
        <v>5</v>
      </c>
      <c r="W35" s="1309">
        <f t="shared" si="11"/>
        <v>100</v>
      </c>
      <c r="X35" s="1303"/>
      <c r="Y35" s="3641"/>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41"/>
      <c r="Q36" s="1307" t="str">
        <f t="shared" si="8"/>
        <v>成新度</v>
      </c>
      <c r="R36" s="1308" t="s">
        <v>5</v>
      </c>
      <c r="S36" s="1309" t="e">
        <f t="shared" si="9"/>
        <v>#N/A</v>
      </c>
      <c r="T36" s="1308" t="s">
        <v>5</v>
      </c>
      <c r="U36" s="1309" t="e">
        <f t="shared" si="10"/>
        <v>#N/A</v>
      </c>
      <c r="V36" s="1308" t="s">
        <v>5</v>
      </c>
      <c r="W36" s="1309" t="e">
        <f t="shared" si="11"/>
        <v>#N/A</v>
      </c>
      <c r="X36" s="1303"/>
      <c r="Y36" s="3641"/>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41"/>
      <c r="Q37" s="818" t="str">
        <f t="shared" si="8"/>
        <v>市政基础设施</v>
      </c>
      <c r="R37" s="1304" t="s">
        <v>5</v>
      </c>
      <c r="S37" s="1305">
        <f t="shared" si="9"/>
        <v>100</v>
      </c>
      <c r="T37" s="1304" t="s">
        <v>5</v>
      </c>
      <c r="U37" s="1305">
        <f t="shared" si="10"/>
        <v>100</v>
      </c>
      <c r="V37" s="1304" t="s">
        <v>5</v>
      </c>
      <c r="W37" s="1305">
        <f t="shared" si="11"/>
        <v>100</v>
      </c>
      <c r="X37" s="1306"/>
      <c r="Y37" s="3641"/>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41" t="s">
        <v>706</v>
      </c>
      <c r="Q38" s="1307" t="str">
        <f t="shared" si="8"/>
        <v>业态</v>
      </c>
      <c r="R38" s="1308" t="s">
        <v>5</v>
      </c>
      <c r="S38" s="1309">
        <f t="shared" si="9"/>
        <v>100</v>
      </c>
      <c r="T38" s="1308" t="s">
        <v>5</v>
      </c>
      <c r="U38" s="1309">
        <f t="shared" si="10"/>
        <v>100</v>
      </c>
      <c r="V38" s="1308" t="s">
        <v>5</v>
      </c>
      <c r="W38" s="1309">
        <f t="shared" si="11"/>
        <v>100</v>
      </c>
      <c r="X38" s="1303"/>
      <c r="Y38" s="3641"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41"/>
      <c r="Q39" s="1307" t="str">
        <f t="shared" si="8"/>
        <v>层高</v>
      </c>
      <c r="R39" s="1308" t="s">
        <v>5</v>
      </c>
      <c r="S39" s="1309">
        <f t="shared" si="9"/>
        <v>100</v>
      </c>
      <c r="T39" s="1308" t="s">
        <v>5</v>
      </c>
      <c r="U39" s="1309">
        <f t="shared" si="10"/>
        <v>100</v>
      </c>
      <c r="V39" s="1308" t="s">
        <v>5</v>
      </c>
      <c r="W39" s="1309">
        <f t="shared" si="11"/>
        <v>100</v>
      </c>
      <c r="X39" s="1303"/>
      <c r="Y39" s="3641"/>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41"/>
      <c r="Q40" s="1307" t="str">
        <f t="shared" si="8"/>
        <v>单套建筑面积</v>
      </c>
      <c r="R40" s="1308" t="s">
        <v>5</v>
      </c>
      <c r="S40" s="1309">
        <f t="shared" si="9"/>
        <v>100</v>
      </c>
      <c r="T40" s="1308" t="s">
        <v>5</v>
      </c>
      <c r="U40" s="1309">
        <f t="shared" si="10"/>
        <v>100</v>
      </c>
      <c r="V40" s="1308" t="s">
        <v>5</v>
      </c>
      <c r="W40" s="1309">
        <f t="shared" si="11"/>
        <v>100</v>
      </c>
      <c r="X40" s="1303"/>
      <c r="Y40" s="3641"/>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41"/>
      <c r="Q41" s="819" t="str">
        <f t="shared" si="8"/>
        <v>进深比</v>
      </c>
      <c r="R41" s="1311" t="s">
        <v>5</v>
      </c>
      <c r="S41" s="1312">
        <f t="shared" si="9"/>
        <v>100</v>
      </c>
      <c r="T41" s="1311" t="s">
        <v>5</v>
      </c>
      <c r="U41" s="1312">
        <f t="shared" si="10"/>
        <v>100</v>
      </c>
      <c r="V41" s="1311" t="s">
        <v>5</v>
      </c>
      <c r="W41" s="1312">
        <f t="shared" si="11"/>
        <v>100</v>
      </c>
      <c r="X41" s="1313"/>
      <c r="Y41" s="3641"/>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41"/>
      <c r="Q42" s="1307" t="str">
        <f t="shared" si="8"/>
        <v>内部装修</v>
      </c>
      <c r="R42" s="1308" t="s">
        <v>5</v>
      </c>
      <c r="S42" s="1309">
        <f t="shared" si="9"/>
        <v>100</v>
      </c>
      <c r="T42" s="1308" t="s">
        <v>5</v>
      </c>
      <c r="U42" s="1309">
        <f t="shared" si="10"/>
        <v>100</v>
      </c>
      <c r="V42" s="1308" t="s">
        <v>5</v>
      </c>
      <c r="W42" s="1309">
        <f t="shared" si="11"/>
        <v>100</v>
      </c>
      <c r="X42" s="1303"/>
      <c r="Y42" s="3641"/>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41"/>
      <c r="Q43" s="1307" t="str">
        <f t="shared" si="8"/>
        <v>内部装修维护情况</v>
      </c>
      <c r="R43" s="1308" t="s">
        <v>5</v>
      </c>
      <c r="S43" s="1309">
        <f t="shared" si="9"/>
        <v>100</v>
      </c>
      <c r="T43" s="1308" t="s">
        <v>5</v>
      </c>
      <c r="U43" s="1309">
        <f t="shared" si="10"/>
        <v>100</v>
      </c>
      <c r="V43" s="1308" t="s">
        <v>5</v>
      </c>
      <c r="W43" s="1309">
        <f t="shared" si="11"/>
        <v>100</v>
      </c>
      <c r="X43" s="1303"/>
      <c r="Y43" s="3641"/>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41"/>
      <c r="Q44" s="818">
        <f t="shared" si="8"/>
        <v>111</v>
      </c>
      <c r="R44" s="1304" t="s">
        <v>5</v>
      </c>
      <c r="S44" s="1305">
        <f t="shared" si="9"/>
        <v>100</v>
      </c>
      <c r="T44" s="1304" t="s">
        <v>5</v>
      </c>
      <c r="U44" s="1305">
        <f t="shared" si="10"/>
        <v>100</v>
      </c>
      <c r="V44" s="1304" t="s">
        <v>5</v>
      </c>
      <c r="W44" s="1305">
        <f t="shared" si="11"/>
        <v>100</v>
      </c>
      <c r="X44" s="1306"/>
      <c r="Y44" s="3641"/>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41"/>
      <c r="Q45" s="1307">
        <f t="shared" si="8"/>
        <v>111</v>
      </c>
      <c r="R45" s="1308" t="s">
        <v>5</v>
      </c>
      <c r="S45" s="1309">
        <f t="shared" si="9"/>
        <v>100</v>
      </c>
      <c r="T45" s="1308" t="s">
        <v>5</v>
      </c>
      <c r="U45" s="1309">
        <f t="shared" si="10"/>
        <v>100</v>
      </c>
      <c r="V45" s="1308" t="s">
        <v>5</v>
      </c>
      <c r="W45" s="1309">
        <f t="shared" si="11"/>
        <v>100</v>
      </c>
      <c r="X45" s="1303"/>
      <c r="Y45" s="3641"/>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47"/>
      <c r="Q46" s="1307">
        <f t="shared" si="8"/>
        <v>111</v>
      </c>
      <c r="R46" s="1308" t="s">
        <v>5</v>
      </c>
      <c r="S46" s="1309">
        <f t="shared" si="9"/>
        <v>100</v>
      </c>
      <c r="T46" s="1308" t="s">
        <v>5</v>
      </c>
      <c r="U46" s="1309">
        <f t="shared" si="10"/>
        <v>100</v>
      </c>
      <c r="V46" s="1308" t="s">
        <v>5</v>
      </c>
      <c r="W46" s="1309">
        <f t="shared" si="11"/>
        <v>100</v>
      </c>
      <c r="X46" s="1303"/>
      <c r="Y46" s="3747"/>
      <c r="Z46" s="1310">
        <f t="shared" si="12"/>
        <v>111</v>
      </c>
      <c r="AA46" s="1310">
        <f t="shared" si="3"/>
        <v>1</v>
      </c>
      <c r="AB46" s="1310">
        <f t="shared" si="4"/>
        <v>1</v>
      </c>
      <c r="AC46" s="1310">
        <f t="shared" si="5"/>
        <v>1</v>
      </c>
    </row>
    <row r="47" spans="1:29" ht="15">
      <c r="A47" s="556" t="s">
        <v>683</v>
      </c>
      <c r="B47" s="812"/>
      <c r="C47" s="2082" t="s">
        <v>0</v>
      </c>
      <c r="D47" s="559"/>
      <c r="E47" s="560"/>
      <c r="F47" s="561"/>
      <c r="G47" s="562"/>
      <c r="H47" s="563"/>
      <c r="I47" s="560"/>
      <c r="J47" s="563"/>
      <c r="K47" s="1336"/>
      <c r="L47" s="1752"/>
      <c r="M47" s="1743"/>
      <c r="N47" s="1743"/>
      <c r="O47" s="1743"/>
      <c r="P47" s="3636" t="str">
        <f>A47</f>
        <v>成交单价（元/平方米）</v>
      </c>
      <c r="Q47" s="3636"/>
      <c r="R47" s="3652">
        <f>E47</f>
        <v>0</v>
      </c>
      <c r="S47" s="3652"/>
      <c r="T47" s="3652">
        <f>G47</f>
        <v>0</v>
      </c>
      <c r="U47" s="3652"/>
      <c r="V47" s="3652">
        <f>I47</f>
        <v>0</v>
      </c>
      <c r="W47" s="3652"/>
      <c r="X47" s="799"/>
      <c r="Y47" s="1315"/>
      <c r="Z47" s="799"/>
      <c r="AA47" s="799"/>
      <c r="AB47" s="799"/>
      <c r="AC47" s="799"/>
    </row>
    <row r="48" spans="1:29" ht="15.75" thickBot="1">
      <c r="A48" s="564" t="s">
        <v>2041</v>
      </c>
      <c r="B48" s="813"/>
      <c r="C48" s="2083" t="e">
        <f>R49</f>
        <v>#DIV/0!</v>
      </c>
      <c r="D48" s="2551" t="s">
        <v>2250</v>
      </c>
      <c r="E48" s="2084" t="e">
        <f>R48</f>
        <v>#DIV/0!</v>
      </c>
      <c r="F48" s="2552"/>
      <c r="G48" s="2083" t="e">
        <f>T48</f>
        <v>#DIV/0!</v>
      </c>
      <c r="H48" s="2552"/>
      <c r="I48" s="2084" t="e">
        <f>V48</f>
        <v>#DIV/0!</v>
      </c>
      <c r="J48" s="2552"/>
      <c r="K48" s="2559">
        <f>F48+H48+J48</f>
        <v>0</v>
      </c>
      <c r="L48" s="1752"/>
      <c r="M48" s="1743"/>
      <c r="N48" s="1743"/>
      <c r="O48" s="1743"/>
      <c r="P48" s="3636" t="str">
        <f>A48</f>
        <v>比较价格（元/平方米）</v>
      </c>
      <c r="Q48" s="3636"/>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799"/>
      <c r="Y48" s="799"/>
      <c r="Z48" s="799"/>
      <c r="AA48" s="799"/>
      <c r="AB48" s="799"/>
      <c r="AC48" s="799"/>
    </row>
    <row r="49" spans="1:29" ht="15.75" thickBot="1">
      <c r="A49" s="568" t="s">
        <v>2187</v>
      </c>
      <c r="B49" s="569"/>
      <c r="C49" s="469" t="e">
        <f>R49</f>
        <v>#DIV/0!</v>
      </c>
      <c r="D49" s="469"/>
      <c r="E49" s="469"/>
      <c r="F49" s="469"/>
      <c r="G49" s="469"/>
      <c r="H49" s="469"/>
      <c r="I49" s="469"/>
      <c r="J49" s="469"/>
      <c r="K49" s="1337"/>
      <c r="L49" s="1752"/>
      <c r="M49" s="1743"/>
      <c r="N49" s="1743"/>
      <c r="O49" s="1743"/>
      <c r="P49" s="3642" t="str">
        <f>A49</f>
        <v>估价对象XX用房的比较价格（楼面单价，元/平方米）</v>
      </c>
      <c r="Q49" s="3643"/>
      <c r="R49" s="3746" t="e">
        <f>IF(F1="售价",ROUND(IF(D48="简单平均",AVERAGE(R48:V48),R48*F48+T48*H48+V48*J48),0),ROUND(IF(D48="简单平均",AVERAGE(R48:V48),R48*F48+T48*H48+V48*J48),1))</f>
        <v>#DIV/0!</v>
      </c>
      <c r="S49" s="3746"/>
      <c r="T49" s="3746"/>
      <c r="U49" s="3746"/>
      <c r="V49" s="3746"/>
      <c r="W49" s="3746"/>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2025-12</v>
      </c>
      <c r="D58" s="2116">
        <f>EDATE(C58,-1)</f>
        <v>45962</v>
      </c>
      <c r="E58" s="2116">
        <f t="shared" ref="E58:O58" si="13">EDATE(D58,-1)</f>
        <v>45931</v>
      </c>
      <c r="F58" s="2116">
        <f t="shared" si="13"/>
        <v>45901</v>
      </c>
      <c r="G58" s="2116">
        <f t="shared" si="13"/>
        <v>45870</v>
      </c>
      <c r="H58" s="2116">
        <f t="shared" si="13"/>
        <v>45839</v>
      </c>
      <c r="I58" s="2116">
        <f t="shared" si="13"/>
        <v>45809</v>
      </c>
      <c r="J58" s="2116">
        <f t="shared" si="13"/>
        <v>45778</v>
      </c>
      <c r="K58" s="2116">
        <f t="shared" si="13"/>
        <v>45748</v>
      </c>
      <c r="L58" s="2116">
        <f t="shared" si="13"/>
        <v>45717</v>
      </c>
      <c r="M58" s="2116">
        <f t="shared" si="13"/>
        <v>45689</v>
      </c>
      <c r="N58" s="2116">
        <f t="shared" si="13"/>
        <v>45658</v>
      </c>
      <c r="O58" s="2116">
        <f t="shared" si="13"/>
        <v>45627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9"/>
      <c r="M1" s="2720"/>
      <c r="N1" s="2720"/>
      <c r="O1" s="2720"/>
      <c r="P1" s="2775"/>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5"/>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5"/>
      <c r="Q3" s="1741"/>
      <c r="R3" s="1741"/>
      <c r="S3" s="1741"/>
      <c r="T3" s="1741"/>
      <c r="U3" s="1741"/>
      <c r="V3" s="1741"/>
      <c r="W3" s="1741"/>
      <c r="X3" s="1741"/>
      <c r="Y3" s="1741"/>
      <c r="Z3" s="1741"/>
      <c r="AA3" s="1741"/>
      <c r="AB3" s="1741"/>
      <c r="AC3" s="1675"/>
    </row>
    <row r="4" spans="1:29" ht="15">
      <c r="A4" s="463" t="s">
        <v>470</v>
      </c>
      <c r="B4" s="464"/>
      <c r="C4" s="3644" t="s">
        <v>471</v>
      </c>
      <c r="D4" s="3645"/>
      <c r="E4" s="3682" t="s">
        <v>472</v>
      </c>
      <c r="F4" s="3683"/>
      <c r="G4" s="3644" t="s">
        <v>473</v>
      </c>
      <c r="H4" s="3645"/>
      <c r="I4" s="3644" t="s">
        <v>474</v>
      </c>
      <c r="J4" s="3645"/>
      <c r="K4" s="465" t="s">
        <v>475</v>
      </c>
      <c r="L4" s="1742"/>
      <c r="M4" s="1743"/>
      <c r="N4" s="1743"/>
      <c r="O4" s="1743"/>
      <c r="P4" s="3769" t="s">
        <v>476</v>
      </c>
      <c r="Q4" s="3647"/>
      <c r="R4" s="3630" t="s">
        <v>472</v>
      </c>
      <c r="S4" s="3631"/>
      <c r="T4" s="3630" t="s">
        <v>473</v>
      </c>
      <c r="U4" s="3631"/>
      <c r="V4" s="3652" t="s">
        <v>474</v>
      </c>
      <c r="W4" s="3652"/>
      <c r="X4" s="1303"/>
      <c r="Y4" s="3630" t="s">
        <v>476</v>
      </c>
      <c r="Z4" s="3631"/>
      <c r="AA4" s="3625" t="s">
        <v>472</v>
      </c>
      <c r="AB4" s="3625" t="s">
        <v>473</v>
      </c>
      <c r="AC4" s="3625" t="s">
        <v>474</v>
      </c>
    </row>
    <row r="5" spans="1:29" ht="15">
      <c r="A5" s="466"/>
      <c r="B5" s="467"/>
      <c r="C5" s="3655" t="s">
        <v>2181</v>
      </c>
      <c r="D5" s="3656"/>
      <c r="E5" s="3684" t="s">
        <v>2182</v>
      </c>
      <c r="F5" s="3685"/>
      <c r="G5" s="3655" t="s">
        <v>2183</v>
      </c>
      <c r="H5" s="3656"/>
      <c r="I5" s="3655" t="s">
        <v>2184</v>
      </c>
      <c r="J5" s="3656"/>
      <c r="K5" s="465"/>
      <c r="L5" s="1742"/>
      <c r="M5" s="1743"/>
      <c r="N5" s="1743"/>
      <c r="O5" s="1743"/>
      <c r="P5" s="3770"/>
      <c r="Q5" s="3649"/>
      <c r="R5" s="3632"/>
      <c r="S5" s="3633"/>
      <c r="T5" s="3632"/>
      <c r="U5" s="3633"/>
      <c r="V5" s="3652"/>
      <c r="W5" s="3652"/>
      <c r="X5" s="1303"/>
      <c r="Y5" s="3632"/>
      <c r="Z5" s="3633"/>
      <c r="AA5" s="3626"/>
      <c r="AB5" s="3626"/>
      <c r="AC5" s="3626"/>
    </row>
    <row r="6" spans="1:29" ht="15.75" thickBot="1">
      <c r="A6" s="468"/>
      <c r="B6" s="469"/>
      <c r="C6" s="3653" t="s">
        <v>2185</v>
      </c>
      <c r="D6" s="3654"/>
      <c r="E6" s="3686" t="s">
        <v>2185</v>
      </c>
      <c r="F6" s="3687"/>
      <c r="G6" s="3653" t="s">
        <v>2185</v>
      </c>
      <c r="H6" s="3654"/>
      <c r="I6" s="3653" t="s">
        <v>2185</v>
      </c>
      <c r="J6" s="3654"/>
      <c r="K6" s="465" t="s">
        <v>477</v>
      </c>
      <c r="L6" s="1742"/>
      <c r="M6" s="1743"/>
      <c r="N6" s="1743"/>
      <c r="O6" s="1743"/>
      <c r="P6" s="3771"/>
      <c r="Q6" s="3651"/>
      <c r="R6" s="3632"/>
      <c r="S6" s="3633"/>
      <c r="T6" s="3634"/>
      <c r="U6" s="3635"/>
      <c r="V6" s="3652"/>
      <c r="W6" s="3652"/>
      <c r="X6" s="1303"/>
      <c r="Y6" s="3634"/>
      <c r="Z6" s="3635"/>
      <c r="AA6" s="3627"/>
      <c r="AB6" s="3627"/>
      <c r="AC6" s="3627"/>
    </row>
    <row r="7" spans="1:29" s="1060" customFormat="1" ht="15.75" thickBot="1">
      <c r="A7" s="2210"/>
      <c r="B7" s="2217" t="s">
        <v>478</v>
      </c>
      <c r="C7" s="470">
        <f>'数据-取费表'!B2</f>
        <v>46000</v>
      </c>
      <c r="D7" s="471">
        <v>100</v>
      </c>
      <c r="E7" s="472"/>
      <c r="F7" s="473">
        <f>SUMIF(59:59,YEAR(E7)&amp;"-"&amp;MONTH(E7),60:60)</f>
        <v>0</v>
      </c>
      <c r="G7" s="472"/>
      <c r="H7" s="471">
        <f>SUMIF(59:59,YEAR(G7)&amp;"-"&amp;MONTH(G7),60:60)</f>
        <v>0</v>
      </c>
      <c r="I7" s="472"/>
      <c r="J7" s="471">
        <f>SUMIF(59:59,YEAR(I7)&amp;"-"&amp;MONTH(I7),60:60)</f>
        <v>0</v>
      </c>
      <c r="K7" s="88"/>
      <c r="L7" s="1744"/>
      <c r="M7" s="1641"/>
      <c r="N7" s="1641"/>
      <c r="O7" s="1641"/>
      <c r="P7" s="3637" t="s">
        <v>479</v>
      </c>
      <c r="Q7" s="3637"/>
      <c r="R7" s="1304" t="s">
        <v>5</v>
      </c>
      <c r="S7" s="1305">
        <f t="shared" ref="S7:S15" si="0">F7</f>
        <v>0</v>
      </c>
      <c r="T7" s="1304" t="s">
        <v>5</v>
      </c>
      <c r="U7" s="1305">
        <f t="shared" ref="U7:U15" si="1">H7</f>
        <v>0</v>
      </c>
      <c r="V7" s="1304" t="s">
        <v>5</v>
      </c>
      <c r="W7" s="1305">
        <f t="shared" ref="W7:W15" si="2">J7</f>
        <v>0</v>
      </c>
      <c r="X7" s="1306"/>
      <c r="Y7" s="3628" t="s">
        <v>479</v>
      </c>
      <c r="Z7" s="3629"/>
      <c r="AA7" s="997" t="e">
        <f>D7/F7</f>
        <v>#DIV/0!</v>
      </c>
      <c r="AB7" s="997" t="e">
        <f>D7/H7</f>
        <v>#DIV/0!</v>
      </c>
      <c r="AC7" s="997" t="e">
        <f>D7/J7</f>
        <v>#DIV/0!</v>
      </c>
    </row>
    <row r="8" spans="1:29" s="1060" customFormat="1" ht="15.7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37" t="s">
        <v>482</v>
      </c>
      <c r="Q8" s="3629"/>
      <c r="R8" s="1304" t="s">
        <v>5</v>
      </c>
      <c r="S8" s="1305">
        <f t="shared" si="0"/>
        <v>0</v>
      </c>
      <c r="T8" s="1304" t="s">
        <v>5</v>
      </c>
      <c r="U8" s="1305">
        <f t="shared" si="1"/>
        <v>0</v>
      </c>
      <c r="V8" s="1304" t="s">
        <v>5</v>
      </c>
      <c r="W8" s="1305">
        <f t="shared" si="2"/>
        <v>0</v>
      </c>
      <c r="X8" s="1306"/>
      <c r="Y8" s="3628" t="s">
        <v>482</v>
      </c>
      <c r="Z8" s="3629"/>
      <c r="AA8" s="997" t="e">
        <f t="shared" ref="AA8:AA47" si="3">D8/F8</f>
        <v>#DIV/0!</v>
      </c>
      <c r="AB8" s="997" t="e">
        <f t="shared" ref="AB8:AB47" si="4">D8/H8</f>
        <v>#DIV/0!</v>
      </c>
      <c r="AC8" s="997" t="e">
        <f t="shared" ref="AC8:AC47" si="5">D8/J8</f>
        <v>#DIV/0!</v>
      </c>
    </row>
    <row r="9" spans="1:29" s="1060" customFormat="1" ht="15">
      <c r="A9" s="2212"/>
      <c r="B9" s="2219" t="s">
        <v>2037</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636" t="s">
        <v>484</v>
      </c>
      <c r="Q9" s="818" t="str">
        <f t="shared" ref="Q9:Q15" si="6">B9</f>
        <v>用途</v>
      </c>
      <c r="R9" s="1304" t="s">
        <v>5</v>
      </c>
      <c r="S9" s="1305">
        <f t="shared" si="0"/>
        <v>100</v>
      </c>
      <c r="T9" s="1304" t="s">
        <v>5</v>
      </c>
      <c r="U9" s="1305">
        <f t="shared" si="1"/>
        <v>100</v>
      </c>
      <c r="V9" s="1304" t="s">
        <v>5</v>
      </c>
      <c r="W9" s="1305">
        <f t="shared" si="2"/>
        <v>100</v>
      </c>
      <c r="X9" s="1306"/>
      <c r="Y9" s="3587" t="s">
        <v>485</v>
      </c>
      <c r="Z9" s="997" t="str">
        <f t="shared" ref="Z9:Z15" si="7">Q9</f>
        <v>用途</v>
      </c>
      <c r="AA9" s="997">
        <f t="shared" si="3"/>
        <v>1</v>
      </c>
      <c r="AB9" s="997">
        <f t="shared" si="4"/>
        <v>1</v>
      </c>
      <c r="AC9" s="997">
        <f t="shared" si="5"/>
        <v>1</v>
      </c>
    </row>
    <row r="10" spans="1:29" s="1133" customFormat="1" ht="27">
      <c r="A10" s="2213"/>
      <c r="B10" s="2218" t="s">
        <v>2038</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636"/>
      <c r="Q10" s="818" t="str">
        <f t="shared" si="6"/>
        <v>土地使用年限（年）</v>
      </c>
      <c r="R10" s="1304" t="s">
        <v>5</v>
      </c>
      <c r="S10" s="1305">
        <f t="shared" si="0"/>
        <v>100</v>
      </c>
      <c r="T10" s="1304" t="s">
        <v>5</v>
      </c>
      <c r="U10" s="1305">
        <f t="shared" si="1"/>
        <v>100</v>
      </c>
      <c r="V10" s="1304" t="s">
        <v>5</v>
      </c>
      <c r="W10" s="1305">
        <f t="shared" si="2"/>
        <v>100</v>
      </c>
      <c r="X10" s="1306"/>
      <c r="Y10" s="3587"/>
      <c r="Z10" s="997" t="str">
        <f t="shared" si="7"/>
        <v>土地使用年限（年）</v>
      </c>
      <c r="AA10" s="997">
        <f t="shared" si="3"/>
        <v>1</v>
      </c>
      <c r="AB10" s="997">
        <f t="shared" si="4"/>
        <v>1</v>
      </c>
      <c r="AC10" s="997">
        <f t="shared" si="5"/>
        <v>1</v>
      </c>
    </row>
    <row r="11" spans="1:29" ht="15">
      <c r="A11" s="2214"/>
      <c r="B11" s="2218" t="s">
        <v>2039</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636"/>
      <c r="Q11" s="818" t="str">
        <f t="shared" si="6"/>
        <v>容积率</v>
      </c>
      <c r="R11" s="1304" t="s">
        <v>5</v>
      </c>
      <c r="S11" s="1305" t="e">
        <f t="shared" si="0"/>
        <v>#N/A</v>
      </c>
      <c r="T11" s="1304" t="s">
        <v>5</v>
      </c>
      <c r="U11" s="1305" t="e">
        <f t="shared" si="1"/>
        <v>#N/A</v>
      </c>
      <c r="V11" s="1304" t="s">
        <v>5</v>
      </c>
      <c r="W11" s="1305" t="e">
        <f t="shared" si="2"/>
        <v>#N/A</v>
      </c>
      <c r="X11" s="1306"/>
      <c r="Y11" s="3587"/>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636"/>
      <c r="Q12" s="818">
        <f t="shared" si="6"/>
        <v>111</v>
      </c>
      <c r="R12" s="1304" t="s">
        <v>5</v>
      </c>
      <c r="S12" s="1305">
        <f t="shared" si="0"/>
        <v>100</v>
      </c>
      <c r="T12" s="1304" t="s">
        <v>5</v>
      </c>
      <c r="U12" s="1305">
        <f t="shared" si="1"/>
        <v>100</v>
      </c>
      <c r="V12" s="1304" t="s">
        <v>5</v>
      </c>
      <c r="W12" s="1305">
        <f t="shared" si="2"/>
        <v>100</v>
      </c>
      <c r="X12" s="1306"/>
      <c r="Y12" s="3587"/>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636"/>
      <c r="Q13" s="818">
        <f t="shared" si="6"/>
        <v>111</v>
      </c>
      <c r="R13" s="1304" t="s">
        <v>5</v>
      </c>
      <c r="S13" s="1305">
        <f t="shared" si="0"/>
        <v>100</v>
      </c>
      <c r="T13" s="1304" t="s">
        <v>5</v>
      </c>
      <c r="U13" s="1305">
        <f t="shared" si="1"/>
        <v>100</v>
      </c>
      <c r="V13" s="1304" t="s">
        <v>5</v>
      </c>
      <c r="W13" s="1305">
        <f t="shared" si="2"/>
        <v>100</v>
      </c>
      <c r="X13" s="1306"/>
      <c r="Y13" s="3587"/>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636"/>
      <c r="Q14" s="818">
        <f t="shared" si="6"/>
        <v>111</v>
      </c>
      <c r="R14" s="1304" t="s">
        <v>5</v>
      </c>
      <c r="S14" s="1305">
        <f t="shared" si="0"/>
        <v>100</v>
      </c>
      <c r="T14" s="1304" t="s">
        <v>5</v>
      </c>
      <c r="U14" s="1305">
        <f t="shared" si="1"/>
        <v>100</v>
      </c>
      <c r="V14" s="1304" t="s">
        <v>5</v>
      </c>
      <c r="W14" s="1305">
        <f t="shared" si="2"/>
        <v>100</v>
      </c>
      <c r="X14" s="1306"/>
      <c r="Y14" s="3587"/>
      <c r="Z14" s="997">
        <f t="shared" si="7"/>
        <v>111</v>
      </c>
      <c r="AA14" s="997">
        <f t="shared" si="3"/>
        <v>1</v>
      </c>
      <c r="AB14" s="997">
        <f t="shared" si="4"/>
        <v>1</v>
      </c>
      <c r="AC14" s="997">
        <f t="shared" si="5"/>
        <v>1</v>
      </c>
    </row>
    <row r="15" spans="1:29" ht="15">
      <c r="A15" s="2208" t="s">
        <v>2035</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38" t="s">
        <v>489</v>
      </c>
      <c r="Q15" s="1307" t="str">
        <f t="shared" si="6"/>
        <v>办公集聚程度</v>
      </c>
      <c r="R15" s="1308" t="s">
        <v>5</v>
      </c>
      <c r="S15" s="1309">
        <f t="shared" si="0"/>
        <v>100</v>
      </c>
      <c r="T15" s="1308" t="s">
        <v>5</v>
      </c>
      <c r="U15" s="1309">
        <f t="shared" si="1"/>
        <v>100</v>
      </c>
      <c r="V15" s="1308" t="s">
        <v>5</v>
      </c>
      <c r="W15" s="1309">
        <f t="shared" si="2"/>
        <v>100</v>
      </c>
      <c r="X15" s="1303"/>
      <c r="Y15" s="3638"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39"/>
      <c r="Q16" s="1307"/>
      <c r="R16" s="1308"/>
      <c r="S16" s="1309"/>
      <c r="T16" s="1308"/>
      <c r="U16" s="1309"/>
      <c r="V16" s="1308"/>
      <c r="W16" s="1309"/>
      <c r="X16" s="1303"/>
      <c r="Y16" s="3639"/>
      <c r="Z16" s="1310"/>
      <c r="AA16" s="1310">
        <v>1</v>
      </c>
      <c r="AB16" s="1310">
        <v>1</v>
      </c>
      <c r="AC16" s="1310">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39"/>
      <c r="Q17" s="1307" t="str">
        <f>B17</f>
        <v>交通便捷度</v>
      </c>
      <c r="R17" s="1308" t="s">
        <v>5</v>
      </c>
      <c r="S17" s="1309">
        <f>F17</f>
        <v>100</v>
      </c>
      <c r="T17" s="1308" t="s">
        <v>5</v>
      </c>
      <c r="U17" s="1309">
        <f>H17</f>
        <v>100</v>
      </c>
      <c r="V17" s="1308" t="s">
        <v>5</v>
      </c>
      <c r="W17" s="1309">
        <f>J17</f>
        <v>100</v>
      </c>
      <c r="X17" s="1303"/>
      <c r="Y17" s="3639"/>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39"/>
      <c r="Q18" s="1307"/>
      <c r="R18" s="1308"/>
      <c r="S18" s="1309"/>
      <c r="T18" s="1308"/>
      <c r="U18" s="1309"/>
      <c r="V18" s="1308"/>
      <c r="W18" s="1309"/>
      <c r="X18" s="1303"/>
      <c r="Y18" s="3639"/>
      <c r="Z18" s="1310"/>
      <c r="AA18" s="1310">
        <v>1</v>
      </c>
      <c r="AB18" s="1310">
        <v>1</v>
      </c>
      <c r="AC18" s="1310">
        <v>1</v>
      </c>
    </row>
    <row r="19" spans="1:29" ht="15">
      <c r="A19" s="482"/>
      <c r="B19" s="2063"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39"/>
      <c r="Q19" s="1307" t="str">
        <f>B19</f>
        <v>公共配套设施</v>
      </c>
      <c r="R19" s="1308" t="s">
        <v>5</v>
      </c>
      <c r="S19" s="1309">
        <f>F19</f>
        <v>100</v>
      </c>
      <c r="T19" s="1308" t="s">
        <v>5</v>
      </c>
      <c r="U19" s="1309">
        <f>H19</f>
        <v>100</v>
      </c>
      <c r="V19" s="1308" t="s">
        <v>5</v>
      </c>
      <c r="W19" s="1309">
        <f>J19</f>
        <v>100</v>
      </c>
      <c r="X19" s="1303"/>
      <c r="Y19" s="3639"/>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39"/>
      <c r="Q20" s="1307"/>
      <c r="R20" s="1308"/>
      <c r="S20" s="1309"/>
      <c r="T20" s="1308"/>
      <c r="U20" s="1309"/>
      <c r="V20" s="1308"/>
      <c r="W20" s="1309"/>
      <c r="X20" s="1303"/>
      <c r="Y20" s="3639"/>
      <c r="Z20" s="1310"/>
      <c r="AA20" s="1310">
        <v>1</v>
      </c>
      <c r="AB20" s="1310">
        <v>1</v>
      </c>
      <c r="AC20" s="1310">
        <v>1</v>
      </c>
    </row>
    <row r="21" spans="1:29" ht="15">
      <c r="A21" s="482"/>
      <c r="B21" s="2051"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39"/>
      <c r="Q21" s="1307" t="str">
        <f>B21</f>
        <v>基础设施水平</v>
      </c>
      <c r="R21" s="1308" t="s">
        <v>5</v>
      </c>
      <c r="S21" s="1309">
        <f>F21</f>
        <v>100</v>
      </c>
      <c r="T21" s="1308" t="s">
        <v>5</v>
      </c>
      <c r="U21" s="1309">
        <f>H21</f>
        <v>100</v>
      </c>
      <c r="V21" s="1308" t="s">
        <v>5</v>
      </c>
      <c r="W21" s="1309">
        <f>J21</f>
        <v>100</v>
      </c>
      <c r="X21" s="1303"/>
      <c r="Y21" s="3639"/>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39"/>
      <c r="Q22" s="1307"/>
      <c r="R22" s="1308"/>
      <c r="S22" s="1309"/>
      <c r="T22" s="1308"/>
      <c r="U22" s="1309"/>
      <c r="V22" s="1308"/>
      <c r="W22" s="1309"/>
      <c r="X22" s="1303"/>
      <c r="Y22" s="3639"/>
      <c r="Z22" s="1310"/>
      <c r="AA22" s="1310">
        <v>1</v>
      </c>
      <c r="AB22" s="1310">
        <v>1</v>
      </c>
      <c r="AC22" s="1310">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39"/>
      <c r="Q23" s="1307" t="str">
        <f>B23</f>
        <v>环境质量</v>
      </c>
      <c r="R23" s="1308" t="s">
        <v>5</v>
      </c>
      <c r="S23" s="1309">
        <f>F23</f>
        <v>100</v>
      </c>
      <c r="T23" s="1308" t="s">
        <v>5</v>
      </c>
      <c r="U23" s="1309">
        <f>H23</f>
        <v>100</v>
      </c>
      <c r="V23" s="1308" t="s">
        <v>5</v>
      </c>
      <c r="W23" s="1309">
        <f>J23</f>
        <v>100</v>
      </c>
      <c r="X23" s="1303"/>
      <c r="Y23" s="3639"/>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39"/>
      <c r="Q24" s="1307"/>
      <c r="R24" s="1308"/>
      <c r="S24" s="1309"/>
      <c r="T24" s="1308"/>
      <c r="U24" s="1309"/>
      <c r="V24" s="1308"/>
      <c r="W24" s="1309"/>
      <c r="X24" s="1303"/>
      <c r="Y24" s="3639"/>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39"/>
      <c r="Q25" s="1307" t="str">
        <f>B25</f>
        <v>毗邻道路的类型与等级</v>
      </c>
      <c r="R25" s="1308" t="s">
        <v>5</v>
      </c>
      <c r="S25" s="1309">
        <f>F25</f>
        <v>100</v>
      </c>
      <c r="T25" s="1308" t="s">
        <v>5</v>
      </c>
      <c r="U25" s="1309">
        <f>H25</f>
        <v>100</v>
      </c>
      <c r="V25" s="1308" t="s">
        <v>5</v>
      </c>
      <c r="W25" s="1309">
        <f>J25</f>
        <v>100</v>
      </c>
      <c r="X25" s="1303"/>
      <c r="Y25" s="3639"/>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39"/>
      <c r="Q26" s="1307"/>
      <c r="R26" s="1308"/>
      <c r="S26" s="1309"/>
      <c r="T26" s="1308"/>
      <c r="U26" s="1309"/>
      <c r="V26" s="1308"/>
      <c r="W26" s="1309"/>
      <c r="X26" s="1303"/>
      <c r="Y26" s="3639"/>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39"/>
      <c r="Q27" s="1307" t="str">
        <f t="shared" ref="Q27:Q47" si="8">B27</f>
        <v>楼层</v>
      </c>
      <c r="R27" s="1308" t="s">
        <v>5</v>
      </c>
      <c r="S27" s="1309">
        <f>F27</f>
        <v>100</v>
      </c>
      <c r="T27" s="1308" t="s">
        <v>5</v>
      </c>
      <c r="U27" s="1309">
        <f>H27</f>
        <v>100</v>
      </c>
      <c r="V27" s="1308" t="s">
        <v>5</v>
      </c>
      <c r="W27" s="1309">
        <f>J27</f>
        <v>100</v>
      </c>
      <c r="X27" s="1303"/>
      <c r="Y27" s="3639"/>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39"/>
      <c r="Q28" s="818" t="str">
        <f t="shared" si="8"/>
        <v>朝向</v>
      </c>
      <c r="R28" s="1304" t="s">
        <v>5</v>
      </c>
      <c r="S28" s="1305">
        <f>F28</f>
        <v>100</v>
      </c>
      <c r="T28" s="1304" t="s">
        <v>5</v>
      </c>
      <c r="U28" s="1305">
        <f>H28</f>
        <v>100</v>
      </c>
      <c r="V28" s="1304" t="s">
        <v>5</v>
      </c>
      <c r="W28" s="1305">
        <f>J28</f>
        <v>100</v>
      </c>
      <c r="X28" s="1306"/>
      <c r="Y28" s="3639"/>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39"/>
      <c r="Q29" s="1307">
        <f t="shared" si="8"/>
        <v>111</v>
      </c>
      <c r="R29" s="1308" t="s">
        <v>5</v>
      </c>
      <c r="S29" s="1309">
        <f t="shared" ref="S29:S47" si="9">F29</f>
        <v>100</v>
      </c>
      <c r="T29" s="1308" t="s">
        <v>5</v>
      </c>
      <c r="U29" s="1309">
        <f t="shared" ref="U29:U47" si="10">H29</f>
        <v>100</v>
      </c>
      <c r="V29" s="1308" t="s">
        <v>5</v>
      </c>
      <c r="W29" s="1309">
        <f t="shared" ref="W29:W47" si="11">J29</f>
        <v>100</v>
      </c>
      <c r="X29" s="1303"/>
      <c r="Y29" s="3639"/>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39"/>
      <c r="Q30" s="1307">
        <f t="shared" si="8"/>
        <v>111</v>
      </c>
      <c r="R30" s="1308" t="s">
        <v>5</v>
      </c>
      <c r="S30" s="1309">
        <f t="shared" si="9"/>
        <v>100</v>
      </c>
      <c r="T30" s="1308" t="s">
        <v>5</v>
      </c>
      <c r="U30" s="1309">
        <f t="shared" si="10"/>
        <v>100</v>
      </c>
      <c r="V30" s="1308" t="s">
        <v>5</v>
      </c>
      <c r="W30" s="1309">
        <f t="shared" si="11"/>
        <v>100</v>
      </c>
      <c r="X30" s="1303"/>
      <c r="Y30" s="3639"/>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39"/>
      <c r="Q31" s="1307">
        <f t="shared" si="8"/>
        <v>111</v>
      </c>
      <c r="R31" s="1308" t="s">
        <v>5</v>
      </c>
      <c r="S31" s="1309">
        <f t="shared" si="9"/>
        <v>100</v>
      </c>
      <c r="T31" s="1308" t="s">
        <v>5</v>
      </c>
      <c r="U31" s="1309">
        <f t="shared" si="10"/>
        <v>100</v>
      </c>
      <c r="V31" s="1308" t="s">
        <v>5</v>
      </c>
      <c r="W31" s="1309">
        <f t="shared" si="11"/>
        <v>100</v>
      </c>
      <c r="X31" s="1303"/>
      <c r="Y31" s="3639"/>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39"/>
      <c r="Q32" s="1307">
        <f t="shared" si="8"/>
        <v>111</v>
      </c>
      <c r="R32" s="1308" t="s">
        <v>5</v>
      </c>
      <c r="S32" s="1309">
        <f t="shared" si="9"/>
        <v>100</v>
      </c>
      <c r="T32" s="1308" t="s">
        <v>5</v>
      </c>
      <c r="U32" s="1309">
        <f t="shared" si="10"/>
        <v>100</v>
      </c>
      <c r="V32" s="1308" t="s">
        <v>5</v>
      </c>
      <c r="W32" s="1309">
        <f t="shared" si="11"/>
        <v>100</v>
      </c>
      <c r="X32" s="1303"/>
      <c r="Y32" s="3639"/>
      <c r="Z32" s="1310">
        <f t="shared" si="12"/>
        <v>111</v>
      </c>
      <c r="AA32" s="1310">
        <f t="shared" si="3"/>
        <v>1</v>
      </c>
      <c r="AB32" s="1310">
        <f t="shared" si="4"/>
        <v>1</v>
      </c>
      <c r="AC32" s="1310">
        <f t="shared" si="5"/>
        <v>1</v>
      </c>
    </row>
    <row r="33" spans="1:29" ht="15">
      <c r="A33" s="2205" t="s">
        <v>2036</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40" t="s">
        <v>499</v>
      </c>
      <c r="Q33" s="1307" t="str">
        <f t="shared" si="8"/>
        <v>建筑类型</v>
      </c>
      <c r="R33" s="1308" t="s">
        <v>5</v>
      </c>
      <c r="S33" s="1309">
        <f t="shared" si="9"/>
        <v>100</v>
      </c>
      <c r="T33" s="1308" t="s">
        <v>5</v>
      </c>
      <c r="U33" s="1309">
        <f t="shared" si="10"/>
        <v>100</v>
      </c>
      <c r="V33" s="1308" t="s">
        <v>5</v>
      </c>
      <c r="W33" s="1309">
        <f t="shared" si="11"/>
        <v>100</v>
      </c>
      <c r="X33" s="1303"/>
      <c r="Y33" s="3641"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41"/>
      <c r="Q34" s="819" t="str">
        <f t="shared" si="8"/>
        <v>项目建筑规模</v>
      </c>
      <c r="R34" s="1311" t="s">
        <v>5</v>
      </c>
      <c r="S34" s="1312" t="e">
        <f t="shared" si="9"/>
        <v>#N/A</v>
      </c>
      <c r="T34" s="1311" t="s">
        <v>5</v>
      </c>
      <c r="U34" s="1312" t="e">
        <f t="shared" si="10"/>
        <v>#N/A</v>
      </c>
      <c r="V34" s="1311" t="s">
        <v>5</v>
      </c>
      <c r="W34" s="1312" t="e">
        <f t="shared" si="11"/>
        <v>#N/A</v>
      </c>
      <c r="X34" s="1313"/>
      <c r="Y34" s="3641"/>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41"/>
      <c r="Q35" s="1307" t="str">
        <f t="shared" si="8"/>
        <v>建筑结构</v>
      </c>
      <c r="R35" s="1308" t="s">
        <v>5</v>
      </c>
      <c r="S35" s="1309">
        <f t="shared" si="9"/>
        <v>100</v>
      </c>
      <c r="T35" s="1308" t="s">
        <v>5</v>
      </c>
      <c r="U35" s="1309">
        <f t="shared" si="10"/>
        <v>100</v>
      </c>
      <c r="V35" s="1308" t="s">
        <v>5</v>
      </c>
      <c r="W35" s="1309">
        <f t="shared" si="11"/>
        <v>100</v>
      </c>
      <c r="X35" s="1303"/>
      <c r="Y35" s="3641"/>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41"/>
      <c r="Q36" s="1307" t="str">
        <f t="shared" si="8"/>
        <v>公共部分装修</v>
      </c>
      <c r="R36" s="1308" t="s">
        <v>5</v>
      </c>
      <c r="S36" s="1309">
        <f t="shared" si="9"/>
        <v>100</v>
      </c>
      <c r="T36" s="1308" t="s">
        <v>5</v>
      </c>
      <c r="U36" s="1309">
        <f t="shared" si="10"/>
        <v>100</v>
      </c>
      <c r="V36" s="1308" t="s">
        <v>5</v>
      </c>
      <c r="W36" s="1309">
        <f t="shared" si="11"/>
        <v>100</v>
      </c>
      <c r="X36" s="1303"/>
      <c r="Y36" s="3641"/>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41"/>
      <c r="Q37" s="1307" t="str">
        <f t="shared" si="8"/>
        <v>成新度</v>
      </c>
      <c r="R37" s="1308" t="s">
        <v>5</v>
      </c>
      <c r="S37" s="1309" t="e">
        <f t="shared" si="9"/>
        <v>#N/A</v>
      </c>
      <c r="T37" s="1308" t="s">
        <v>5</v>
      </c>
      <c r="U37" s="1309" t="e">
        <f t="shared" si="10"/>
        <v>#N/A</v>
      </c>
      <c r="V37" s="1308" t="s">
        <v>5</v>
      </c>
      <c r="W37" s="1309" t="e">
        <f t="shared" si="11"/>
        <v>#N/A</v>
      </c>
      <c r="X37" s="1303"/>
      <c r="Y37" s="3641"/>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41"/>
      <c r="Q38" s="818" t="str">
        <f t="shared" si="8"/>
        <v>写字楼等级</v>
      </c>
      <c r="R38" s="1304" t="s">
        <v>5</v>
      </c>
      <c r="S38" s="1305">
        <f t="shared" si="9"/>
        <v>100</v>
      </c>
      <c r="T38" s="1304" t="s">
        <v>5</v>
      </c>
      <c r="U38" s="1305">
        <f t="shared" si="10"/>
        <v>100</v>
      </c>
      <c r="V38" s="1304" t="s">
        <v>5</v>
      </c>
      <c r="W38" s="1305">
        <f t="shared" si="11"/>
        <v>100</v>
      </c>
      <c r="X38" s="1306"/>
      <c r="Y38" s="3641"/>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41" t="s">
        <v>499</v>
      </c>
      <c r="Q39" s="1307" t="str">
        <f t="shared" si="8"/>
        <v>物业管理</v>
      </c>
      <c r="R39" s="1308" t="s">
        <v>5</v>
      </c>
      <c r="S39" s="1309">
        <f t="shared" si="9"/>
        <v>100</v>
      </c>
      <c r="T39" s="1308" t="s">
        <v>5</v>
      </c>
      <c r="U39" s="1309">
        <f t="shared" si="10"/>
        <v>100</v>
      </c>
      <c r="V39" s="1308" t="s">
        <v>5</v>
      </c>
      <c r="W39" s="1309">
        <f t="shared" si="11"/>
        <v>100</v>
      </c>
      <c r="X39" s="1303"/>
      <c r="Y39" s="3641"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41"/>
      <c r="Q40" s="1307" t="str">
        <f t="shared" si="8"/>
        <v>市政基础设施</v>
      </c>
      <c r="R40" s="1308" t="s">
        <v>5</v>
      </c>
      <c r="S40" s="1309">
        <f t="shared" si="9"/>
        <v>100</v>
      </c>
      <c r="T40" s="1308" t="s">
        <v>5</v>
      </c>
      <c r="U40" s="1309">
        <f t="shared" si="10"/>
        <v>100</v>
      </c>
      <c r="V40" s="1308" t="s">
        <v>5</v>
      </c>
      <c r="W40" s="1309">
        <f t="shared" si="11"/>
        <v>100</v>
      </c>
      <c r="X40" s="1303"/>
      <c r="Y40" s="3641"/>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41"/>
      <c r="Q41" s="1307" t="str">
        <f t="shared" si="8"/>
        <v>层高</v>
      </c>
      <c r="R41" s="1308" t="s">
        <v>5</v>
      </c>
      <c r="S41" s="1309">
        <f t="shared" si="9"/>
        <v>100</v>
      </c>
      <c r="T41" s="1308" t="s">
        <v>5</v>
      </c>
      <c r="U41" s="1309">
        <f t="shared" si="10"/>
        <v>100</v>
      </c>
      <c r="V41" s="1308" t="s">
        <v>5</v>
      </c>
      <c r="W41" s="1309">
        <f t="shared" si="11"/>
        <v>100</v>
      </c>
      <c r="X41" s="1303"/>
      <c r="Y41" s="3641"/>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41"/>
      <c r="Q42" s="819" t="str">
        <f t="shared" si="8"/>
        <v>单套建筑面积</v>
      </c>
      <c r="R42" s="1311" t="s">
        <v>5</v>
      </c>
      <c r="S42" s="1312">
        <f t="shared" si="9"/>
        <v>100</v>
      </c>
      <c r="T42" s="1311" t="s">
        <v>5</v>
      </c>
      <c r="U42" s="1312">
        <f t="shared" si="10"/>
        <v>100</v>
      </c>
      <c r="V42" s="1311" t="s">
        <v>5</v>
      </c>
      <c r="W42" s="1312">
        <f t="shared" si="11"/>
        <v>100</v>
      </c>
      <c r="X42" s="1313"/>
      <c r="Y42" s="3641"/>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41"/>
      <c r="Q43" s="1307" t="str">
        <f t="shared" si="8"/>
        <v>内部装修</v>
      </c>
      <c r="R43" s="1308" t="s">
        <v>5</v>
      </c>
      <c r="S43" s="1309">
        <f t="shared" si="9"/>
        <v>100</v>
      </c>
      <c r="T43" s="1308" t="s">
        <v>5</v>
      </c>
      <c r="U43" s="1309">
        <f t="shared" si="10"/>
        <v>100</v>
      </c>
      <c r="V43" s="1308" t="s">
        <v>5</v>
      </c>
      <c r="W43" s="1309">
        <f t="shared" si="11"/>
        <v>100</v>
      </c>
      <c r="X43" s="1303"/>
      <c r="Y43" s="3641"/>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41"/>
      <c r="Q44" s="1307" t="str">
        <f t="shared" si="8"/>
        <v>内部装修维护情况</v>
      </c>
      <c r="R44" s="1308" t="s">
        <v>5</v>
      </c>
      <c r="S44" s="1309">
        <f t="shared" si="9"/>
        <v>100</v>
      </c>
      <c r="T44" s="1308" t="s">
        <v>5</v>
      </c>
      <c r="U44" s="1309">
        <f t="shared" si="10"/>
        <v>100</v>
      </c>
      <c r="V44" s="1308" t="s">
        <v>5</v>
      </c>
      <c r="W44" s="1309">
        <f t="shared" si="11"/>
        <v>100</v>
      </c>
      <c r="X44" s="1303"/>
      <c r="Y44" s="3641"/>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41"/>
      <c r="Q45" s="818">
        <f t="shared" si="8"/>
        <v>111</v>
      </c>
      <c r="R45" s="1304" t="s">
        <v>5</v>
      </c>
      <c r="S45" s="1305">
        <f t="shared" si="9"/>
        <v>100</v>
      </c>
      <c r="T45" s="1304" t="s">
        <v>5</v>
      </c>
      <c r="U45" s="1305">
        <f t="shared" si="10"/>
        <v>100</v>
      </c>
      <c r="V45" s="1304" t="s">
        <v>5</v>
      </c>
      <c r="W45" s="1305">
        <f t="shared" si="11"/>
        <v>100</v>
      </c>
      <c r="X45" s="1306"/>
      <c r="Y45" s="3641"/>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41"/>
      <c r="Q46" s="1307">
        <f t="shared" si="8"/>
        <v>111</v>
      </c>
      <c r="R46" s="1308" t="s">
        <v>5</v>
      </c>
      <c r="S46" s="1309">
        <f t="shared" si="9"/>
        <v>100</v>
      </c>
      <c r="T46" s="1308" t="s">
        <v>5</v>
      </c>
      <c r="U46" s="1309">
        <f t="shared" si="10"/>
        <v>100</v>
      </c>
      <c r="V46" s="1308" t="s">
        <v>5</v>
      </c>
      <c r="W46" s="1309">
        <f t="shared" si="11"/>
        <v>100</v>
      </c>
      <c r="X46" s="1303"/>
      <c r="Y46" s="3641"/>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47"/>
      <c r="Q47" s="1307">
        <f t="shared" si="8"/>
        <v>111</v>
      </c>
      <c r="R47" s="1308" t="s">
        <v>5</v>
      </c>
      <c r="S47" s="1309">
        <f t="shared" si="9"/>
        <v>100</v>
      </c>
      <c r="T47" s="1308" t="s">
        <v>5</v>
      </c>
      <c r="U47" s="1309">
        <f t="shared" si="10"/>
        <v>100</v>
      </c>
      <c r="V47" s="1308" t="s">
        <v>5</v>
      </c>
      <c r="W47" s="1309">
        <f t="shared" si="11"/>
        <v>100</v>
      </c>
      <c r="X47" s="1303"/>
      <c r="Y47" s="3747"/>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643" t="str">
        <f>A48</f>
        <v>成交单价（元/平方米）</v>
      </c>
      <c r="Q48" s="3636"/>
      <c r="R48" s="3652">
        <f>E48</f>
        <v>0</v>
      </c>
      <c r="S48" s="3652"/>
      <c r="T48" s="3652">
        <f>G48</f>
        <v>0</v>
      </c>
      <c r="U48" s="3652"/>
      <c r="V48" s="3652">
        <f>I48</f>
        <v>0</v>
      </c>
      <c r="W48" s="3652"/>
      <c r="X48" s="799"/>
      <c r="Y48" s="1315"/>
      <c r="Z48" s="799"/>
      <c r="AA48" s="799"/>
      <c r="AB48" s="799"/>
      <c r="AC48" s="799"/>
    </row>
    <row r="49" spans="1:29" ht="15.75" thickBot="1">
      <c r="A49" s="564" t="s">
        <v>2041</v>
      </c>
      <c r="B49" s="813"/>
      <c r="C49" s="2083" t="e">
        <f>R50</f>
        <v>#DIV/0!</v>
      </c>
      <c r="D49" s="2551" t="s">
        <v>2250</v>
      </c>
      <c r="E49" s="2084" t="e">
        <f>R49</f>
        <v>#DIV/0!</v>
      </c>
      <c r="F49" s="2552"/>
      <c r="G49" s="2083" t="e">
        <f>T49</f>
        <v>#DIV/0!</v>
      </c>
      <c r="H49" s="2552"/>
      <c r="I49" s="2084" t="e">
        <f>V49</f>
        <v>#DIV/0!</v>
      </c>
      <c r="J49" s="2552"/>
      <c r="K49" s="2559">
        <f>F49+H49+J49</f>
        <v>0</v>
      </c>
      <c r="L49" s="1752"/>
      <c r="M49" s="1743"/>
      <c r="N49" s="1743"/>
      <c r="O49" s="1743"/>
      <c r="P49" s="3643" t="str">
        <f>A49</f>
        <v>比较价格（元/平方米）</v>
      </c>
      <c r="Q49" s="3636"/>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799"/>
      <c r="Y49" s="799"/>
      <c r="Z49" s="799"/>
      <c r="AA49" s="799"/>
      <c r="AB49" s="799"/>
      <c r="AC49" s="799"/>
    </row>
    <row r="50" spans="1:29" ht="15.75" thickBot="1">
      <c r="A50" s="568" t="s">
        <v>2187</v>
      </c>
      <c r="B50" s="569"/>
      <c r="C50" s="469" t="e">
        <f>R50</f>
        <v>#DIV/0!</v>
      </c>
      <c r="D50" s="469"/>
      <c r="E50" s="469"/>
      <c r="F50" s="469"/>
      <c r="G50" s="469"/>
      <c r="H50" s="469"/>
      <c r="I50" s="469"/>
      <c r="J50" s="469"/>
      <c r="K50" s="1337"/>
      <c r="L50" s="1752"/>
      <c r="M50" s="1743"/>
      <c r="N50" s="1743"/>
      <c r="O50" s="1743"/>
      <c r="P50" s="3772" t="str">
        <f>A50</f>
        <v>估价对象XX用房的比较价格（楼面单价，元/平方米）</v>
      </c>
      <c r="Q50" s="3643"/>
      <c r="R50" s="3746" t="e">
        <f>IF(F1="售价",ROUND(IF(D49="简单平均",AVERAGE(R49:V49),R49*F49+T49*H49+V49*J49),0),ROUND(IF(D49="简单平均",AVERAGE(R49:V49),R49*F49+T49*H49+V49*J49),1))</f>
        <v>#DIV/0!</v>
      </c>
      <c r="S50" s="3746"/>
      <c r="T50" s="3746"/>
      <c r="U50" s="3746"/>
      <c r="V50" s="3746"/>
      <c r="W50" s="3746"/>
      <c r="X50" s="799"/>
      <c r="Y50" s="799"/>
      <c r="Z50" s="799"/>
      <c r="AA50" s="799"/>
      <c r="AB50" s="799"/>
      <c r="AC50" s="799"/>
    </row>
    <row r="51" spans="1:29">
      <c r="A51" s="2722"/>
      <c r="B51" s="2722"/>
      <c r="C51" s="2722"/>
      <c r="D51" s="2722"/>
      <c r="E51" s="2722"/>
      <c r="F51" s="2722"/>
      <c r="G51" s="2724"/>
      <c r="H51" s="2722"/>
      <c r="I51" s="2722"/>
      <c r="J51" s="2722"/>
      <c r="K51" s="2725"/>
      <c r="L51" s="1756"/>
      <c r="M51" s="1743"/>
      <c r="N51" s="1743"/>
      <c r="O51" s="1743"/>
      <c r="P51" s="1805"/>
      <c r="Q51" s="1743"/>
      <c r="R51" s="1743"/>
      <c r="S51" s="1743"/>
      <c r="T51" s="1743"/>
      <c r="U51" s="1743"/>
      <c r="V51" s="1743"/>
      <c r="W51" s="1743"/>
      <c r="X51" s="1743"/>
      <c r="Y51" s="1743"/>
      <c r="Z51" s="1743"/>
      <c r="AA51" s="1743"/>
      <c r="AB51" s="1743"/>
      <c r="AC51" s="1743"/>
    </row>
    <row r="52" spans="1:29">
      <c r="A52" s="2722"/>
      <c r="B52" s="2722"/>
      <c r="C52" s="2722"/>
      <c r="D52" s="2722"/>
      <c r="E52" s="2722"/>
      <c r="F52" s="2722"/>
      <c r="G52" s="2722"/>
      <c r="H52" s="2722"/>
      <c r="I52" s="2722"/>
      <c r="J52" s="2722"/>
      <c r="K52" s="2725"/>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2025-12</v>
      </c>
      <c r="D59" s="2116">
        <f>EDATE(C59,-1)</f>
        <v>45962</v>
      </c>
      <c r="E59" s="2116">
        <f t="shared" ref="E59:O59" si="13">EDATE(D59,-1)</f>
        <v>45931</v>
      </c>
      <c r="F59" s="2116">
        <f t="shared" si="13"/>
        <v>45901</v>
      </c>
      <c r="G59" s="2116">
        <f t="shared" si="13"/>
        <v>45870</v>
      </c>
      <c r="H59" s="2116">
        <f t="shared" si="13"/>
        <v>45839</v>
      </c>
      <c r="I59" s="2116">
        <f t="shared" si="13"/>
        <v>45809</v>
      </c>
      <c r="J59" s="2116">
        <f t="shared" si="13"/>
        <v>45778</v>
      </c>
      <c r="K59" s="2116">
        <f t="shared" si="13"/>
        <v>45748</v>
      </c>
      <c r="L59" s="2116">
        <f t="shared" si="13"/>
        <v>45717</v>
      </c>
      <c r="M59" s="2116">
        <f t="shared" si="13"/>
        <v>45689</v>
      </c>
      <c r="N59" s="2116">
        <f t="shared" si="13"/>
        <v>45658</v>
      </c>
      <c r="O59" s="2116">
        <f t="shared" si="13"/>
        <v>45627</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470</v>
      </c>
      <c r="B4" s="464"/>
      <c r="C4" s="3644" t="s">
        <v>471</v>
      </c>
      <c r="D4" s="3645"/>
      <c r="E4" s="3682" t="s">
        <v>472</v>
      </c>
      <c r="F4" s="3683"/>
      <c r="G4" s="3644" t="s">
        <v>473</v>
      </c>
      <c r="H4" s="3645"/>
      <c r="I4" s="3644" t="s">
        <v>474</v>
      </c>
      <c r="J4" s="3645"/>
      <c r="K4" s="465" t="s">
        <v>475</v>
      </c>
      <c r="L4" s="1742"/>
      <c r="M4" s="1743"/>
      <c r="N4" s="1743"/>
      <c r="O4" s="1743"/>
      <c r="P4" s="3646" t="s">
        <v>476</v>
      </c>
      <c r="Q4" s="3647"/>
      <c r="R4" s="3630" t="s">
        <v>472</v>
      </c>
      <c r="S4" s="3631"/>
      <c r="T4" s="3630" t="s">
        <v>473</v>
      </c>
      <c r="U4" s="3631"/>
      <c r="V4" s="3652" t="s">
        <v>474</v>
      </c>
      <c r="W4" s="3652"/>
      <c r="X4" s="1303"/>
      <c r="Y4" s="3630" t="s">
        <v>476</v>
      </c>
      <c r="Z4" s="3631"/>
      <c r="AA4" s="3625" t="s">
        <v>472</v>
      </c>
      <c r="AB4" s="3626" t="s">
        <v>473</v>
      </c>
      <c r="AC4" s="3625" t="s">
        <v>474</v>
      </c>
    </row>
    <row r="5" spans="1:29" ht="15">
      <c r="A5" s="466"/>
      <c r="B5" s="467"/>
      <c r="C5" s="3655" t="s">
        <v>2181</v>
      </c>
      <c r="D5" s="3656"/>
      <c r="E5" s="3684" t="s">
        <v>2182</v>
      </c>
      <c r="F5" s="3685"/>
      <c r="G5" s="3655" t="s">
        <v>2183</v>
      </c>
      <c r="H5" s="3656"/>
      <c r="I5" s="3655" t="s">
        <v>2184</v>
      </c>
      <c r="J5" s="3656"/>
      <c r="K5" s="465"/>
      <c r="L5" s="1742"/>
      <c r="M5" s="1743"/>
      <c r="N5" s="1743"/>
      <c r="O5" s="1743"/>
      <c r="P5" s="3648"/>
      <c r="Q5" s="3649"/>
      <c r="R5" s="3632"/>
      <c r="S5" s="3633"/>
      <c r="T5" s="3632"/>
      <c r="U5" s="3633"/>
      <c r="V5" s="3652"/>
      <c r="W5" s="3652"/>
      <c r="X5" s="1303"/>
      <c r="Y5" s="3632"/>
      <c r="Z5" s="3633"/>
      <c r="AA5" s="3626"/>
      <c r="AB5" s="3626"/>
      <c r="AC5" s="3626"/>
    </row>
    <row r="6" spans="1:29" ht="15.75" thickBot="1">
      <c r="A6" s="468"/>
      <c r="B6" s="469"/>
      <c r="C6" s="3653" t="s">
        <v>2185</v>
      </c>
      <c r="D6" s="3654"/>
      <c r="E6" s="3686" t="s">
        <v>2185</v>
      </c>
      <c r="F6" s="3687"/>
      <c r="G6" s="3653" t="s">
        <v>2185</v>
      </c>
      <c r="H6" s="3654"/>
      <c r="I6" s="3653" t="s">
        <v>2185</v>
      </c>
      <c r="J6" s="3654"/>
      <c r="K6" s="465" t="s">
        <v>477</v>
      </c>
      <c r="L6" s="1742"/>
      <c r="M6" s="1743"/>
      <c r="N6" s="1743"/>
      <c r="O6" s="1743"/>
      <c r="P6" s="3650"/>
      <c r="Q6" s="3651"/>
      <c r="R6" s="3632"/>
      <c r="S6" s="3633"/>
      <c r="T6" s="3634"/>
      <c r="U6" s="3635"/>
      <c r="V6" s="3652"/>
      <c r="W6" s="3652"/>
      <c r="X6" s="1303"/>
      <c r="Y6" s="3634"/>
      <c r="Z6" s="3635"/>
      <c r="AA6" s="3627"/>
      <c r="AB6" s="3627"/>
      <c r="AC6" s="3627"/>
    </row>
    <row r="7" spans="1:29" s="1060" customFormat="1" ht="15.75" thickBot="1">
      <c r="A7" s="2210"/>
      <c r="B7" s="2217" t="s">
        <v>478</v>
      </c>
      <c r="C7" s="470">
        <f>'数据-取费表'!B2</f>
        <v>46000</v>
      </c>
      <c r="D7" s="471">
        <v>100</v>
      </c>
      <c r="E7" s="472"/>
      <c r="F7" s="473">
        <f>SUMIF(52:52,YEAR(E7)&amp;"-"&amp;MONTH(E7),53:53)</f>
        <v>0</v>
      </c>
      <c r="G7" s="472"/>
      <c r="H7" s="471">
        <f>SUMIF(52:52,YEAR(G7)&amp;"-"&amp;MONTH(G7),53:53)</f>
        <v>0</v>
      </c>
      <c r="I7" s="472"/>
      <c r="J7" s="471">
        <f>SUMIF(52:52,YEAR(I7)&amp;"-"&amp;MONTH(I7),53:53)</f>
        <v>0</v>
      </c>
      <c r="K7" s="88"/>
      <c r="L7" s="1744"/>
      <c r="M7" s="1641"/>
      <c r="N7" s="1641"/>
      <c r="O7" s="1641"/>
      <c r="P7" s="3628" t="s">
        <v>479</v>
      </c>
      <c r="Q7" s="3637"/>
      <c r="R7" s="1304" t="s">
        <v>5</v>
      </c>
      <c r="S7" s="1305">
        <f t="shared" ref="S7:S15" si="0">F7</f>
        <v>0</v>
      </c>
      <c r="T7" s="1304" t="s">
        <v>5</v>
      </c>
      <c r="U7" s="1305">
        <f t="shared" ref="U7:U15" si="1">H7</f>
        <v>0</v>
      </c>
      <c r="V7" s="1304" t="s">
        <v>5</v>
      </c>
      <c r="W7" s="1305">
        <f t="shared" ref="W7:W15" si="2">J7</f>
        <v>0</v>
      </c>
      <c r="X7" s="1306"/>
      <c r="Y7" s="3628" t="s">
        <v>479</v>
      </c>
      <c r="Z7" s="3629"/>
      <c r="AA7" s="997" t="e">
        <f>D7/F7</f>
        <v>#DIV/0!</v>
      </c>
      <c r="AB7" s="997" t="e">
        <f>D7/H7</f>
        <v>#DIV/0!</v>
      </c>
      <c r="AC7" s="997" t="e">
        <f>D7/J7</f>
        <v>#DIV/0!</v>
      </c>
    </row>
    <row r="8" spans="1:29" s="1060" customFormat="1" ht="15.7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28" t="s">
        <v>482</v>
      </c>
      <c r="Q8" s="3629"/>
      <c r="R8" s="1304" t="s">
        <v>5</v>
      </c>
      <c r="S8" s="1305">
        <f t="shared" si="0"/>
        <v>0</v>
      </c>
      <c r="T8" s="1304" t="s">
        <v>5</v>
      </c>
      <c r="U8" s="1305">
        <f t="shared" si="1"/>
        <v>0</v>
      </c>
      <c r="V8" s="1304" t="s">
        <v>5</v>
      </c>
      <c r="W8" s="1305">
        <f t="shared" si="2"/>
        <v>0</v>
      </c>
      <c r="X8" s="1306"/>
      <c r="Y8" s="3628" t="s">
        <v>482</v>
      </c>
      <c r="Z8" s="3629"/>
      <c r="AA8" s="997" t="e">
        <f t="shared" ref="AA8:AA40" si="3">D8/F8</f>
        <v>#DIV/0!</v>
      </c>
      <c r="AB8" s="997" t="e">
        <f t="shared" ref="AB8:AB40" si="4">D8/H8</f>
        <v>#DIV/0!</v>
      </c>
      <c r="AC8" s="997" t="e">
        <f t="shared" ref="AC8:AC40" si="5">D8/J8</f>
        <v>#DIV/0!</v>
      </c>
    </row>
    <row r="9" spans="1:29" s="1060" customFormat="1" ht="15">
      <c r="A9" s="2212"/>
      <c r="B9" s="2219" t="s">
        <v>2037</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636" t="s">
        <v>484</v>
      </c>
      <c r="Q9" s="818" t="str">
        <f t="shared" ref="Q9:Q15" si="6">B9</f>
        <v>用途</v>
      </c>
      <c r="R9" s="1304" t="s">
        <v>5</v>
      </c>
      <c r="S9" s="1305">
        <f t="shared" si="0"/>
        <v>100</v>
      </c>
      <c r="T9" s="1304" t="s">
        <v>5</v>
      </c>
      <c r="U9" s="1305">
        <f t="shared" si="1"/>
        <v>100</v>
      </c>
      <c r="V9" s="1304" t="s">
        <v>5</v>
      </c>
      <c r="W9" s="1305">
        <f t="shared" si="2"/>
        <v>100</v>
      </c>
      <c r="X9" s="1306"/>
      <c r="Y9" s="3587" t="s">
        <v>485</v>
      </c>
      <c r="Z9" s="997" t="str">
        <f t="shared" ref="Z9:Z15" si="7">Q9</f>
        <v>用途</v>
      </c>
      <c r="AA9" s="997">
        <f t="shared" si="3"/>
        <v>1</v>
      </c>
      <c r="AB9" s="997">
        <f t="shared" si="4"/>
        <v>1</v>
      </c>
      <c r="AC9" s="997">
        <f t="shared" si="5"/>
        <v>1</v>
      </c>
    </row>
    <row r="10" spans="1:29" s="1133" customFormat="1" ht="27">
      <c r="A10" s="2213"/>
      <c r="B10" s="2218" t="s">
        <v>2038</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636"/>
      <c r="Q10" s="818" t="str">
        <f t="shared" si="6"/>
        <v>土地使用年限（年）</v>
      </c>
      <c r="R10" s="1304" t="s">
        <v>5</v>
      </c>
      <c r="S10" s="1305">
        <f t="shared" si="0"/>
        <v>100</v>
      </c>
      <c r="T10" s="1304" t="s">
        <v>5</v>
      </c>
      <c r="U10" s="1305">
        <f t="shared" si="1"/>
        <v>100</v>
      </c>
      <c r="V10" s="1304" t="s">
        <v>5</v>
      </c>
      <c r="W10" s="1305">
        <f t="shared" si="2"/>
        <v>100</v>
      </c>
      <c r="X10" s="1306"/>
      <c r="Y10" s="3587"/>
      <c r="Z10" s="997" t="str">
        <f t="shared" si="7"/>
        <v>土地使用年限（年）</v>
      </c>
      <c r="AA10" s="997">
        <f t="shared" si="3"/>
        <v>1</v>
      </c>
      <c r="AB10" s="997">
        <f t="shared" si="4"/>
        <v>1</v>
      </c>
      <c r="AC10" s="997">
        <f t="shared" si="5"/>
        <v>1</v>
      </c>
    </row>
    <row r="11" spans="1:29" ht="15">
      <c r="A11" s="2214"/>
      <c r="B11" s="2218" t="s">
        <v>2039</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636"/>
      <c r="Q11" s="818" t="str">
        <f t="shared" si="6"/>
        <v>容积率</v>
      </c>
      <c r="R11" s="1304" t="s">
        <v>5</v>
      </c>
      <c r="S11" s="1305" t="e">
        <f t="shared" si="0"/>
        <v>#N/A</v>
      </c>
      <c r="T11" s="1304" t="s">
        <v>5</v>
      </c>
      <c r="U11" s="1305" t="e">
        <f t="shared" si="1"/>
        <v>#N/A</v>
      </c>
      <c r="V11" s="1304" t="s">
        <v>5</v>
      </c>
      <c r="W11" s="1305" t="e">
        <f t="shared" si="2"/>
        <v>#N/A</v>
      </c>
      <c r="X11" s="1306"/>
      <c r="Y11" s="3587"/>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636"/>
      <c r="Q12" s="818">
        <f t="shared" si="6"/>
        <v>111</v>
      </c>
      <c r="R12" s="1304" t="s">
        <v>5</v>
      </c>
      <c r="S12" s="1305">
        <f t="shared" si="0"/>
        <v>100</v>
      </c>
      <c r="T12" s="1304" t="s">
        <v>5</v>
      </c>
      <c r="U12" s="1305">
        <f t="shared" si="1"/>
        <v>100</v>
      </c>
      <c r="V12" s="1304" t="s">
        <v>5</v>
      </c>
      <c r="W12" s="1305">
        <f t="shared" si="2"/>
        <v>100</v>
      </c>
      <c r="X12" s="1306"/>
      <c r="Y12" s="3587"/>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636"/>
      <c r="Q13" s="818">
        <f t="shared" si="6"/>
        <v>111</v>
      </c>
      <c r="R13" s="1304" t="s">
        <v>5</v>
      </c>
      <c r="S13" s="1305">
        <f t="shared" si="0"/>
        <v>100</v>
      </c>
      <c r="T13" s="1304" t="s">
        <v>5</v>
      </c>
      <c r="U13" s="1305">
        <f t="shared" si="1"/>
        <v>100</v>
      </c>
      <c r="V13" s="1304" t="s">
        <v>5</v>
      </c>
      <c r="W13" s="1305">
        <f t="shared" si="2"/>
        <v>100</v>
      </c>
      <c r="X13" s="1306"/>
      <c r="Y13" s="3587"/>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636"/>
      <c r="Q14" s="818">
        <f t="shared" si="6"/>
        <v>111</v>
      </c>
      <c r="R14" s="1304" t="s">
        <v>5</v>
      </c>
      <c r="S14" s="1305">
        <f t="shared" si="0"/>
        <v>100</v>
      </c>
      <c r="T14" s="1304" t="s">
        <v>5</v>
      </c>
      <c r="U14" s="1305">
        <f t="shared" si="1"/>
        <v>100</v>
      </c>
      <c r="V14" s="1304" t="s">
        <v>5</v>
      </c>
      <c r="W14" s="1305">
        <f t="shared" si="2"/>
        <v>100</v>
      </c>
      <c r="X14" s="1306"/>
      <c r="Y14" s="3587"/>
      <c r="Z14" s="997">
        <f t="shared" si="7"/>
        <v>111</v>
      </c>
      <c r="AA14" s="997">
        <f t="shared" si="3"/>
        <v>1</v>
      </c>
      <c r="AB14" s="997">
        <f t="shared" si="4"/>
        <v>1</v>
      </c>
      <c r="AC14" s="997">
        <f t="shared" si="5"/>
        <v>1</v>
      </c>
    </row>
    <row r="15" spans="1:29" ht="15">
      <c r="A15" s="2208" t="s">
        <v>2035</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38" t="s">
        <v>489</v>
      </c>
      <c r="Q15" s="1307" t="str">
        <f t="shared" si="6"/>
        <v>产业集聚程度</v>
      </c>
      <c r="R15" s="1308" t="s">
        <v>5</v>
      </c>
      <c r="S15" s="1309">
        <f t="shared" si="0"/>
        <v>100</v>
      </c>
      <c r="T15" s="1308" t="s">
        <v>5</v>
      </c>
      <c r="U15" s="1309">
        <f t="shared" si="1"/>
        <v>100</v>
      </c>
      <c r="V15" s="1308" t="s">
        <v>5</v>
      </c>
      <c r="W15" s="1309">
        <f t="shared" si="2"/>
        <v>100</v>
      </c>
      <c r="X15" s="1303"/>
      <c r="Y15" s="3638"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9"/>
      <c r="Q16" s="1307"/>
      <c r="R16" s="1308"/>
      <c r="S16" s="1309"/>
      <c r="T16" s="1308"/>
      <c r="U16" s="1309"/>
      <c r="V16" s="1308"/>
      <c r="W16" s="1309"/>
      <c r="X16" s="1303"/>
      <c r="Y16" s="3639"/>
      <c r="Z16" s="1310"/>
      <c r="AA16" s="1310">
        <v>1</v>
      </c>
      <c r="AB16" s="1310">
        <v>1</v>
      </c>
      <c r="AC16" s="1310">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39"/>
      <c r="Q17" s="1307" t="str">
        <f>B17</f>
        <v>交通便捷度</v>
      </c>
      <c r="R17" s="1308" t="s">
        <v>5</v>
      </c>
      <c r="S17" s="1309">
        <f>F17</f>
        <v>100</v>
      </c>
      <c r="T17" s="1308" t="s">
        <v>5</v>
      </c>
      <c r="U17" s="1309">
        <f>H17</f>
        <v>100</v>
      </c>
      <c r="V17" s="1308" t="s">
        <v>5</v>
      </c>
      <c r="W17" s="1309">
        <f>J17</f>
        <v>100</v>
      </c>
      <c r="X17" s="1303"/>
      <c r="Y17" s="3639"/>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9"/>
      <c r="Q18" s="1307"/>
      <c r="R18" s="1308"/>
      <c r="S18" s="1309"/>
      <c r="T18" s="1308"/>
      <c r="U18" s="1309"/>
      <c r="V18" s="1308"/>
      <c r="W18" s="1309"/>
      <c r="X18" s="1303"/>
      <c r="Y18" s="3639"/>
      <c r="Z18" s="1310"/>
      <c r="AA18" s="1310">
        <v>1</v>
      </c>
      <c r="AB18" s="1310">
        <v>1</v>
      </c>
      <c r="AC18" s="1310">
        <v>1</v>
      </c>
    </row>
    <row r="19" spans="1:29" ht="15">
      <c r="A19" s="482"/>
      <c r="B19" s="2063"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39"/>
      <c r="Q19" s="1307" t="str">
        <f>B19</f>
        <v>公共配套设施</v>
      </c>
      <c r="R19" s="1308" t="s">
        <v>5</v>
      </c>
      <c r="S19" s="1309">
        <f>F19</f>
        <v>100</v>
      </c>
      <c r="T19" s="1308" t="s">
        <v>5</v>
      </c>
      <c r="U19" s="1309">
        <f>H19</f>
        <v>100</v>
      </c>
      <c r="V19" s="1308" t="s">
        <v>5</v>
      </c>
      <c r="W19" s="1309">
        <f>J19</f>
        <v>100</v>
      </c>
      <c r="X19" s="1303"/>
      <c r="Y19" s="3639"/>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39"/>
      <c r="Q20" s="1307"/>
      <c r="R20" s="1308"/>
      <c r="S20" s="1309"/>
      <c r="T20" s="1308"/>
      <c r="U20" s="1309"/>
      <c r="V20" s="1308"/>
      <c r="W20" s="1309"/>
      <c r="X20" s="1303"/>
      <c r="Y20" s="3639"/>
      <c r="Z20" s="1310"/>
      <c r="AA20" s="1310">
        <v>1</v>
      </c>
      <c r="AB20" s="1310">
        <v>1</v>
      </c>
      <c r="AC20" s="1310">
        <v>1</v>
      </c>
    </row>
    <row r="21" spans="1:29" ht="15">
      <c r="A21" s="482"/>
      <c r="B21" s="2051"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39"/>
      <c r="Q21" s="1307" t="str">
        <f>B21</f>
        <v>基础设施水平</v>
      </c>
      <c r="R21" s="1308" t="s">
        <v>5</v>
      </c>
      <c r="S21" s="1309">
        <f>F21</f>
        <v>100</v>
      </c>
      <c r="T21" s="1308" t="s">
        <v>5</v>
      </c>
      <c r="U21" s="1309">
        <f>H21</f>
        <v>100</v>
      </c>
      <c r="V21" s="1308" t="s">
        <v>5</v>
      </c>
      <c r="W21" s="1309">
        <f>J21</f>
        <v>100</v>
      </c>
      <c r="X21" s="1303"/>
      <c r="Y21" s="3639"/>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39"/>
      <c r="Q22" s="1307"/>
      <c r="R22" s="1308"/>
      <c r="S22" s="1309"/>
      <c r="T22" s="1308"/>
      <c r="U22" s="1309"/>
      <c r="V22" s="1308"/>
      <c r="W22" s="1309"/>
      <c r="X22" s="1303"/>
      <c r="Y22" s="3639"/>
      <c r="Z22" s="1310"/>
      <c r="AA22" s="1310">
        <v>1</v>
      </c>
      <c r="AB22" s="1310">
        <v>1</v>
      </c>
      <c r="AC22" s="1310">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39"/>
      <c r="Q23" s="1307" t="str">
        <f>B23</f>
        <v>环境质量</v>
      </c>
      <c r="R23" s="1308" t="s">
        <v>5</v>
      </c>
      <c r="S23" s="1309">
        <f>F23</f>
        <v>100</v>
      </c>
      <c r="T23" s="1308" t="s">
        <v>5</v>
      </c>
      <c r="U23" s="1309">
        <f>H23</f>
        <v>100</v>
      </c>
      <c r="V23" s="1308" t="s">
        <v>5</v>
      </c>
      <c r="W23" s="1309">
        <f>J23</f>
        <v>100</v>
      </c>
      <c r="X23" s="1303"/>
      <c r="Y23" s="3639"/>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39"/>
      <c r="Q24" s="1307"/>
      <c r="R24" s="1308"/>
      <c r="S24" s="1309"/>
      <c r="T24" s="1308"/>
      <c r="U24" s="1309"/>
      <c r="V24" s="1308"/>
      <c r="W24" s="1309"/>
      <c r="X24" s="1303"/>
      <c r="Y24" s="3639"/>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39"/>
      <c r="Q25" s="1307">
        <f>B25</f>
        <v>111</v>
      </c>
      <c r="R25" s="1308" t="s">
        <v>5</v>
      </c>
      <c r="S25" s="1309">
        <f>F25</f>
        <v>100</v>
      </c>
      <c r="T25" s="1308" t="s">
        <v>5</v>
      </c>
      <c r="U25" s="1309">
        <f>H25</f>
        <v>100</v>
      </c>
      <c r="V25" s="1308" t="s">
        <v>5</v>
      </c>
      <c r="W25" s="1309">
        <f>J25</f>
        <v>100</v>
      </c>
      <c r="X25" s="1303"/>
      <c r="Y25" s="3639"/>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39"/>
      <c r="Q26" s="1307">
        <f t="shared" ref="Q26:Q40" si="8">B26</f>
        <v>111</v>
      </c>
      <c r="R26" s="1308" t="s">
        <v>5</v>
      </c>
      <c r="S26" s="1309">
        <f>F26</f>
        <v>100</v>
      </c>
      <c r="T26" s="1308" t="s">
        <v>5</v>
      </c>
      <c r="U26" s="1309">
        <f>H26</f>
        <v>100</v>
      </c>
      <c r="V26" s="1308" t="s">
        <v>5</v>
      </c>
      <c r="W26" s="1309">
        <f>J26</f>
        <v>100</v>
      </c>
      <c r="X26" s="1303"/>
      <c r="Y26" s="3639"/>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39"/>
      <c r="Q27" s="818">
        <f t="shared" si="8"/>
        <v>111</v>
      </c>
      <c r="R27" s="1304" t="s">
        <v>5</v>
      </c>
      <c r="S27" s="1305">
        <f>F27</f>
        <v>100</v>
      </c>
      <c r="T27" s="1304" t="s">
        <v>5</v>
      </c>
      <c r="U27" s="1305">
        <f>H27</f>
        <v>100</v>
      </c>
      <c r="V27" s="1304" t="s">
        <v>5</v>
      </c>
      <c r="W27" s="1305">
        <f>J27</f>
        <v>100</v>
      </c>
      <c r="X27" s="1306"/>
      <c r="Y27" s="3639"/>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39"/>
      <c r="Q28" s="1307">
        <f t="shared" si="8"/>
        <v>111</v>
      </c>
      <c r="R28" s="1308" t="s">
        <v>5</v>
      </c>
      <c r="S28" s="1309">
        <f t="shared" ref="S28:S40" si="9">F28</f>
        <v>100</v>
      </c>
      <c r="T28" s="1308" t="s">
        <v>5</v>
      </c>
      <c r="U28" s="1309">
        <f t="shared" ref="U28:U40" si="10">H28</f>
        <v>100</v>
      </c>
      <c r="V28" s="1308" t="s">
        <v>5</v>
      </c>
      <c r="W28" s="1309">
        <f t="shared" ref="W28:W40" si="11">J28</f>
        <v>100</v>
      </c>
      <c r="X28" s="1303"/>
      <c r="Y28" s="3639"/>
      <c r="Z28" s="1310">
        <f t="shared" ref="Z28:Z40" si="12">Q28</f>
        <v>111</v>
      </c>
      <c r="AA28" s="1310">
        <f t="shared" si="3"/>
        <v>1</v>
      </c>
      <c r="AB28" s="1310">
        <f t="shared" si="4"/>
        <v>1</v>
      </c>
      <c r="AC28" s="1310">
        <f t="shared" si="5"/>
        <v>1</v>
      </c>
    </row>
    <row r="29" spans="1:29" ht="15">
      <c r="A29" s="2205" t="s">
        <v>2036</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40" t="s">
        <v>499</v>
      </c>
      <c r="Q29" s="1307" t="str">
        <f t="shared" si="8"/>
        <v>建筑类型</v>
      </c>
      <c r="R29" s="1308" t="s">
        <v>5</v>
      </c>
      <c r="S29" s="1309">
        <f t="shared" si="9"/>
        <v>100</v>
      </c>
      <c r="T29" s="1308" t="s">
        <v>5</v>
      </c>
      <c r="U29" s="1309">
        <f t="shared" si="10"/>
        <v>100</v>
      </c>
      <c r="V29" s="1308" t="s">
        <v>5</v>
      </c>
      <c r="W29" s="1309">
        <f t="shared" si="11"/>
        <v>100</v>
      </c>
      <c r="X29" s="1303"/>
      <c r="Y29" s="3641"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41"/>
      <c r="Q30" s="819" t="str">
        <f t="shared" si="8"/>
        <v>项目建筑规模</v>
      </c>
      <c r="R30" s="1311" t="s">
        <v>5</v>
      </c>
      <c r="S30" s="1312" t="e">
        <f t="shared" si="9"/>
        <v>#N/A</v>
      </c>
      <c r="T30" s="1311" t="s">
        <v>5</v>
      </c>
      <c r="U30" s="1312" t="e">
        <f t="shared" si="10"/>
        <v>#N/A</v>
      </c>
      <c r="V30" s="1311" t="s">
        <v>5</v>
      </c>
      <c r="W30" s="1312" t="e">
        <f t="shared" si="11"/>
        <v>#N/A</v>
      </c>
      <c r="X30" s="1313"/>
      <c r="Y30" s="3641"/>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41"/>
      <c r="Q31" s="1307" t="str">
        <f t="shared" si="8"/>
        <v>建筑结构</v>
      </c>
      <c r="R31" s="1308" t="s">
        <v>5</v>
      </c>
      <c r="S31" s="1309">
        <f t="shared" si="9"/>
        <v>100</v>
      </c>
      <c r="T31" s="1308" t="s">
        <v>5</v>
      </c>
      <c r="U31" s="1309">
        <f t="shared" si="10"/>
        <v>100</v>
      </c>
      <c r="V31" s="1308" t="s">
        <v>5</v>
      </c>
      <c r="W31" s="1309">
        <f t="shared" si="11"/>
        <v>100</v>
      </c>
      <c r="X31" s="1303"/>
      <c r="Y31" s="3641"/>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41"/>
      <c r="Q32" s="1307" t="str">
        <f t="shared" si="8"/>
        <v>公共部分装修</v>
      </c>
      <c r="R32" s="1308" t="s">
        <v>5</v>
      </c>
      <c r="S32" s="1309">
        <f t="shared" si="9"/>
        <v>100</v>
      </c>
      <c r="T32" s="1308" t="s">
        <v>5</v>
      </c>
      <c r="U32" s="1309">
        <f t="shared" si="10"/>
        <v>100</v>
      </c>
      <c r="V32" s="1308" t="s">
        <v>5</v>
      </c>
      <c r="W32" s="1309">
        <f t="shared" si="11"/>
        <v>100</v>
      </c>
      <c r="X32" s="1303"/>
      <c r="Y32" s="3641"/>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41"/>
      <c r="Q33" s="1307" t="str">
        <f t="shared" si="8"/>
        <v>成新度</v>
      </c>
      <c r="R33" s="1308" t="s">
        <v>5</v>
      </c>
      <c r="S33" s="1309" t="e">
        <f t="shared" si="9"/>
        <v>#N/A</v>
      </c>
      <c r="T33" s="1308" t="s">
        <v>5</v>
      </c>
      <c r="U33" s="1309" t="e">
        <f t="shared" si="10"/>
        <v>#N/A</v>
      </c>
      <c r="V33" s="1308" t="s">
        <v>5</v>
      </c>
      <c r="W33" s="1309" t="e">
        <f t="shared" si="11"/>
        <v>#N/A</v>
      </c>
      <c r="X33" s="1303"/>
      <c r="Y33" s="3641"/>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41"/>
      <c r="Q34" s="818" t="str">
        <f t="shared" si="8"/>
        <v>物业管理</v>
      </c>
      <c r="R34" s="1304" t="s">
        <v>5</v>
      </c>
      <c r="S34" s="1305">
        <f t="shared" si="9"/>
        <v>100</v>
      </c>
      <c r="T34" s="1304" t="s">
        <v>5</v>
      </c>
      <c r="U34" s="1305">
        <f t="shared" si="10"/>
        <v>100</v>
      </c>
      <c r="V34" s="1304" t="s">
        <v>5</v>
      </c>
      <c r="W34" s="1305">
        <f t="shared" si="11"/>
        <v>100</v>
      </c>
      <c r="X34" s="1306"/>
      <c r="Y34" s="3641"/>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41" t="s">
        <v>499</v>
      </c>
      <c r="Q35" s="1307" t="str">
        <f t="shared" si="8"/>
        <v>市政基础设施</v>
      </c>
      <c r="R35" s="1308" t="s">
        <v>5</v>
      </c>
      <c r="S35" s="1309">
        <f t="shared" si="9"/>
        <v>100</v>
      </c>
      <c r="T35" s="1308" t="s">
        <v>5</v>
      </c>
      <c r="U35" s="1309">
        <f t="shared" si="10"/>
        <v>100</v>
      </c>
      <c r="V35" s="1308" t="s">
        <v>5</v>
      </c>
      <c r="W35" s="1309">
        <f t="shared" si="11"/>
        <v>100</v>
      </c>
      <c r="X35" s="1303"/>
      <c r="Y35" s="3641"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41"/>
      <c r="Q36" s="1307" t="str">
        <f t="shared" si="8"/>
        <v>内部装修</v>
      </c>
      <c r="R36" s="1308" t="s">
        <v>5</v>
      </c>
      <c r="S36" s="1309">
        <f t="shared" si="9"/>
        <v>100</v>
      </c>
      <c r="T36" s="1308" t="s">
        <v>5</v>
      </c>
      <c r="U36" s="1309">
        <f t="shared" si="10"/>
        <v>100</v>
      </c>
      <c r="V36" s="1308" t="s">
        <v>5</v>
      </c>
      <c r="W36" s="1309">
        <f t="shared" si="11"/>
        <v>100</v>
      </c>
      <c r="X36" s="1303"/>
      <c r="Y36" s="3641"/>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41"/>
      <c r="Q37" s="1307" t="str">
        <f t="shared" si="8"/>
        <v>内部装修状况</v>
      </c>
      <c r="R37" s="1308" t="s">
        <v>5</v>
      </c>
      <c r="S37" s="1309">
        <f t="shared" si="9"/>
        <v>100</v>
      </c>
      <c r="T37" s="1308" t="s">
        <v>5</v>
      </c>
      <c r="U37" s="1309">
        <f t="shared" si="10"/>
        <v>100</v>
      </c>
      <c r="V37" s="1308" t="s">
        <v>5</v>
      </c>
      <c r="W37" s="1309">
        <f t="shared" si="11"/>
        <v>100</v>
      </c>
      <c r="X37" s="1303"/>
      <c r="Y37" s="3641"/>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41"/>
      <c r="Q38" s="819">
        <f t="shared" si="8"/>
        <v>111</v>
      </c>
      <c r="R38" s="1311" t="s">
        <v>5</v>
      </c>
      <c r="S38" s="1312">
        <f t="shared" si="9"/>
        <v>100</v>
      </c>
      <c r="T38" s="1311" t="s">
        <v>5</v>
      </c>
      <c r="U38" s="1312">
        <f t="shared" si="10"/>
        <v>100</v>
      </c>
      <c r="V38" s="1311" t="s">
        <v>5</v>
      </c>
      <c r="W38" s="1312">
        <f t="shared" si="11"/>
        <v>100</v>
      </c>
      <c r="X38" s="1313"/>
      <c r="Y38" s="3641"/>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41"/>
      <c r="Q39" s="1307">
        <f t="shared" si="8"/>
        <v>111</v>
      </c>
      <c r="R39" s="1308" t="s">
        <v>5</v>
      </c>
      <c r="S39" s="1309">
        <f t="shared" si="9"/>
        <v>100</v>
      </c>
      <c r="T39" s="1308" t="s">
        <v>5</v>
      </c>
      <c r="U39" s="1309">
        <f t="shared" si="10"/>
        <v>100</v>
      </c>
      <c r="V39" s="1308" t="s">
        <v>5</v>
      </c>
      <c r="W39" s="1309">
        <f t="shared" si="11"/>
        <v>100</v>
      </c>
      <c r="X39" s="1303"/>
      <c r="Y39" s="3641"/>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47"/>
      <c r="Q40" s="1307">
        <f t="shared" si="8"/>
        <v>111</v>
      </c>
      <c r="R40" s="1308" t="s">
        <v>5</v>
      </c>
      <c r="S40" s="1309">
        <f t="shared" si="9"/>
        <v>100</v>
      </c>
      <c r="T40" s="1308" t="s">
        <v>5</v>
      </c>
      <c r="U40" s="1309">
        <f t="shared" si="10"/>
        <v>100</v>
      </c>
      <c r="V40" s="1308" t="s">
        <v>5</v>
      </c>
      <c r="W40" s="1309">
        <f t="shared" si="11"/>
        <v>100</v>
      </c>
      <c r="X40" s="1303"/>
      <c r="Y40" s="3747"/>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636" t="str">
        <f>A41</f>
        <v>成交单价（元/平方米）</v>
      </c>
      <c r="Q41" s="3636"/>
      <c r="R41" s="3652">
        <f>E41</f>
        <v>0</v>
      </c>
      <c r="S41" s="3652"/>
      <c r="T41" s="3652">
        <f>G41</f>
        <v>0</v>
      </c>
      <c r="U41" s="3652"/>
      <c r="V41" s="3652">
        <f>I41</f>
        <v>0</v>
      </c>
      <c r="W41" s="3652"/>
      <c r="X41" s="799"/>
      <c r="Y41" s="1315"/>
      <c r="Z41" s="799"/>
      <c r="AA41" s="799"/>
      <c r="AB41" s="799"/>
      <c r="AC41" s="799"/>
    </row>
    <row r="42" spans="1:29" ht="15.75" thickBot="1">
      <c r="A42" s="564" t="s">
        <v>2041</v>
      </c>
      <c r="B42" s="813"/>
      <c r="C42" s="2083" t="e">
        <f>R43</f>
        <v>#DIV/0!</v>
      </c>
      <c r="D42" s="2551" t="s">
        <v>2250</v>
      </c>
      <c r="E42" s="2084" t="e">
        <f>R42</f>
        <v>#DIV/0!</v>
      </c>
      <c r="F42" s="2552"/>
      <c r="G42" s="2083" t="e">
        <f>T42</f>
        <v>#DIV/0!</v>
      </c>
      <c r="H42" s="2552"/>
      <c r="I42" s="2084" t="e">
        <f>V42</f>
        <v>#DIV/0!</v>
      </c>
      <c r="J42" s="2552"/>
      <c r="K42" s="2559">
        <f>F42+H42+J42</f>
        <v>0</v>
      </c>
      <c r="L42" s="1752"/>
      <c r="M42" s="1743"/>
      <c r="N42" s="1743"/>
      <c r="O42" s="1743"/>
      <c r="P42" s="3636" t="str">
        <f>A42</f>
        <v>比较价格（元/平方米）</v>
      </c>
      <c r="Q42" s="3636"/>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799"/>
      <c r="Y42" s="799"/>
      <c r="Z42" s="799"/>
      <c r="AA42" s="799"/>
      <c r="AB42" s="799"/>
      <c r="AC42" s="799"/>
    </row>
    <row r="43" spans="1:29" ht="15.75" thickBot="1">
      <c r="A43" s="568" t="s">
        <v>2187</v>
      </c>
      <c r="B43" s="569"/>
      <c r="C43" s="469" t="e">
        <f>R43</f>
        <v>#DIV/0!</v>
      </c>
      <c r="D43" s="469"/>
      <c r="E43" s="469"/>
      <c r="F43" s="469"/>
      <c r="G43" s="469"/>
      <c r="H43" s="469"/>
      <c r="I43" s="469"/>
      <c r="J43" s="469"/>
      <c r="K43" s="1337"/>
      <c r="L43" s="1752"/>
      <c r="M43" s="1743"/>
      <c r="N43" s="1743"/>
      <c r="O43" s="1743"/>
      <c r="P43" s="3642" t="str">
        <f>A43</f>
        <v>估价对象XX用房的比较价格（楼面单价，元/平方米）</v>
      </c>
      <c r="Q43" s="3643"/>
      <c r="R43" s="3746" t="e">
        <f>IF(F1="售价",ROUND(IF(D42="简单平均",AVERAGE(R42:V42),R42*F42+T42*H42+V42*J42),0),ROUND(IF(D42="简单平均",AVERAGE(R42:V42),R42*F42+T42*H42+V42*J42),1))</f>
        <v>#DIV/0!</v>
      </c>
      <c r="S43" s="3746"/>
      <c r="T43" s="3746"/>
      <c r="U43" s="3746"/>
      <c r="V43" s="3746"/>
      <c r="W43" s="3746"/>
      <c r="X43" s="799"/>
      <c r="Y43" s="799"/>
      <c r="Z43" s="799"/>
      <c r="AA43" s="799"/>
      <c r="AB43" s="799"/>
      <c r="AC43" s="799"/>
    </row>
    <row r="44" spans="1:29">
      <c r="A44" s="2722"/>
      <c r="B44" s="2722"/>
      <c r="C44" s="2722"/>
      <c r="D44" s="2722"/>
      <c r="E44" s="2722"/>
      <c r="F44" s="2722"/>
      <c r="G44" s="2724"/>
      <c r="H44" s="2722"/>
      <c r="I44" s="2722"/>
      <c r="J44" s="2722"/>
      <c r="K44" s="2725"/>
      <c r="L44" s="1756"/>
      <c r="M44" s="1743"/>
      <c r="N44" s="1743"/>
      <c r="O44" s="1743"/>
      <c r="P44" s="1743"/>
      <c r="Q44" s="1743"/>
      <c r="R44" s="1743"/>
      <c r="S44" s="1743"/>
      <c r="T44" s="1743"/>
      <c r="U44" s="1743"/>
      <c r="V44" s="1743"/>
      <c r="W44" s="1743"/>
      <c r="X44" s="1743"/>
      <c r="Y44" s="1743"/>
      <c r="Z44" s="1743"/>
      <c r="AA44" s="1743"/>
      <c r="AB44" s="1743"/>
      <c r="AC44" s="1743"/>
    </row>
    <row r="45" spans="1:29">
      <c r="A45" s="2722"/>
      <c r="B45" s="2722"/>
      <c r="C45" s="2722"/>
      <c r="D45" s="2722"/>
      <c r="E45" s="2722"/>
      <c r="F45" s="2722"/>
      <c r="G45" s="2722"/>
      <c r="H45" s="2722"/>
      <c r="I45" s="2722"/>
      <c r="J45" s="2722"/>
      <c r="K45" s="2725"/>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2"/>
      <c r="B46" s="2722"/>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5"/>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2"/>
      <c r="B47" s="2722"/>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5"/>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3"/>
      <c r="B48" s="2723"/>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6"/>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2025-12</v>
      </c>
      <c r="D52" s="2116">
        <f>EDATE(C52,-1)</f>
        <v>45962</v>
      </c>
      <c r="E52" s="2116">
        <f t="shared" ref="E52:O52" si="13">EDATE(D52,-1)</f>
        <v>45931</v>
      </c>
      <c r="F52" s="2116">
        <f t="shared" si="13"/>
        <v>45901</v>
      </c>
      <c r="G52" s="2116">
        <f t="shared" si="13"/>
        <v>45870</v>
      </c>
      <c r="H52" s="2116">
        <f t="shared" si="13"/>
        <v>45839</v>
      </c>
      <c r="I52" s="2116">
        <f t="shared" si="13"/>
        <v>45809</v>
      </c>
      <c r="J52" s="2116">
        <f t="shared" si="13"/>
        <v>45778</v>
      </c>
      <c r="K52" s="2116">
        <f t="shared" si="13"/>
        <v>45748</v>
      </c>
      <c r="L52" s="2116">
        <f t="shared" si="13"/>
        <v>45717</v>
      </c>
      <c r="M52" s="2116">
        <f t="shared" si="13"/>
        <v>45689</v>
      </c>
      <c r="N52" s="2116">
        <f t="shared" si="13"/>
        <v>45658</v>
      </c>
      <c r="O52" s="2116">
        <f t="shared" si="13"/>
        <v>45627</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644" t="s">
        <v>738</v>
      </c>
      <c r="D4" s="3645"/>
      <c r="E4" s="3644" t="s">
        <v>739</v>
      </c>
      <c r="F4" s="3645"/>
      <c r="G4" s="3644" t="s">
        <v>740</v>
      </c>
      <c r="H4" s="3645"/>
      <c r="I4" s="3644" t="s">
        <v>741</v>
      </c>
      <c r="J4" s="3645"/>
      <c r="K4" s="465" t="s">
        <v>742</v>
      </c>
      <c r="L4" s="1742"/>
      <c r="M4" s="1743"/>
      <c r="N4" s="1743"/>
      <c r="O4" s="1743"/>
      <c r="P4" s="3646" t="s">
        <v>743</v>
      </c>
      <c r="Q4" s="3647"/>
      <c r="R4" s="3630" t="s">
        <v>739</v>
      </c>
      <c r="S4" s="3631"/>
      <c r="T4" s="3630" t="s">
        <v>740</v>
      </c>
      <c r="U4" s="3631"/>
      <c r="V4" s="3652" t="s">
        <v>741</v>
      </c>
      <c r="W4" s="3652"/>
      <c r="X4" s="1303"/>
      <c r="Y4" s="3630" t="s">
        <v>743</v>
      </c>
      <c r="Z4" s="3631"/>
      <c r="AA4" s="3625" t="s">
        <v>739</v>
      </c>
      <c r="AB4" s="3626" t="s">
        <v>740</v>
      </c>
      <c r="AC4" s="3625" t="s">
        <v>741</v>
      </c>
    </row>
    <row r="5" spans="1:29" ht="15">
      <c r="A5" s="466"/>
      <c r="B5" s="467"/>
      <c r="C5" s="3655" t="s">
        <v>2181</v>
      </c>
      <c r="D5" s="3656"/>
      <c r="E5" s="3655" t="s">
        <v>2182</v>
      </c>
      <c r="F5" s="3656"/>
      <c r="G5" s="3655" t="s">
        <v>2183</v>
      </c>
      <c r="H5" s="3656"/>
      <c r="I5" s="3655" t="s">
        <v>2184</v>
      </c>
      <c r="J5" s="3656"/>
      <c r="K5" s="465"/>
      <c r="L5" s="1742"/>
      <c r="M5" s="1743"/>
      <c r="N5" s="1743"/>
      <c r="O5" s="1743"/>
      <c r="P5" s="3648"/>
      <c r="Q5" s="3649"/>
      <c r="R5" s="3632"/>
      <c r="S5" s="3633"/>
      <c r="T5" s="3632"/>
      <c r="U5" s="3633"/>
      <c r="V5" s="3652"/>
      <c r="W5" s="3652"/>
      <c r="X5" s="1303"/>
      <c r="Y5" s="3632"/>
      <c r="Z5" s="3633"/>
      <c r="AA5" s="3626"/>
      <c r="AB5" s="3626"/>
      <c r="AC5" s="3626"/>
    </row>
    <row r="6" spans="1:29" ht="15.75" thickBot="1">
      <c r="A6" s="468"/>
      <c r="B6" s="469"/>
      <c r="C6" s="3653" t="s">
        <v>2185</v>
      </c>
      <c r="D6" s="3654"/>
      <c r="E6" s="3657" t="s">
        <v>2185</v>
      </c>
      <c r="F6" s="3658"/>
      <c r="G6" s="3653" t="s">
        <v>2185</v>
      </c>
      <c r="H6" s="3654"/>
      <c r="I6" s="3653" t="s">
        <v>2185</v>
      </c>
      <c r="J6" s="3654"/>
      <c r="K6" s="465" t="s">
        <v>477</v>
      </c>
      <c r="L6" s="1742"/>
      <c r="M6" s="1743"/>
      <c r="N6" s="1743"/>
      <c r="O6" s="1743"/>
      <c r="P6" s="3650"/>
      <c r="Q6" s="3651"/>
      <c r="R6" s="3632"/>
      <c r="S6" s="3633"/>
      <c r="T6" s="3634"/>
      <c r="U6" s="3635"/>
      <c r="V6" s="3652"/>
      <c r="W6" s="3652"/>
      <c r="X6" s="1303"/>
      <c r="Y6" s="3634"/>
      <c r="Z6" s="3635"/>
      <c r="AA6" s="3627"/>
      <c r="AB6" s="3627"/>
      <c r="AC6" s="3627"/>
    </row>
    <row r="7" spans="1:29" s="1060" customFormat="1" ht="15.75" thickBot="1">
      <c r="A7" s="2210"/>
      <c r="B7" s="2217" t="s">
        <v>478</v>
      </c>
      <c r="C7" s="470">
        <f>'数据-取费表'!B2</f>
        <v>46000</v>
      </c>
      <c r="D7" s="471">
        <v>100</v>
      </c>
      <c r="E7" s="472"/>
      <c r="F7" s="473">
        <f>SUMIF(48:48,YEAR(E7)&amp;"-"&amp;MONTH(E7),49:49)</f>
        <v>0</v>
      </c>
      <c r="G7" s="474"/>
      <c r="H7" s="471">
        <f>SUMIF(48:48,YEAR(G7)&amp;"-"&amp;MONTH(G7),49:49)</f>
        <v>0</v>
      </c>
      <c r="I7" s="474"/>
      <c r="J7" s="471">
        <f>SUMIF(48:48,YEAR(I7)&amp;"-"&amp;MONTH(I7),49:49)</f>
        <v>0</v>
      </c>
      <c r="K7" s="88"/>
      <c r="L7" s="1744"/>
      <c r="M7" s="1641"/>
      <c r="N7" s="1641"/>
      <c r="O7" s="1641"/>
      <c r="P7" s="3628" t="s">
        <v>479</v>
      </c>
      <c r="Q7" s="3637"/>
      <c r="R7" s="1304" t="s">
        <v>5</v>
      </c>
      <c r="S7" s="1305">
        <f t="shared" ref="S7:S14" si="0">F7</f>
        <v>0</v>
      </c>
      <c r="T7" s="1304" t="s">
        <v>5</v>
      </c>
      <c r="U7" s="1305">
        <f t="shared" ref="U7:U14" si="1">H7</f>
        <v>0</v>
      </c>
      <c r="V7" s="1304" t="s">
        <v>5</v>
      </c>
      <c r="W7" s="1305">
        <f t="shared" ref="W7:W14" si="2">J7</f>
        <v>0</v>
      </c>
      <c r="X7" s="1306"/>
      <c r="Y7" s="3628" t="s">
        <v>479</v>
      </c>
      <c r="Z7" s="3629"/>
      <c r="AA7" s="997" t="e">
        <f>D7/F7</f>
        <v>#DIV/0!</v>
      </c>
      <c r="AB7" s="997" t="e">
        <f>D7/H7</f>
        <v>#DIV/0!</v>
      </c>
      <c r="AC7" s="997" t="e">
        <f>D7/J7</f>
        <v>#DIV/0!</v>
      </c>
    </row>
    <row r="8" spans="1:29" s="1060" customFormat="1" ht="15.75" thickBot="1">
      <c r="A8" s="2211"/>
      <c r="B8" s="2218"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628" t="s">
        <v>482</v>
      </c>
      <c r="Q8" s="3629"/>
      <c r="R8" s="1304" t="s">
        <v>5</v>
      </c>
      <c r="S8" s="1305">
        <f t="shared" si="0"/>
        <v>0</v>
      </c>
      <c r="T8" s="1304" t="s">
        <v>5</v>
      </c>
      <c r="U8" s="1305">
        <f t="shared" si="1"/>
        <v>0</v>
      </c>
      <c r="V8" s="1304" t="s">
        <v>5</v>
      </c>
      <c r="W8" s="1305">
        <f t="shared" si="2"/>
        <v>0</v>
      </c>
      <c r="X8" s="1306"/>
      <c r="Y8" s="3628" t="s">
        <v>482</v>
      </c>
      <c r="Z8" s="3629"/>
      <c r="AA8" s="997" t="e">
        <f t="shared" ref="AA8:AA36" si="3">D8/F8</f>
        <v>#DIV/0!</v>
      </c>
      <c r="AB8" s="997" t="e">
        <f t="shared" ref="AB8:AB36" si="4">D8/H8</f>
        <v>#DIV/0!</v>
      </c>
      <c r="AC8" s="997" t="e">
        <f t="shared" ref="AC8:AC36" si="5">D8/J8</f>
        <v>#DIV/0!</v>
      </c>
    </row>
    <row r="9" spans="1:29" s="1060" customFormat="1" ht="15">
      <c r="A9" s="2212"/>
      <c r="B9" s="2219" t="s">
        <v>2037</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636" t="s">
        <v>484</v>
      </c>
      <c r="Q9" s="818" t="str">
        <f t="shared" ref="Q9:Q14" si="6">B9</f>
        <v>用途</v>
      </c>
      <c r="R9" s="1304" t="s">
        <v>5</v>
      </c>
      <c r="S9" s="1305">
        <f t="shared" si="0"/>
        <v>100</v>
      </c>
      <c r="T9" s="1304" t="s">
        <v>5</v>
      </c>
      <c r="U9" s="1305">
        <f t="shared" si="1"/>
        <v>100</v>
      </c>
      <c r="V9" s="1304" t="s">
        <v>5</v>
      </c>
      <c r="W9" s="1305">
        <f t="shared" si="2"/>
        <v>100</v>
      </c>
      <c r="X9" s="1306"/>
      <c r="Y9" s="3587" t="s">
        <v>485</v>
      </c>
      <c r="Z9" s="997" t="str">
        <f t="shared" ref="Z9:Z14" si="7">Q9</f>
        <v>用途</v>
      </c>
      <c r="AA9" s="997">
        <f t="shared" si="3"/>
        <v>1</v>
      </c>
      <c r="AB9" s="997">
        <f t="shared" si="4"/>
        <v>1</v>
      </c>
      <c r="AC9" s="997">
        <f t="shared" si="5"/>
        <v>1</v>
      </c>
    </row>
    <row r="10" spans="1:29" s="1133" customFormat="1" ht="27">
      <c r="A10" s="2213"/>
      <c r="B10" s="2218" t="s">
        <v>2038</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636"/>
      <c r="Q10" s="818" t="str">
        <f t="shared" si="6"/>
        <v>土地使用年限（年）</v>
      </c>
      <c r="R10" s="1304" t="s">
        <v>5</v>
      </c>
      <c r="S10" s="1305">
        <f t="shared" si="0"/>
        <v>100</v>
      </c>
      <c r="T10" s="1304" t="s">
        <v>5</v>
      </c>
      <c r="U10" s="1305">
        <f t="shared" si="1"/>
        <v>100</v>
      </c>
      <c r="V10" s="1304" t="s">
        <v>5</v>
      </c>
      <c r="W10" s="1305">
        <f t="shared" si="2"/>
        <v>100</v>
      </c>
      <c r="X10" s="1306"/>
      <c r="Y10" s="3587"/>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636"/>
      <c r="Q11" s="818">
        <f t="shared" si="6"/>
        <v>111</v>
      </c>
      <c r="R11" s="1304" t="s">
        <v>5</v>
      </c>
      <c r="S11" s="1305">
        <f t="shared" si="0"/>
        <v>100</v>
      </c>
      <c r="T11" s="1304" t="s">
        <v>5</v>
      </c>
      <c r="U11" s="1305">
        <f t="shared" si="1"/>
        <v>100</v>
      </c>
      <c r="V11" s="1304" t="s">
        <v>5</v>
      </c>
      <c r="W11" s="1305">
        <f t="shared" si="2"/>
        <v>100</v>
      </c>
      <c r="X11" s="1306"/>
      <c r="Y11" s="3587"/>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636"/>
      <c r="Q12" s="818">
        <f t="shared" si="6"/>
        <v>111</v>
      </c>
      <c r="R12" s="1304" t="s">
        <v>5</v>
      </c>
      <c r="S12" s="1305">
        <f t="shared" si="0"/>
        <v>100</v>
      </c>
      <c r="T12" s="1304" t="s">
        <v>5</v>
      </c>
      <c r="U12" s="1305">
        <f t="shared" si="1"/>
        <v>100</v>
      </c>
      <c r="V12" s="1304" t="s">
        <v>5</v>
      </c>
      <c r="W12" s="1305">
        <f t="shared" si="2"/>
        <v>100</v>
      </c>
      <c r="X12" s="1306"/>
      <c r="Y12" s="3587"/>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636"/>
      <c r="Q13" s="818">
        <f t="shared" si="6"/>
        <v>111</v>
      </c>
      <c r="R13" s="1304" t="s">
        <v>5</v>
      </c>
      <c r="S13" s="1305">
        <f t="shared" si="0"/>
        <v>100</v>
      </c>
      <c r="T13" s="1304" t="s">
        <v>5</v>
      </c>
      <c r="U13" s="1305">
        <f t="shared" si="1"/>
        <v>100</v>
      </c>
      <c r="V13" s="1304" t="s">
        <v>5</v>
      </c>
      <c r="W13" s="1305">
        <f t="shared" si="2"/>
        <v>100</v>
      </c>
      <c r="X13" s="1306"/>
      <c r="Y13" s="3587"/>
      <c r="Z13" s="997">
        <f t="shared" si="7"/>
        <v>111</v>
      </c>
      <c r="AA13" s="997">
        <f t="shared" si="3"/>
        <v>1</v>
      </c>
      <c r="AB13" s="997">
        <f t="shared" si="4"/>
        <v>1</v>
      </c>
      <c r="AC13" s="997">
        <f t="shared" si="5"/>
        <v>1</v>
      </c>
    </row>
    <row r="14" spans="1:29" ht="15">
      <c r="A14" s="2208" t="s">
        <v>2035</v>
      </c>
      <c r="B14" s="497" t="s">
        <v>492</v>
      </c>
      <c r="C14" s="843">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638" t="s">
        <v>489</v>
      </c>
      <c r="Q14" s="1307" t="str">
        <f t="shared" si="6"/>
        <v>交通便捷度</v>
      </c>
      <c r="R14" s="1308" t="s">
        <v>5</v>
      </c>
      <c r="S14" s="1309">
        <f t="shared" si="0"/>
        <v>100</v>
      </c>
      <c r="T14" s="1308" t="s">
        <v>5</v>
      </c>
      <c r="U14" s="1309">
        <f t="shared" si="1"/>
        <v>100</v>
      </c>
      <c r="V14" s="1308" t="s">
        <v>5</v>
      </c>
      <c r="W14" s="1309">
        <f t="shared" si="2"/>
        <v>100</v>
      </c>
      <c r="X14" s="1303"/>
      <c r="Y14" s="3638"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639"/>
      <c r="Q15" s="1307"/>
      <c r="R15" s="1308"/>
      <c r="S15" s="1309"/>
      <c r="T15" s="1308"/>
      <c r="U15" s="1309"/>
      <c r="V15" s="1308"/>
      <c r="W15" s="1309"/>
      <c r="X15" s="1303"/>
      <c r="Y15" s="3639"/>
      <c r="Z15" s="1310"/>
      <c r="AA15" s="1310">
        <v>1</v>
      </c>
      <c r="AB15" s="1310">
        <v>1</v>
      </c>
      <c r="AC15" s="1310">
        <v>1</v>
      </c>
    </row>
    <row r="16" spans="1:29" ht="15">
      <c r="A16" s="466"/>
      <c r="B16" s="2063"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639"/>
      <c r="Q16" s="1307" t="str">
        <f>B16</f>
        <v>公共配套设施</v>
      </c>
      <c r="R16" s="1308" t="s">
        <v>5</v>
      </c>
      <c r="S16" s="1309">
        <f>F16</f>
        <v>100</v>
      </c>
      <c r="T16" s="1308" t="s">
        <v>5</v>
      </c>
      <c r="U16" s="1309">
        <f>H16</f>
        <v>100</v>
      </c>
      <c r="V16" s="1308" t="s">
        <v>5</v>
      </c>
      <c r="W16" s="1309">
        <f>J16</f>
        <v>100</v>
      </c>
      <c r="X16" s="1303"/>
      <c r="Y16" s="3639"/>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639"/>
      <c r="Q17" s="1307"/>
      <c r="R17" s="1308"/>
      <c r="S17" s="1309"/>
      <c r="T17" s="1308"/>
      <c r="U17" s="1309"/>
      <c r="V17" s="1308"/>
      <c r="W17" s="1309"/>
      <c r="X17" s="1303"/>
      <c r="Y17" s="3639"/>
      <c r="Z17" s="1310"/>
      <c r="AA17" s="1310">
        <v>1</v>
      </c>
      <c r="AB17" s="1310">
        <v>1</v>
      </c>
      <c r="AC17" s="1310">
        <v>1</v>
      </c>
    </row>
    <row r="18" spans="1:29" ht="15">
      <c r="A18" s="466"/>
      <c r="B18" s="2051"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639"/>
      <c r="Q18" s="1307" t="str">
        <f>B18</f>
        <v>基础设施水平</v>
      </c>
      <c r="R18" s="1308" t="s">
        <v>5</v>
      </c>
      <c r="S18" s="1309">
        <f>F18</f>
        <v>100</v>
      </c>
      <c r="T18" s="1308" t="s">
        <v>5</v>
      </c>
      <c r="U18" s="1309">
        <f>H18</f>
        <v>100</v>
      </c>
      <c r="V18" s="1308" t="s">
        <v>5</v>
      </c>
      <c r="W18" s="1309">
        <f>J18</f>
        <v>100</v>
      </c>
      <c r="X18" s="1303"/>
      <c r="Y18" s="3639"/>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639"/>
      <c r="Q19" s="1307"/>
      <c r="R19" s="1308"/>
      <c r="S19" s="1309"/>
      <c r="T19" s="1308"/>
      <c r="U19" s="1309"/>
      <c r="V19" s="1308"/>
      <c r="W19" s="1309"/>
      <c r="X19" s="1303"/>
      <c r="Y19" s="3639"/>
      <c r="Z19" s="1310"/>
      <c r="AA19" s="1310">
        <v>1</v>
      </c>
      <c r="AB19" s="1310">
        <v>1</v>
      </c>
      <c r="AC19" s="1310">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639"/>
      <c r="Q20" s="1307" t="str">
        <f>B20</f>
        <v>自然及人文环境</v>
      </c>
      <c r="R20" s="1308" t="s">
        <v>5</v>
      </c>
      <c r="S20" s="1309">
        <f>F20</f>
        <v>100</v>
      </c>
      <c r="T20" s="1308" t="s">
        <v>5</v>
      </c>
      <c r="U20" s="1309">
        <f>H20</f>
        <v>100</v>
      </c>
      <c r="V20" s="1308" t="s">
        <v>5</v>
      </c>
      <c r="W20" s="1309">
        <f>J20</f>
        <v>100</v>
      </c>
      <c r="X20" s="1303"/>
      <c r="Y20" s="3639"/>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639"/>
      <c r="Q21" s="1307"/>
      <c r="R21" s="1308"/>
      <c r="S21" s="1309"/>
      <c r="T21" s="1308"/>
      <c r="U21" s="1309"/>
      <c r="V21" s="1308"/>
      <c r="W21" s="1309"/>
      <c r="X21" s="1303"/>
      <c r="Y21" s="3639"/>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39"/>
      <c r="Q22" s="1307" t="str">
        <f>B22</f>
        <v>楼层</v>
      </c>
      <c r="R22" s="1308" t="s">
        <v>5</v>
      </c>
      <c r="S22" s="1309">
        <f>F22</f>
        <v>100</v>
      </c>
      <c r="T22" s="1308" t="s">
        <v>5</v>
      </c>
      <c r="U22" s="1309">
        <f>H22</f>
        <v>100</v>
      </c>
      <c r="V22" s="1308" t="s">
        <v>5</v>
      </c>
      <c r="W22" s="1309">
        <f>J22</f>
        <v>100</v>
      </c>
      <c r="X22" s="1303"/>
      <c r="Y22" s="3639"/>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39"/>
      <c r="Q23" s="1307">
        <f>B23</f>
        <v>111</v>
      </c>
      <c r="R23" s="1308" t="s">
        <v>5</v>
      </c>
      <c r="S23" s="1309">
        <f>F23</f>
        <v>100</v>
      </c>
      <c r="T23" s="1308" t="s">
        <v>5</v>
      </c>
      <c r="U23" s="1309">
        <f>H23</f>
        <v>100</v>
      </c>
      <c r="V23" s="1308" t="s">
        <v>5</v>
      </c>
      <c r="W23" s="1309">
        <f>J23</f>
        <v>100</v>
      </c>
      <c r="X23" s="1303"/>
      <c r="Y23" s="3639"/>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39"/>
      <c r="Q24" s="1307">
        <f t="shared" ref="Q24:Q36" si="8">B24</f>
        <v>111</v>
      </c>
      <c r="R24" s="1308" t="s">
        <v>5</v>
      </c>
      <c r="S24" s="1309">
        <f>F24</f>
        <v>100</v>
      </c>
      <c r="T24" s="1308" t="s">
        <v>5</v>
      </c>
      <c r="U24" s="1309">
        <f>H24</f>
        <v>100</v>
      </c>
      <c r="V24" s="1308" t="s">
        <v>5</v>
      </c>
      <c r="W24" s="1309">
        <f>J24</f>
        <v>100</v>
      </c>
      <c r="X24" s="1303"/>
      <c r="Y24" s="3639"/>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39"/>
      <c r="Q25" s="818">
        <f t="shared" si="8"/>
        <v>111</v>
      </c>
      <c r="R25" s="1304" t="s">
        <v>5</v>
      </c>
      <c r="S25" s="1305">
        <f>F25</f>
        <v>100</v>
      </c>
      <c r="T25" s="1304" t="s">
        <v>5</v>
      </c>
      <c r="U25" s="1305">
        <f>H25</f>
        <v>100</v>
      </c>
      <c r="V25" s="1304" t="s">
        <v>5</v>
      </c>
      <c r="W25" s="1305">
        <f>J25</f>
        <v>100</v>
      </c>
      <c r="X25" s="1306"/>
      <c r="Y25" s="3639"/>
      <c r="Z25" s="997">
        <f>Q25</f>
        <v>111</v>
      </c>
      <c r="AA25" s="1310">
        <f>D25/F25</f>
        <v>1</v>
      </c>
      <c r="AB25" s="1310">
        <f>D25/H25</f>
        <v>1</v>
      </c>
      <c r="AC25" s="1310">
        <f>D25/J25</f>
        <v>1</v>
      </c>
    </row>
    <row r="26" spans="1:29" ht="15">
      <c r="A26" s="2205" t="s">
        <v>2036</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640"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41"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41"/>
      <c r="Q27" s="819" t="str">
        <f t="shared" si="8"/>
        <v>项目停车位配比</v>
      </c>
      <c r="R27" s="1311" t="s">
        <v>5</v>
      </c>
      <c r="S27" s="1312">
        <f t="shared" si="9"/>
        <v>100</v>
      </c>
      <c r="T27" s="1311" t="s">
        <v>5</v>
      </c>
      <c r="U27" s="1312">
        <f t="shared" si="10"/>
        <v>100</v>
      </c>
      <c r="V27" s="1311" t="s">
        <v>5</v>
      </c>
      <c r="W27" s="1312">
        <f t="shared" si="11"/>
        <v>100</v>
      </c>
      <c r="X27" s="1313"/>
      <c r="Y27" s="3641"/>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641"/>
      <c r="Q28" s="1307" t="str">
        <f t="shared" si="8"/>
        <v>公共部分装修</v>
      </c>
      <c r="R28" s="1308" t="s">
        <v>5</v>
      </c>
      <c r="S28" s="1309">
        <f t="shared" si="9"/>
        <v>100</v>
      </c>
      <c r="T28" s="1308" t="s">
        <v>5</v>
      </c>
      <c r="U28" s="1309">
        <f t="shared" si="10"/>
        <v>100</v>
      </c>
      <c r="V28" s="1308" t="s">
        <v>5</v>
      </c>
      <c r="W28" s="1309">
        <f t="shared" si="11"/>
        <v>100</v>
      </c>
      <c r="X28" s="1303"/>
      <c r="Y28" s="3641"/>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641"/>
      <c r="Q29" s="1307" t="str">
        <f t="shared" si="8"/>
        <v>成新率</v>
      </c>
      <c r="R29" s="1308" t="s">
        <v>5</v>
      </c>
      <c r="S29" s="1309" t="e">
        <f t="shared" si="9"/>
        <v>#N/A</v>
      </c>
      <c r="T29" s="1308" t="s">
        <v>5</v>
      </c>
      <c r="U29" s="1309" t="e">
        <f t="shared" si="10"/>
        <v>#N/A</v>
      </c>
      <c r="V29" s="1308" t="s">
        <v>5</v>
      </c>
      <c r="W29" s="1309" t="e">
        <f t="shared" si="11"/>
        <v>#N/A</v>
      </c>
      <c r="X29" s="1303"/>
      <c r="Y29" s="3641"/>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641"/>
      <c r="Q30" s="1307" t="str">
        <f t="shared" si="8"/>
        <v>物业等级</v>
      </c>
      <c r="R30" s="1308" t="s">
        <v>5</v>
      </c>
      <c r="S30" s="1309">
        <f t="shared" si="9"/>
        <v>100</v>
      </c>
      <c r="T30" s="1308" t="s">
        <v>5</v>
      </c>
      <c r="U30" s="1309">
        <f t="shared" si="10"/>
        <v>100</v>
      </c>
      <c r="V30" s="1308" t="s">
        <v>5</v>
      </c>
      <c r="W30" s="1309">
        <f t="shared" si="11"/>
        <v>100</v>
      </c>
      <c r="X30" s="1303"/>
      <c r="Y30" s="3641"/>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641"/>
      <c r="Q31" s="818" t="str">
        <f t="shared" si="8"/>
        <v>停车位面积</v>
      </c>
      <c r="R31" s="1304" t="s">
        <v>5</v>
      </c>
      <c r="S31" s="1305" t="e">
        <f t="shared" si="9"/>
        <v>#N/A</v>
      </c>
      <c r="T31" s="1304" t="s">
        <v>5</v>
      </c>
      <c r="U31" s="1305" t="e">
        <f t="shared" si="10"/>
        <v>#N/A</v>
      </c>
      <c r="V31" s="1304" t="s">
        <v>5</v>
      </c>
      <c r="W31" s="1305" t="e">
        <f t="shared" si="11"/>
        <v>#N/A</v>
      </c>
      <c r="X31" s="1306"/>
      <c r="Y31" s="3641"/>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641" t="s">
        <v>499</v>
      </c>
      <c r="Q32" s="1307" t="str">
        <f t="shared" si="8"/>
        <v>车位类型</v>
      </c>
      <c r="R32" s="1308" t="s">
        <v>5</v>
      </c>
      <c r="S32" s="1309">
        <f t="shared" si="9"/>
        <v>100</v>
      </c>
      <c r="T32" s="1308" t="s">
        <v>5</v>
      </c>
      <c r="U32" s="1309">
        <f t="shared" si="10"/>
        <v>100</v>
      </c>
      <c r="V32" s="1308" t="s">
        <v>5</v>
      </c>
      <c r="W32" s="1309">
        <f t="shared" si="11"/>
        <v>100</v>
      </c>
      <c r="X32" s="1303"/>
      <c r="Y32" s="3641"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641"/>
      <c r="Q33" s="1307" t="str">
        <f t="shared" si="8"/>
        <v>是否直接入户</v>
      </c>
      <c r="R33" s="1308" t="s">
        <v>5</v>
      </c>
      <c r="S33" s="1309">
        <f t="shared" si="9"/>
        <v>100</v>
      </c>
      <c r="T33" s="1308" t="s">
        <v>5</v>
      </c>
      <c r="U33" s="1309">
        <f t="shared" si="10"/>
        <v>100</v>
      </c>
      <c r="V33" s="1308" t="s">
        <v>5</v>
      </c>
      <c r="W33" s="1309">
        <f t="shared" si="11"/>
        <v>100</v>
      </c>
      <c r="X33" s="1303"/>
      <c r="Y33" s="3641"/>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41"/>
      <c r="Q34" s="1307">
        <f t="shared" si="8"/>
        <v>111</v>
      </c>
      <c r="R34" s="1308" t="s">
        <v>5</v>
      </c>
      <c r="S34" s="1309">
        <f t="shared" si="9"/>
        <v>100</v>
      </c>
      <c r="T34" s="1308" t="s">
        <v>5</v>
      </c>
      <c r="U34" s="1309">
        <f t="shared" si="10"/>
        <v>100</v>
      </c>
      <c r="V34" s="1308" t="s">
        <v>5</v>
      </c>
      <c r="W34" s="1309">
        <f t="shared" si="11"/>
        <v>100</v>
      </c>
      <c r="X34" s="1303"/>
      <c r="Y34" s="3641"/>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41"/>
      <c r="Q35" s="819">
        <f t="shared" si="8"/>
        <v>111</v>
      </c>
      <c r="R35" s="1311" t="s">
        <v>5</v>
      </c>
      <c r="S35" s="1312">
        <f t="shared" si="9"/>
        <v>100</v>
      </c>
      <c r="T35" s="1311" t="s">
        <v>5</v>
      </c>
      <c r="U35" s="1312">
        <f t="shared" si="10"/>
        <v>100</v>
      </c>
      <c r="V35" s="1311" t="s">
        <v>5</v>
      </c>
      <c r="W35" s="1312">
        <f t="shared" si="11"/>
        <v>100</v>
      </c>
      <c r="X35" s="1313"/>
      <c r="Y35" s="3641"/>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41"/>
      <c r="Q36" s="1307">
        <f t="shared" si="8"/>
        <v>111</v>
      </c>
      <c r="R36" s="1308" t="s">
        <v>5</v>
      </c>
      <c r="S36" s="1309">
        <f t="shared" si="9"/>
        <v>100</v>
      </c>
      <c r="T36" s="1308" t="s">
        <v>5</v>
      </c>
      <c r="U36" s="1309">
        <f t="shared" si="10"/>
        <v>100</v>
      </c>
      <c r="V36" s="1308" t="s">
        <v>5</v>
      </c>
      <c r="W36" s="1309">
        <f t="shared" si="11"/>
        <v>100</v>
      </c>
      <c r="X36" s="1303"/>
      <c r="Y36" s="3641"/>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636" t="str">
        <f>A37</f>
        <v>成交单价</v>
      </c>
      <c r="Q37" s="3636"/>
      <c r="R37" s="3652">
        <f>E37</f>
        <v>0</v>
      </c>
      <c r="S37" s="3652"/>
      <c r="T37" s="3652">
        <f>G37</f>
        <v>0</v>
      </c>
      <c r="U37" s="3652"/>
      <c r="V37" s="3652">
        <f>I37</f>
        <v>0</v>
      </c>
      <c r="W37" s="3652"/>
      <c r="X37" s="799"/>
      <c r="Y37" s="1315"/>
      <c r="Z37" s="799"/>
      <c r="AA37" s="799"/>
      <c r="AB37" s="799"/>
      <c r="AC37" s="799"/>
    </row>
    <row r="38" spans="1:29" ht="15.75" thickBot="1">
      <c r="A38" s="564" t="s">
        <v>2041</v>
      </c>
      <c r="B38" s="813"/>
      <c r="C38" s="2083" t="e">
        <f>R39</f>
        <v>#DIV/0!</v>
      </c>
      <c r="D38" s="2551" t="s">
        <v>2250</v>
      </c>
      <c r="E38" s="2084" t="e">
        <f>R38</f>
        <v>#DIV/0!</v>
      </c>
      <c r="F38" s="2552"/>
      <c r="G38" s="2083" t="e">
        <f>T38</f>
        <v>#DIV/0!</v>
      </c>
      <c r="H38" s="2552"/>
      <c r="I38" s="2084" t="e">
        <f>V38</f>
        <v>#DIV/0!</v>
      </c>
      <c r="J38" s="2552"/>
      <c r="K38" s="2559">
        <f>F38+H38+J38</f>
        <v>0</v>
      </c>
      <c r="L38" s="1752"/>
      <c r="M38" s="1743"/>
      <c r="N38" s="1743"/>
      <c r="O38" s="1743"/>
      <c r="P38" s="3636" t="str">
        <f>A38</f>
        <v>比较价格（元/平方米）</v>
      </c>
      <c r="Q38" s="3636"/>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799"/>
      <c r="Y38" s="799"/>
      <c r="Z38" s="799"/>
      <c r="AA38" s="799"/>
      <c r="AB38" s="799"/>
      <c r="AC38" s="799"/>
    </row>
    <row r="39" spans="1:29" ht="15.75" thickBot="1">
      <c r="A39" s="568" t="s">
        <v>2187</v>
      </c>
      <c r="B39" s="569"/>
      <c r="C39" s="469" t="e">
        <f>R39</f>
        <v>#DIV/0!</v>
      </c>
      <c r="D39" s="469"/>
      <c r="E39" s="469"/>
      <c r="F39" s="469"/>
      <c r="G39" s="469"/>
      <c r="H39" s="469"/>
      <c r="I39" s="469"/>
      <c r="J39" s="469"/>
      <c r="K39" s="1337"/>
      <c r="L39" s="1752"/>
      <c r="M39" s="1743"/>
      <c r="N39" s="1743"/>
      <c r="O39" s="1743"/>
      <c r="P39" s="3642" t="str">
        <f>A39</f>
        <v>估价对象XX用房的比较价格（楼面单价，元/平方米）</v>
      </c>
      <c r="Q39" s="3643"/>
      <c r="R39" s="3746" t="e">
        <f>IF(F1="售价",ROUND(IF(D38="简单平均",AVERAGE(R38:W38),R38*F38+T38*H38+V38*J38),0),ROUND(IF(D38="简单平均",AVERAGE(R38:V38),R38*F38+T38*H38+V38*J38),1))</f>
        <v>#DIV/0!</v>
      </c>
      <c r="S39" s="3746"/>
      <c r="T39" s="3746"/>
      <c r="U39" s="3746"/>
      <c r="V39" s="3746"/>
      <c r="W39" s="3746"/>
      <c r="X39" s="799"/>
      <c r="Y39" s="799"/>
      <c r="Z39" s="799"/>
      <c r="AA39" s="799"/>
      <c r="AB39" s="799"/>
      <c r="AC39" s="799"/>
    </row>
    <row r="40" spans="1:29">
      <c r="A40" s="2722"/>
      <c r="B40" s="2722"/>
      <c r="C40" s="2722"/>
      <c r="D40" s="2722"/>
      <c r="E40" s="2722"/>
      <c r="F40" s="2722"/>
      <c r="G40" s="2724"/>
      <c r="H40" s="2722"/>
      <c r="I40" s="2722"/>
      <c r="J40" s="2722"/>
      <c r="K40" s="2725"/>
      <c r="L40" s="1756"/>
      <c r="M40" s="1743"/>
      <c r="N40" s="1743"/>
      <c r="O40" s="1743"/>
      <c r="P40" s="1743"/>
      <c r="Q40" s="1743"/>
      <c r="R40" s="1743"/>
      <c r="S40" s="1743"/>
      <c r="T40" s="1743"/>
      <c r="U40" s="1743"/>
      <c r="V40" s="1743"/>
      <c r="W40" s="1743"/>
      <c r="X40" s="1743"/>
      <c r="Y40" s="1743"/>
      <c r="Z40" s="1743"/>
      <c r="AA40" s="1743"/>
      <c r="AB40" s="1743"/>
      <c r="AC40" s="1743"/>
    </row>
    <row r="41" spans="1:29">
      <c r="A41" s="2722"/>
      <c r="B41" s="2722"/>
      <c r="C41" s="2722"/>
      <c r="D41" s="2722"/>
      <c r="E41" s="2722"/>
      <c r="F41" s="2722"/>
      <c r="G41" s="2722"/>
      <c r="H41" s="2722"/>
      <c r="I41" s="2722"/>
      <c r="J41" s="2722"/>
      <c r="K41" s="2725"/>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2"/>
      <c r="B42" s="2722"/>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5"/>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2"/>
      <c r="B43" s="2722"/>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5"/>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3"/>
      <c r="B44" s="2723"/>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6"/>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2025-12</v>
      </c>
      <c r="D48" s="2116">
        <f>EDATE(C48,-1)</f>
        <v>45962</v>
      </c>
      <c r="E48" s="2116">
        <f t="shared" ref="E48:O48" si="13">EDATE(D48,-1)</f>
        <v>45931</v>
      </c>
      <c r="F48" s="2116">
        <f t="shared" si="13"/>
        <v>45901</v>
      </c>
      <c r="G48" s="2116">
        <f t="shared" si="13"/>
        <v>45870</v>
      </c>
      <c r="H48" s="2116">
        <f t="shared" si="13"/>
        <v>45839</v>
      </c>
      <c r="I48" s="2116">
        <f t="shared" si="13"/>
        <v>45809</v>
      </c>
      <c r="J48" s="2116">
        <f t="shared" si="13"/>
        <v>45778</v>
      </c>
      <c r="K48" s="2116">
        <f t="shared" si="13"/>
        <v>45748</v>
      </c>
      <c r="L48" s="2116">
        <f t="shared" si="13"/>
        <v>45717</v>
      </c>
      <c r="M48" s="2116">
        <f t="shared" si="13"/>
        <v>45689</v>
      </c>
      <c r="N48" s="2116">
        <f t="shared" si="13"/>
        <v>45658</v>
      </c>
      <c r="O48" s="2116">
        <f t="shared" si="13"/>
        <v>45627</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0" t="s">
        <v>1556</v>
      </c>
      <c r="B1" s="3450"/>
      <c r="C1" s="3450"/>
      <c r="D1" s="3450"/>
      <c r="E1" s="3450"/>
      <c r="F1" s="3450"/>
      <c r="G1" s="3450"/>
      <c r="H1" s="3450"/>
      <c r="I1" s="3450"/>
      <c r="J1" s="3450"/>
      <c r="K1" s="3450"/>
      <c r="L1" s="3450"/>
      <c r="M1" s="3450"/>
      <c r="N1" s="3450"/>
      <c r="O1" s="3450"/>
      <c r="P1" s="3450"/>
      <c r="Q1" s="3450"/>
      <c r="R1" s="3450"/>
    </row>
    <row r="2" spans="1:18">
      <c r="A2" s="1503" t="s">
        <v>1558</v>
      </c>
      <c r="B2" s="1503"/>
      <c r="C2" s="1503"/>
      <c r="D2" s="1503"/>
      <c r="E2" s="1503"/>
      <c r="F2" s="1503"/>
      <c r="G2" s="1503"/>
      <c r="H2" s="1503"/>
      <c r="I2" s="1504"/>
      <c r="J2" s="1504"/>
      <c r="K2" s="1505" t="str">
        <f>"估价期日："&amp;TEXT(项目基本情况!D3,"yyyy年m月d日;;")</f>
        <v>估价期日：2025年12月9日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51" t="s">
        <v>1547</v>
      </c>
      <c r="B3" s="3451" t="s">
        <v>2012</v>
      </c>
      <c r="C3" s="3452" t="s">
        <v>1548</v>
      </c>
      <c r="D3" s="3451" t="s">
        <v>2016</v>
      </c>
      <c r="E3" s="3453" t="s">
        <v>1549</v>
      </c>
      <c r="F3" s="3453"/>
      <c r="G3" s="3453"/>
      <c r="H3" s="3453" t="s">
        <v>1550</v>
      </c>
      <c r="I3" s="3453"/>
      <c r="J3" s="3453"/>
      <c r="K3" s="3452" t="s">
        <v>1551</v>
      </c>
      <c r="L3" s="3452" t="s">
        <v>1552</v>
      </c>
      <c r="M3" s="3451" t="s">
        <v>2013</v>
      </c>
      <c r="N3" s="3451" t="str">
        <f>"（分摊）"&amp;项目基本情况!A17&amp;"国有建设用地使用权面积/㎡"</f>
        <v>（分摊）出让国有建设用地使用权面积/㎡</v>
      </c>
      <c r="O3" s="3451" t="s">
        <v>1581</v>
      </c>
      <c r="P3" s="3452" t="s">
        <v>1561</v>
      </c>
      <c r="Q3" s="3452" t="s">
        <v>1582</v>
      </c>
      <c r="R3" s="3452" t="s">
        <v>1553</v>
      </c>
    </row>
    <row r="4" spans="1:18" ht="36.75" customHeight="1">
      <c r="A4" s="3451"/>
      <c r="B4" s="3451"/>
      <c r="C4" s="3452"/>
      <c r="D4" s="3451"/>
      <c r="E4" s="1506" t="s">
        <v>1560</v>
      </c>
      <c r="F4" s="1506" t="s">
        <v>2025</v>
      </c>
      <c r="G4" s="1506" t="s">
        <v>1554</v>
      </c>
      <c r="H4" s="1506" t="s">
        <v>1555</v>
      </c>
      <c r="I4" s="1506" t="s">
        <v>2026</v>
      </c>
      <c r="J4" s="1506" t="s">
        <v>1554</v>
      </c>
      <c r="K4" s="3452"/>
      <c r="L4" s="3452"/>
      <c r="M4" s="3451"/>
      <c r="N4" s="3451"/>
      <c r="O4" s="3451"/>
      <c r="P4" s="3452"/>
      <c r="Q4" s="3452"/>
      <c r="R4" s="3452"/>
    </row>
    <row r="5" spans="1:18" ht="135" customHeight="1">
      <c r="A5" s="1603" t="s">
        <v>1936</v>
      </c>
      <c r="B5" s="2173" t="s">
        <v>1934</v>
      </c>
      <c r="C5" s="2090">
        <v>22</v>
      </c>
      <c r="D5" s="2089" t="s">
        <v>1935</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33342.660000000003</v>
      </c>
      <c r="O5" s="1506">
        <f>项目基本情况!C21</f>
        <v>100027.98000000001</v>
      </c>
      <c r="P5" s="1506">
        <f ca="1">结果表!E42</f>
        <v>7510</v>
      </c>
      <c r="Q5" s="1506">
        <f ca="1">结果表!D42</f>
        <v>2503</v>
      </c>
      <c r="R5" s="1507">
        <f ca="1">结果表!C42</f>
        <v>25042</v>
      </c>
    </row>
    <row r="6" spans="1:18">
      <c r="A6" s="3454" t="str">
        <f>IF(项目基本情况!B9="市场价格","——","抵押价格")</f>
        <v>抵押价格</v>
      </c>
      <c r="B6" s="3455"/>
      <c r="C6" s="3455"/>
      <c r="D6" s="3455"/>
      <c r="E6" s="3455"/>
      <c r="F6" s="3455"/>
      <c r="G6" s="3455"/>
      <c r="H6" s="3455"/>
      <c r="I6" s="3455"/>
      <c r="J6" s="3455"/>
      <c r="K6" s="3455"/>
      <c r="L6" s="3455"/>
      <c r="M6" s="3455"/>
      <c r="N6" s="3455"/>
      <c r="O6" s="3455"/>
      <c r="P6" s="3455"/>
      <c r="Q6" s="3456"/>
      <c r="R6" s="1508">
        <f ca="1">结果表!O39</f>
        <v>25042</v>
      </c>
    </row>
    <row r="7" spans="1:18">
      <c r="A7" s="3454" t="str">
        <f>IF(项目基本情况!B9="市场价格","——",IF(项目基本情况!E8="已注销及未注销","抵押担保权已注销时的抵押价格","——"))</f>
        <v>——</v>
      </c>
      <c r="B7" s="3455"/>
      <c r="C7" s="3455"/>
      <c r="D7" s="3455"/>
      <c r="E7" s="3455"/>
      <c r="F7" s="3455"/>
      <c r="G7" s="3455"/>
      <c r="H7" s="3455"/>
      <c r="I7" s="3455"/>
      <c r="J7" s="3455"/>
      <c r="K7" s="3455"/>
      <c r="L7" s="3455"/>
      <c r="M7" s="3455"/>
      <c r="N7" s="3455"/>
      <c r="O7" s="3455"/>
      <c r="P7" s="3455"/>
      <c r="Q7" s="3456"/>
      <c r="R7" s="1508" t="str">
        <f>结果表!O40</f>
        <v>——</v>
      </c>
    </row>
    <row r="8" spans="1:18">
      <c r="A8" s="3454" t="str">
        <f>IF(项目基本情况!B9="市场价格","——",项目基本情况!E9)</f>
        <v>——</v>
      </c>
      <c r="B8" s="3455"/>
      <c r="C8" s="3455"/>
      <c r="D8" s="3455"/>
      <c r="E8" s="3455"/>
      <c r="F8" s="3455"/>
      <c r="G8" s="3455"/>
      <c r="H8" s="3455"/>
      <c r="I8" s="3455"/>
      <c r="J8" s="3455"/>
      <c r="K8" s="3455"/>
      <c r="L8" s="3455"/>
      <c r="M8" s="3455"/>
      <c r="N8" s="3455"/>
      <c r="O8" s="3455"/>
      <c r="P8" s="3455"/>
      <c r="Q8" s="3456"/>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644" t="s">
        <v>738</v>
      </c>
      <c r="D4" s="3645"/>
      <c r="E4" s="3682" t="s">
        <v>739</v>
      </c>
      <c r="F4" s="3683"/>
      <c r="G4" s="3644" t="s">
        <v>740</v>
      </c>
      <c r="H4" s="3645"/>
      <c r="I4" s="3644" t="s">
        <v>741</v>
      </c>
      <c r="J4" s="3645"/>
      <c r="K4" s="465" t="s">
        <v>742</v>
      </c>
      <c r="L4" s="1742"/>
      <c r="M4" s="1743"/>
      <c r="N4" s="1743"/>
      <c r="O4" s="1743"/>
      <c r="P4" s="3646" t="s">
        <v>743</v>
      </c>
      <c r="Q4" s="3647"/>
      <c r="R4" s="3630" t="s">
        <v>739</v>
      </c>
      <c r="S4" s="3631"/>
      <c r="T4" s="3630" t="s">
        <v>740</v>
      </c>
      <c r="U4" s="3631"/>
      <c r="V4" s="3652" t="s">
        <v>741</v>
      </c>
      <c r="W4" s="3652"/>
      <c r="X4" s="1303"/>
      <c r="Y4" s="3630" t="s">
        <v>743</v>
      </c>
      <c r="Z4" s="3631"/>
      <c r="AA4" s="3625" t="s">
        <v>739</v>
      </c>
      <c r="AB4" s="3626" t="s">
        <v>740</v>
      </c>
      <c r="AC4" s="3625" t="s">
        <v>741</v>
      </c>
    </row>
    <row r="5" spans="1:29" ht="15">
      <c r="A5" s="466"/>
      <c r="B5" s="467"/>
      <c r="C5" s="3655" t="s">
        <v>2181</v>
      </c>
      <c r="D5" s="3656"/>
      <c r="E5" s="3684" t="s">
        <v>2182</v>
      </c>
      <c r="F5" s="3685"/>
      <c r="G5" s="3655" t="s">
        <v>2183</v>
      </c>
      <c r="H5" s="3656"/>
      <c r="I5" s="3655" t="s">
        <v>2184</v>
      </c>
      <c r="J5" s="3656"/>
      <c r="K5" s="465"/>
      <c r="L5" s="1742"/>
      <c r="M5" s="1743"/>
      <c r="N5" s="1743"/>
      <c r="O5" s="1743"/>
      <c r="P5" s="3648"/>
      <c r="Q5" s="3649"/>
      <c r="R5" s="3632"/>
      <c r="S5" s="3633"/>
      <c r="T5" s="3632"/>
      <c r="U5" s="3633"/>
      <c r="V5" s="3652"/>
      <c r="W5" s="3652"/>
      <c r="X5" s="1303"/>
      <c r="Y5" s="3632"/>
      <c r="Z5" s="3633"/>
      <c r="AA5" s="3626"/>
      <c r="AB5" s="3626"/>
      <c r="AC5" s="3626"/>
    </row>
    <row r="6" spans="1:29" ht="15.75" thickBot="1">
      <c r="A6" s="468"/>
      <c r="B6" s="469"/>
      <c r="C6" s="3653" t="s">
        <v>2185</v>
      </c>
      <c r="D6" s="3654"/>
      <c r="E6" s="3686" t="s">
        <v>2185</v>
      </c>
      <c r="F6" s="3687"/>
      <c r="G6" s="3653" t="s">
        <v>2185</v>
      </c>
      <c r="H6" s="3654"/>
      <c r="I6" s="3653" t="s">
        <v>2185</v>
      </c>
      <c r="J6" s="3654"/>
      <c r="K6" s="465" t="s">
        <v>477</v>
      </c>
      <c r="L6" s="1742"/>
      <c r="M6" s="1743"/>
      <c r="N6" s="1743"/>
      <c r="O6" s="1743"/>
      <c r="P6" s="3650"/>
      <c r="Q6" s="3651"/>
      <c r="R6" s="3632"/>
      <c r="S6" s="3633"/>
      <c r="T6" s="3634"/>
      <c r="U6" s="3635"/>
      <c r="V6" s="3652"/>
      <c r="W6" s="3652"/>
      <c r="X6" s="1303"/>
      <c r="Y6" s="3634"/>
      <c r="Z6" s="3635"/>
      <c r="AA6" s="3627"/>
      <c r="AB6" s="3627"/>
      <c r="AC6" s="3627"/>
    </row>
    <row r="7" spans="1:29" s="1060" customFormat="1" ht="15.75" thickBot="1">
      <c r="A7" s="2210"/>
      <c r="B7" s="2217" t="s">
        <v>478</v>
      </c>
      <c r="C7" s="470">
        <f>'数据-取费表'!B2</f>
        <v>46000</v>
      </c>
      <c r="D7" s="471">
        <v>100</v>
      </c>
      <c r="E7" s="472"/>
      <c r="F7" s="473">
        <f>SUMIF(46:46,YEAR(E7)&amp;"-"&amp;MONTH(E7),47:47)</f>
        <v>0</v>
      </c>
      <c r="G7" s="474"/>
      <c r="H7" s="471">
        <f>SUMIF(46:46,YEAR(G7)&amp;"-"&amp;MONTH(G7),47:47)</f>
        <v>0</v>
      </c>
      <c r="I7" s="474"/>
      <c r="J7" s="471">
        <f>SUMIF(46:46,YEAR(I7)&amp;"-"&amp;MONTH(I7),47:47)</f>
        <v>0</v>
      </c>
      <c r="K7" s="88"/>
      <c r="L7" s="1744"/>
      <c r="M7" s="1641"/>
      <c r="N7" s="1641"/>
      <c r="O7" s="1641"/>
      <c r="P7" s="3628" t="s">
        <v>479</v>
      </c>
      <c r="Q7" s="3637"/>
      <c r="R7" s="1304" t="s">
        <v>5</v>
      </c>
      <c r="S7" s="1305">
        <f t="shared" ref="S7:S14" si="0">F7</f>
        <v>0</v>
      </c>
      <c r="T7" s="1304" t="s">
        <v>5</v>
      </c>
      <c r="U7" s="1305">
        <f t="shared" ref="U7:U14" si="1">H7</f>
        <v>0</v>
      </c>
      <c r="V7" s="1304" t="s">
        <v>5</v>
      </c>
      <c r="W7" s="1305">
        <f t="shared" ref="W7:W14" si="2">J7</f>
        <v>0</v>
      </c>
      <c r="X7" s="1306"/>
      <c r="Y7" s="3628" t="s">
        <v>479</v>
      </c>
      <c r="Z7" s="3629"/>
      <c r="AA7" s="997" t="e">
        <f>D7/F7</f>
        <v>#DIV/0!</v>
      </c>
      <c r="AB7" s="997" t="e">
        <f>D7/H7</f>
        <v>#DIV/0!</v>
      </c>
      <c r="AC7" s="997" t="e">
        <f>D7/J7</f>
        <v>#DIV/0!</v>
      </c>
    </row>
    <row r="8" spans="1:29" s="1060" customFormat="1" ht="15.7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28" t="s">
        <v>482</v>
      </c>
      <c r="Q8" s="3629"/>
      <c r="R8" s="1304" t="s">
        <v>5</v>
      </c>
      <c r="S8" s="1305">
        <f t="shared" si="0"/>
        <v>0</v>
      </c>
      <c r="T8" s="1304" t="s">
        <v>5</v>
      </c>
      <c r="U8" s="1305">
        <f t="shared" si="1"/>
        <v>0</v>
      </c>
      <c r="V8" s="1304" t="s">
        <v>5</v>
      </c>
      <c r="W8" s="1305">
        <f t="shared" si="2"/>
        <v>0</v>
      </c>
      <c r="X8" s="1306"/>
      <c r="Y8" s="3628" t="s">
        <v>482</v>
      </c>
      <c r="Z8" s="3629"/>
      <c r="AA8" s="997" t="e">
        <f t="shared" ref="AA8:AA34" si="3">D8/F8</f>
        <v>#DIV/0!</v>
      </c>
      <c r="AB8" s="997" t="e">
        <f t="shared" ref="AB8:AB34" si="4">D8/H8</f>
        <v>#DIV/0!</v>
      </c>
      <c r="AC8" s="997" t="e">
        <f t="shared" ref="AC8:AC34" si="5">D8/J8</f>
        <v>#DIV/0!</v>
      </c>
    </row>
    <row r="9" spans="1:29" s="1060" customFormat="1" ht="15">
      <c r="A9" s="2212"/>
      <c r="B9" s="2219" t="s">
        <v>2037</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636" t="s">
        <v>484</v>
      </c>
      <c r="Q9" s="818" t="str">
        <f t="shared" ref="Q9:Q14" si="6">B9</f>
        <v>用途</v>
      </c>
      <c r="R9" s="1304" t="s">
        <v>5</v>
      </c>
      <c r="S9" s="1305">
        <f t="shared" si="0"/>
        <v>100</v>
      </c>
      <c r="T9" s="1304" t="s">
        <v>5</v>
      </c>
      <c r="U9" s="1305">
        <f t="shared" si="1"/>
        <v>100</v>
      </c>
      <c r="V9" s="1304" t="s">
        <v>5</v>
      </c>
      <c r="W9" s="1305">
        <f t="shared" si="2"/>
        <v>100</v>
      </c>
      <c r="X9" s="1306"/>
      <c r="Y9" s="3587" t="s">
        <v>485</v>
      </c>
      <c r="Z9" s="997" t="str">
        <f t="shared" ref="Z9:Z14" si="7">Q9</f>
        <v>用途</v>
      </c>
      <c r="AA9" s="997">
        <f t="shared" si="3"/>
        <v>1</v>
      </c>
      <c r="AB9" s="997">
        <f t="shared" si="4"/>
        <v>1</v>
      </c>
      <c r="AC9" s="997">
        <f t="shared" si="5"/>
        <v>1</v>
      </c>
    </row>
    <row r="10" spans="1:29" s="1133" customFormat="1" ht="27">
      <c r="A10" s="2213"/>
      <c r="B10" s="2218" t="s">
        <v>2038</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636"/>
      <c r="Q10" s="818" t="str">
        <f t="shared" si="6"/>
        <v>土地使用年限（年）</v>
      </c>
      <c r="R10" s="1304" t="s">
        <v>5</v>
      </c>
      <c r="S10" s="1305">
        <f t="shared" si="0"/>
        <v>100</v>
      </c>
      <c r="T10" s="1304" t="s">
        <v>5</v>
      </c>
      <c r="U10" s="1305">
        <f t="shared" si="1"/>
        <v>100</v>
      </c>
      <c r="V10" s="1304" t="s">
        <v>5</v>
      </c>
      <c r="W10" s="1305">
        <f t="shared" si="2"/>
        <v>100</v>
      </c>
      <c r="X10" s="1306"/>
      <c r="Y10" s="3587"/>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636"/>
      <c r="Q11" s="818">
        <f t="shared" si="6"/>
        <v>111</v>
      </c>
      <c r="R11" s="1304" t="s">
        <v>5</v>
      </c>
      <c r="S11" s="1305">
        <f t="shared" si="0"/>
        <v>100</v>
      </c>
      <c r="T11" s="1304" t="s">
        <v>5</v>
      </c>
      <c r="U11" s="1305">
        <f t="shared" si="1"/>
        <v>100</v>
      </c>
      <c r="V11" s="1304" t="s">
        <v>5</v>
      </c>
      <c r="W11" s="1305">
        <f t="shared" si="2"/>
        <v>100</v>
      </c>
      <c r="X11" s="1306"/>
      <c r="Y11" s="3587"/>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636"/>
      <c r="Q12" s="818">
        <f t="shared" si="6"/>
        <v>111</v>
      </c>
      <c r="R12" s="1304" t="s">
        <v>5</v>
      </c>
      <c r="S12" s="1305">
        <f t="shared" si="0"/>
        <v>100</v>
      </c>
      <c r="T12" s="1304" t="s">
        <v>5</v>
      </c>
      <c r="U12" s="1305">
        <f t="shared" si="1"/>
        <v>100</v>
      </c>
      <c r="V12" s="1304" t="s">
        <v>5</v>
      </c>
      <c r="W12" s="1305">
        <f t="shared" si="2"/>
        <v>100</v>
      </c>
      <c r="X12" s="1306"/>
      <c r="Y12" s="3587"/>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636"/>
      <c r="Q13" s="818">
        <f t="shared" si="6"/>
        <v>111</v>
      </c>
      <c r="R13" s="1304" t="s">
        <v>5</v>
      </c>
      <c r="S13" s="1305">
        <f t="shared" si="0"/>
        <v>100</v>
      </c>
      <c r="T13" s="1304" t="s">
        <v>5</v>
      </c>
      <c r="U13" s="1305">
        <f t="shared" si="1"/>
        <v>100</v>
      </c>
      <c r="V13" s="1304" t="s">
        <v>5</v>
      </c>
      <c r="W13" s="1305">
        <f t="shared" si="2"/>
        <v>100</v>
      </c>
      <c r="X13" s="1306"/>
      <c r="Y13" s="3587"/>
      <c r="Z13" s="997">
        <f t="shared" si="7"/>
        <v>111</v>
      </c>
      <c r="AA13" s="997">
        <f t="shared" si="3"/>
        <v>1</v>
      </c>
      <c r="AB13" s="997">
        <f t="shared" si="4"/>
        <v>1</v>
      </c>
      <c r="AC13" s="997">
        <f t="shared" si="5"/>
        <v>1</v>
      </c>
    </row>
    <row r="14" spans="1:29" ht="15">
      <c r="A14" s="2208" t="s">
        <v>2035</v>
      </c>
      <c r="B14" s="150" t="s">
        <v>492</v>
      </c>
      <c r="C14" s="843">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38" t="s">
        <v>489</v>
      </c>
      <c r="Q14" s="1307" t="str">
        <f t="shared" si="6"/>
        <v>交通便捷度</v>
      </c>
      <c r="R14" s="1308" t="s">
        <v>5</v>
      </c>
      <c r="S14" s="1309">
        <f t="shared" si="0"/>
        <v>100</v>
      </c>
      <c r="T14" s="1308" t="s">
        <v>5</v>
      </c>
      <c r="U14" s="1309">
        <f t="shared" si="1"/>
        <v>100</v>
      </c>
      <c r="V14" s="1308" t="s">
        <v>5</v>
      </c>
      <c r="W14" s="1309">
        <f t="shared" si="2"/>
        <v>100</v>
      </c>
      <c r="X14" s="1303"/>
      <c r="Y14" s="3638"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39"/>
      <c r="Q15" s="1307"/>
      <c r="R15" s="1308"/>
      <c r="S15" s="1309"/>
      <c r="T15" s="1308"/>
      <c r="U15" s="1309"/>
      <c r="V15" s="1308"/>
      <c r="W15" s="1309"/>
      <c r="X15" s="1303"/>
      <c r="Y15" s="3639"/>
      <c r="Z15" s="1310"/>
      <c r="AA15" s="1310">
        <v>1</v>
      </c>
      <c r="AB15" s="1310">
        <v>1</v>
      </c>
      <c r="AC15" s="1310">
        <v>1</v>
      </c>
    </row>
    <row r="16" spans="1:29" ht="15">
      <c r="A16" s="482"/>
      <c r="B16" s="2063"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39"/>
      <c r="Q16" s="1307" t="str">
        <f>B16</f>
        <v>公共配套设施</v>
      </c>
      <c r="R16" s="1308" t="s">
        <v>5</v>
      </c>
      <c r="S16" s="1309">
        <f>F16</f>
        <v>100</v>
      </c>
      <c r="T16" s="1308" t="s">
        <v>5</v>
      </c>
      <c r="U16" s="1309">
        <f>H16</f>
        <v>100</v>
      </c>
      <c r="V16" s="1308" t="s">
        <v>5</v>
      </c>
      <c r="W16" s="1309">
        <f>J16</f>
        <v>100</v>
      </c>
      <c r="X16" s="1303"/>
      <c r="Y16" s="3639"/>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39"/>
      <c r="Q17" s="1307"/>
      <c r="R17" s="1308"/>
      <c r="S17" s="1309"/>
      <c r="T17" s="1308"/>
      <c r="U17" s="1309"/>
      <c r="V17" s="1308"/>
      <c r="W17" s="1309"/>
      <c r="X17" s="1303"/>
      <c r="Y17" s="3639"/>
      <c r="Z17" s="1310"/>
      <c r="AA17" s="1310">
        <v>1</v>
      </c>
      <c r="AB17" s="1310">
        <v>1</v>
      </c>
      <c r="AC17" s="1310">
        <v>1</v>
      </c>
    </row>
    <row r="18" spans="1:29" ht="15">
      <c r="A18" s="482"/>
      <c r="B18" s="2051"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39"/>
      <c r="Q18" s="1307" t="str">
        <f>B18</f>
        <v>基础设施水平</v>
      </c>
      <c r="R18" s="1308" t="s">
        <v>5</v>
      </c>
      <c r="S18" s="1309">
        <f>F18</f>
        <v>100</v>
      </c>
      <c r="T18" s="1308" t="s">
        <v>5</v>
      </c>
      <c r="U18" s="1309">
        <f>H18</f>
        <v>100</v>
      </c>
      <c r="V18" s="1308" t="s">
        <v>5</v>
      </c>
      <c r="W18" s="1309">
        <f>J18</f>
        <v>100</v>
      </c>
      <c r="X18" s="1303"/>
      <c r="Y18" s="3639"/>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39"/>
      <c r="Q19" s="1307"/>
      <c r="R19" s="1308"/>
      <c r="S19" s="1309"/>
      <c r="T19" s="1308"/>
      <c r="U19" s="1309"/>
      <c r="V19" s="1308"/>
      <c r="W19" s="1309"/>
      <c r="X19" s="1303"/>
      <c r="Y19" s="3639"/>
      <c r="Z19" s="1310"/>
      <c r="AA19" s="1310">
        <v>1</v>
      </c>
      <c r="AB19" s="1310">
        <v>1</v>
      </c>
      <c r="AC19" s="1310">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39"/>
      <c r="Q20" s="1307" t="str">
        <f>B20</f>
        <v>自然及人文环境</v>
      </c>
      <c r="R20" s="1308" t="s">
        <v>5</v>
      </c>
      <c r="S20" s="1309">
        <f>F20</f>
        <v>100</v>
      </c>
      <c r="T20" s="1308" t="s">
        <v>5</v>
      </c>
      <c r="U20" s="1309">
        <f>H20</f>
        <v>100</v>
      </c>
      <c r="V20" s="1308" t="s">
        <v>5</v>
      </c>
      <c r="W20" s="1309">
        <f>J20</f>
        <v>100</v>
      </c>
      <c r="X20" s="1303"/>
      <c r="Y20" s="3639"/>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39"/>
      <c r="Q21" s="1307"/>
      <c r="R21" s="1308"/>
      <c r="S21" s="1309"/>
      <c r="T21" s="1308"/>
      <c r="U21" s="1309"/>
      <c r="V21" s="1308"/>
      <c r="W21" s="1309"/>
      <c r="X21" s="1303"/>
      <c r="Y21" s="3639"/>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39"/>
      <c r="Q22" s="1307" t="str">
        <f>B22</f>
        <v>楼层</v>
      </c>
      <c r="R22" s="1308" t="s">
        <v>5</v>
      </c>
      <c r="S22" s="1309">
        <f>F22</f>
        <v>100</v>
      </c>
      <c r="T22" s="1308" t="s">
        <v>5</v>
      </c>
      <c r="U22" s="1309">
        <f>H22</f>
        <v>100</v>
      </c>
      <c r="V22" s="1308" t="s">
        <v>5</v>
      </c>
      <c r="W22" s="1309">
        <f>J22</f>
        <v>100</v>
      </c>
      <c r="X22" s="1303"/>
      <c r="Y22" s="3639"/>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39"/>
      <c r="Q23" s="1307">
        <f>B23</f>
        <v>111</v>
      </c>
      <c r="R23" s="1308" t="s">
        <v>5</v>
      </c>
      <c r="S23" s="1309">
        <f>F23</f>
        <v>100</v>
      </c>
      <c r="T23" s="1308" t="s">
        <v>5</v>
      </c>
      <c r="U23" s="1309">
        <f>H23</f>
        <v>100</v>
      </c>
      <c r="V23" s="1308" t="s">
        <v>5</v>
      </c>
      <c r="W23" s="1309">
        <f>J23</f>
        <v>100</v>
      </c>
      <c r="X23" s="1303"/>
      <c r="Y23" s="3639"/>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39"/>
      <c r="Q24" s="1307">
        <f t="shared" ref="Q24:Q34" si="8">B24</f>
        <v>111</v>
      </c>
      <c r="R24" s="1308" t="s">
        <v>5</v>
      </c>
      <c r="S24" s="1309">
        <f>F24</f>
        <v>100</v>
      </c>
      <c r="T24" s="1308" t="s">
        <v>5</v>
      </c>
      <c r="U24" s="1309">
        <f>H24</f>
        <v>100</v>
      </c>
      <c r="V24" s="1308" t="s">
        <v>5</v>
      </c>
      <c r="W24" s="1309">
        <f>J24</f>
        <v>100</v>
      </c>
      <c r="X24" s="1303"/>
      <c r="Y24" s="3639"/>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39"/>
      <c r="Q25" s="818">
        <f t="shared" si="8"/>
        <v>111</v>
      </c>
      <c r="R25" s="1304" t="s">
        <v>5</v>
      </c>
      <c r="S25" s="1305">
        <f>F25</f>
        <v>100</v>
      </c>
      <c r="T25" s="1304" t="s">
        <v>5</v>
      </c>
      <c r="U25" s="1305">
        <f>H25</f>
        <v>100</v>
      </c>
      <c r="V25" s="1304" t="s">
        <v>5</v>
      </c>
      <c r="W25" s="1305">
        <f>J25</f>
        <v>100</v>
      </c>
      <c r="X25" s="1306"/>
      <c r="Y25" s="3639"/>
      <c r="Z25" s="997">
        <f>Q25</f>
        <v>111</v>
      </c>
      <c r="AA25" s="1310">
        <f>D25/F25</f>
        <v>1</v>
      </c>
      <c r="AB25" s="1310">
        <f>D25/H25</f>
        <v>1</v>
      </c>
      <c r="AC25" s="1310">
        <f>D25/J25</f>
        <v>1</v>
      </c>
    </row>
    <row r="26" spans="1:29" ht="15">
      <c r="A26" s="2205" t="s">
        <v>2036</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40"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41"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41"/>
      <c r="Q27" s="819" t="str">
        <f t="shared" si="8"/>
        <v>成新率</v>
      </c>
      <c r="R27" s="1311" t="s">
        <v>5</v>
      </c>
      <c r="S27" s="1312" t="e">
        <f t="shared" si="9"/>
        <v>#N/A</v>
      </c>
      <c r="T27" s="1311" t="s">
        <v>5</v>
      </c>
      <c r="U27" s="1312" t="e">
        <f t="shared" si="10"/>
        <v>#N/A</v>
      </c>
      <c r="V27" s="1311" t="s">
        <v>5</v>
      </c>
      <c r="W27" s="1312" t="e">
        <f t="shared" si="11"/>
        <v>#N/A</v>
      </c>
      <c r="X27" s="1313"/>
      <c r="Y27" s="3641"/>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41"/>
      <c r="Q28" s="1307" t="str">
        <f t="shared" si="8"/>
        <v>物业等级</v>
      </c>
      <c r="R28" s="1308" t="s">
        <v>5</v>
      </c>
      <c r="S28" s="1309">
        <f t="shared" si="9"/>
        <v>100</v>
      </c>
      <c r="T28" s="1308" t="s">
        <v>5</v>
      </c>
      <c r="U28" s="1309">
        <f t="shared" si="10"/>
        <v>100</v>
      </c>
      <c r="V28" s="1308" t="s">
        <v>5</v>
      </c>
      <c r="W28" s="1309">
        <f t="shared" si="11"/>
        <v>100</v>
      </c>
      <c r="X28" s="1303"/>
      <c r="Y28" s="3641"/>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41"/>
      <c r="Q29" s="1307" t="str">
        <f t="shared" si="8"/>
        <v>有无电梯</v>
      </c>
      <c r="R29" s="1308" t="s">
        <v>5</v>
      </c>
      <c r="S29" s="1309">
        <f t="shared" si="9"/>
        <v>100</v>
      </c>
      <c r="T29" s="1308" t="s">
        <v>5</v>
      </c>
      <c r="U29" s="1309">
        <f t="shared" si="10"/>
        <v>100</v>
      </c>
      <c r="V29" s="1308" t="s">
        <v>5</v>
      </c>
      <c r="W29" s="1309">
        <f t="shared" si="11"/>
        <v>100</v>
      </c>
      <c r="X29" s="1303"/>
      <c r="Y29" s="3641"/>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41"/>
      <c r="Q30" s="1307" t="str">
        <f t="shared" si="8"/>
        <v>建筑面积</v>
      </c>
      <c r="R30" s="1308" t="s">
        <v>5</v>
      </c>
      <c r="S30" s="1309" t="e">
        <f t="shared" si="9"/>
        <v>#N/A</v>
      </c>
      <c r="T30" s="1308" t="s">
        <v>5</v>
      </c>
      <c r="U30" s="1309" t="e">
        <f t="shared" si="10"/>
        <v>#N/A</v>
      </c>
      <c r="V30" s="1308" t="s">
        <v>5</v>
      </c>
      <c r="W30" s="1309" t="e">
        <f t="shared" si="11"/>
        <v>#N/A</v>
      </c>
      <c r="X30" s="1303"/>
      <c r="Y30" s="3641"/>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41"/>
      <c r="Q31" s="818" t="str">
        <f t="shared" si="8"/>
        <v>是否封闭</v>
      </c>
      <c r="R31" s="1304" t="s">
        <v>5</v>
      </c>
      <c r="S31" s="1305">
        <f t="shared" si="9"/>
        <v>100</v>
      </c>
      <c r="T31" s="1304" t="s">
        <v>5</v>
      </c>
      <c r="U31" s="1305">
        <f t="shared" si="10"/>
        <v>100</v>
      </c>
      <c r="V31" s="1304" t="s">
        <v>5</v>
      </c>
      <c r="W31" s="1305">
        <f t="shared" si="11"/>
        <v>100</v>
      </c>
      <c r="X31" s="1306"/>
      <c r="Y31" s="3641"/>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41" t="s">
        <v>499</v>
      </c>
      <c r="Q32" s="1307">
        <f t="shared" si="8"/>
        <v>111</v>
      </c>
      <c r="R32" s="1308" t="s">
        <v>5</v>
      </c>
      <c r="S32" s="1309">
        <f t="shared" si="9"/>
        <v>100</v>
      </c>
      <c r="T32" s="1308" t="s">
        <v>5</v>
      </c>
      <c r="U32" s="1309">
        <f t="shared" si="10"/>
        <v>100</v>
      </c>
      <c r="V32" s="1308" t="s">
        <v>5</v>
      </c>
      <c r="W32" s="1309">
        <f t="shared" si="11"/>
        <v>100</v>
      </c>
      <c r="X32" s="1303"/>
      <c r="Y32" s="3641"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41"/>
      <c r="Q33" s="1307">
        <f t="shared" si="8"/>
        <v>111</v>
      </c>
      <c r="R33" s="1308" t="s">
        <v>5</v>
      </c>
      <c r="S33" s="1309">
        <f t="shared" si="9"/>
        <v>100</v>
      </c>
      <c r="T33" s="1308" t="s">
        <v>5</v>
      </c>
      <c r="U33" s="1309">
        <f t="shared" si="10"/>
        <v>100</v>
      </c>
      <c r="V33" s="1308" t="s">
        <v>5</v>
      </c>
      <c r="W33" s="1309">
        <f t="shared" si="11"/>
        <v>100</v>
      </c>
      <c r="X33" s="1303"/>
      <c r="Y33" s="3641"/>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41"/>
      <c r="Q34" s="1307">
        <f t="shared" si="8"/>
        <v>111</v>
      </c>
      <c r="R34" s="1308" t="s">
        <v>5</v>
      </c>
      <c r="S34" s="1309">
        <f t="shared" si="9"/>
        <v>100</v>
      </c>
      <c r="T34" s="1308" t="s">
        <v>5</v>
      </c>
      <c r="U34" s="1309">
        <f t="shared" si="10"/>
        <v>100</v>
      </c>
      <c r="V34" s="1308" t="s">
        <v>5</v>
      </c>
      <c r="W34" s="1309">
        <f t="shared" si="11"/>
        <v>100</v>
      </c>
      <c r="X34" s="1303"/>
      <c r="Y34" s="3641"/>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636" t="str">
        <f>A35</f>
        <v>成交单价（元/平方米）</v>
      </c>
      <c r="Q35" s="3636"/>
      <c r="R35" s="3652">
        <f>E35</f>
        <v>0</v>
      </c>
      <c r="S35" s="3652"/>
      <c r="T35" s="3652">
        <f>G35</f>
        <v>0</v>
      </c>
      <c r="U35" s="3652"/>
      <c r="V35" s="3652">
        <f>I35</f>
        <v>0</v>
      </c>
      <c r="W35" s="3652"/>
      <c r="X35" s="799"/>
      <c r="Y35" s="1315"/>
      <c r="Z35" s="799"/>
      <c r="AA35" s="799"/>
      <c r="AB35" s="799"/>
      <c r="AC35" s="799"/>
    </row>
    <row r="36" spans="1:29" ht="15.75" thickBot="1">
      <c r="A36" s="564" t="s">
        <v>2041</v>
      </c>
      <c r="B36" s="813"/>
      <c r="C36" s="2083" t="e">
        <f>R37</f>
        <v>#DIV/0!</v>
      </c>
      <c r="D36" s="2551" t="s">
        <v>2251</v>
      </c>
      <c r="E36" s="2084" t="e">
        <f>R36</f>
        <v>#DIV/0!</v>
      </c>
      <c r="F36" s="2552"/>
      <c r="G36" s="2083" t="e">
        <f>T36</f>
        <v>#DIV/0!</v>
      </c>
      <c r="H36" s="2552"/>
      <c r="I36" s="2084" t="e">
        <f>V36</f>
        <v>#DIV/0!</v>
      </c>
      <c r="J36" s="2552"/>
      <c r="K36" s="2559">
        <f>F36+H36+J36</f>
        <v>0</v>
      </c>
      <c r="L36" s="1752"/>
      <c r="M36" s="1743"/>
      <c r="N36" s="1743"/>
      <c r="O36" s="1743"/>
      <c r="P36" s="3636" t="str">
        <f>A36</f>
        <v>比较价格（元/平方米）</v>
      </c>
      <c r="Q36" s="3636"/>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799"/>
      <c r="Y36" s="799"/>
      <c r="Z36" s="799"/>
      <c r="AA36" s="799"/>
      <c r="AB36" s="799"/>
      <c r="AC36" s="799"/>
    </row>
    <row r="37" spans="1:29" ht="15.75" thickBot="1">
      <c r="A37" s="568" t="s">
        <v>2187</v>
      </c>
      <c r="B37" s="569"/>
      <c r="C37" s="469" t="e">
        <f>R37</f>
        <v>#DIV/0!</v>
      </c>
      <c r="D37" s="469"/>
      <c r="E37" s="469"/>
      <c r="F37" s="469"/>
      <c r="G37" s="469"/>
      <c r="H37" s="469"/>
      <c r="I37" s="469"/>
      <c r="J37" s="469"/>
      <c r="K37" s="1337"/>
      <c r="L37" s="1752"/>
      <c r="M37" s="1743"/>
      <c r="N37" s="1743"/>
      <c r="O37" s="1743"/>
      <c r="P37" s="3642" t="str">
        <f>A37</f>
        <v>估价对象XX用房的比较价格（楼面单价，元/平方米）</v>
      </c>
      <c r="Q37" s="3643"/>
      <c r="R37" s="3746" t="e">
        <f>IF(F1="售价",ROUND(IF(D36="简单平均",AVERAGE(R36:W36),R36*F36+T36*H36+V36*J36),0),ROUND(IF(D36="简单平均",AVERAGE(R36:V36),R36*F36+T36*H36+V36*J36),1))</f>
        <v>#DIV/0!</v>
      </c>
      <c r="S37" s="3746"/>
      <c r="T37" s="3746"/>
      <c r="U37" s="3746"/>
      <c r="V37" s="3746"/>
      <c r="W37" s="3746"/>
      <c r="X37" s="799"/>
      <c r="Y37" s="799"/>
      <c r="Z37" s="799"/>
      <c r="AA37" s="799"/>
      <c r="AB37" s="799"/>
      <c r="AC37" s="799"/>
    </row>
    <row r="38" spans="1:29">
      <c r="A38" s="2722"/>
      <c r="B38" s="2722"/>
      <c r="C38" s="2722"/>
      <c r="D38" s="2722"/>
      <c r="E38" s="2722"/>
      <c r="F38" s="2722"/>
      <c r="G38" s="2724"/>
      <c r="H38" s="2722"/>
      <c r="I38" s="2722"/>
      <c r="J38" s="2722"/>
      <c r="K38" s="2725"/>
      <c r="L38" s="1756"/>
      <c r="M38" s="1743"/>
      <c r="N38" s="1743"/>
      <c r="O38" s="1743"/>
      <c r="P38" s="1743"/>
      <c r="Q38" s="1743"/>
      <c r="R38" s="1743"/>
      <c r="S38" s="1743"/>
      <c r="T38" s="1743"/>
      <c r="U38" s="1743"/>
      <c r="V38" s="1743"/>
      <c r="W38" s="1743"/>
      <c r="X38" s="1743"/>
      <c r="Y38" s="1743"/>
      <c r="Z38" s="1743"/>
      <c r="AA38" s="1743"/>
      <c r="AB38" s="1743"/>
      <c r="AC38" s="1743"/>
    </row>
    <row r="39" spans="1:29">
      <c r="A39" s="2722"/>
      <c r="B39" s="2722"/>
      <c r="C39" s="2722"/>
      <c r="D39" s="2722"/>
      <c r="E39" s="2722"/>
      <c r="F39" s="2722"/>
      <c r="G39" s="2722"/>
      <c r="H39" s="2722"/>
      <c r="I39" s="2722"/>
      <c r="J39" s="2722"/>
      <c r="K39" s="2725"/>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2"/>
      <c r="B40" s="2722"/>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5"/>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2"/>
      <c r="B41" s="2722"/>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5"/>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3"/>
      <c r="B42" s="2723"/>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6"/>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2025-12</v>
      </c>
      <c r="D46" s="2116">
        <f>EDATE(C46,-1)</f>
        <v>45962</v>
      </c>
      <c r="E46" s="2116">
        <f t="shared" ref="E46:O46" si="13">EDATE(D46,-1)</f>
        <v>45931</v>
      </c>
      <c r="F46" s="2116">
        <f t="shared" si="13"/>
        <v>45901</v>
      </c>
      <c r="G46" s="2116">
        <f t="shared" si="13"/>
        <v>45870</v>
      </c>
      <c r="H46" s="2116">
        <f t="shared" si="13"/>
        <v>45839</v>
      </c>
      <c r="I46" s="2116">
        <f t="shared" si="13"/>
        <v>45809</v>
      </c>
      <c r="J46" s="2116">
        <f t="shared" si="13"/>
        <v>45778</v>
      </c>
      <c r="K46" s="2116">
        <f t="shared" si="13"/>
        <v>45748</v>
      </c>
      <c r="L46" s="2116">
        <f t="shared" si="13"/>
        <v>45717</v>
      </c>
      <c r="M46" s="2116">
        <f t="shared" si="13"/>
        <v>45689</v>
      </c>
      <c r="N46" s="2116">
        <f t="shared" si="13"/>
        <v>45658</v>
      </c>
      <c r="O46" s="2116">
        <f t="shared" si="13"/>
        <v>45627</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76" t="s">
        <v>1661</v>
      </c>
      <c r="D1" s="3777"/>
      <c r="E1" s="3777"/>
      <c r="F1" s="3777"/>
      <c r="G1" s="3777"/>
      <c r="H1" s="3777"/>
      <c r="I1" s="3777"/>
      <c r="J1" s="3777"/>
      <c r="K1" s="3777"/>
      <c r="L1" s="3777"/>
      <c r="M1" s="3777"/>
      <c r="N1" s="3777"/>
      <c r="O1" s="3777"/>
      <c r="P1" s="3777"/>
      <c r="Q1" s="3777"/>
      <c r="R1" s="3777"/>
      <c r="S1" s="3778"/>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2180</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2179</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2178</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2191</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2177</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2176</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73" t="s">
        <v>14</v>
      </c>
      <c r="D22" s="3774"/>
      <c r="E22" s="3774"/>
      <c r="F22" s="3774"/>
      <c r="G22" s="3774"/>
      <c r="H22" s="3774"/>
      <c r="I22" s="3774"/>
      <c r="J22" s="3774"/>
      <c r="K22" s="3774"/>
      <c r="L22" s="3774"/>
      <c r="M22" s="3774"/>
      <c r="N22" s="3774"/>
      <c r="O22" s="3774"/>
      <c r="P22" s="3774"/>
      <c r="Q22" s="3775"/>
      <c r="R22" s="49" t="e">
        <f>ROUND(S22*10000/B22,0)</f>
        <v>#DIV/0!</v>
      </c>
      <c r="S22" s="49">
        <f>SUM(S24:S10000)</f>
        <v>0</v>
      </c>
    </row>
    <row r="23" spans="1:45" s="1338" customFormat="1" ht="24">
      <c r="A23" s="14" t="s">
        <v>770</v>
      </c>
      <c r="B23" s="2420"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7">
        <v>1</v>
      </c>
      <c r="D24" s="2778"/>
      <c r="E24" s="2777">
        <v>1</v>
      </c>
      <c r="F24" s="2778"/>
      <c r="G24" s="2777">
        <v>1</v>
      </c>
      <c r="H24" s="2778"/>
      <c r="I24" s="2777">
        <v>1</v>
      </c>
      <c r="J24" s="2778"/>
      <c r="K24" s="2777">
        <v>1</v>
      </c>
      <c r="L24" s="2778"/>
      <c r="M24" s="2777">
        <v>1</v>
      </c>
      <c r="N24" s="2778"/>
      <c r="O24" s="2777">
        <v>1</v>
      </c>
      <c r="P24" s="2778"/>
      <c r="Q24" s="2777">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2064</v>
      </c>
      <c r="C1" s="2296">
        <f>项目基本情况!D3</f>
        <v>46000</v>
      </c>
      <c r="H1" s="2235">
        <f>IF(C1&gt;C13,0,MATCH(C1,C$13:C$115,-1))+IF(SUMIF(C13:C115,C1,D13:D115)=0,13,12)</f>
        <v>13</v>
      </c>
      <c r="I1" s="2235">
        <f>MATCH(C2,H3:H7,1)+IF(SUMIF(H3:H7,C2,I3:I7)=0,2,1)</f>
        <v>5</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2095</v>
      </c>
      <c r="C2" s="2297">
        <f>'数据-取费表'!B22</f>
        <v>2</v>
      </c>
      <c r="D2" s="2292" t="s">
        <v>2065</v>
      </c>
      <c r="E2" s="2295">
        <f ca="1">IF(OR(C1&lt;C27,C2&lt;=1),INDIRECT("I"&amp;$I$1)/100,ROUND((I5+(C2-H5)*(I7-I5)/(H7-H5))/100,4))</f>
        <v>3.1300000000000001E-2</v>
      </c>
      <c r="G2" s="2237"/>
      <c r="H2" s="2237"/>
      <c r="I2" s="2237" t="s">
        <v>2066</v>
      </c>
      <c r="K2" s="2237"/>
      <c r="L2" s="2237"/>
      <c r="M2" s="2237"/>
      <c r="N2" s="2237" t="s">
        <v>2067</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2097</v>
      </c>
      <c r="C3" s="2294">
        <f>'数据-取费表'!B19</f>
        <v>0</v>
      </c>
      <c r="D3" s="2292" t="s">
        <v>2065</v>
      </c>
      <c r="E3" s="2295">
        <f ca="1">IF(OR(C3&lt;C27,C2&lt;=1),INDIRECT("J"&amp;$J$1)/100,ROUND((I5+(C2-H5)*(I7-I5)/(H7-H5))/100,4))</f>
        <v>0</v>
      </c>
      <c r="G3" s="2239" t="s">
        <v>2068</v>
      </c>
      <c r="H3" s="2240">
        <v>0</v>
      </c>
      <c r="I3" s="2241">
        <f ca="1">INDIRECT("d"&amp;$H$1)</f>
        <v>3</v>
      </c>
      <c r="J3" s="2241">
        <f ca="1">INDIRECT("d"&amp;$H$1)</f>
        <v>3</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2096</v>
      </c>
      <c r="C4" s="2295">
        <f ca="1">N4/100</f>
        <v>1.4999999999999999E-2</v>
      </c>
      <c r="G4" s="2245" t="s">
        <v>2069</v>
      </c>
      <c r="H4" s="2246">
        <v>0.5</v>
      </c>
      <c r="I4" s="2247">
        <f ca="1">INDIRECT("e"&amp;$H$1)</f>
        <v>3</v>
      </c>
      <c r="J4" s="2247">
        <f ca="1">INDIRECT("e"&amp;$H$1)</f>
        <v>3</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2070</v>
      </c>
      <c r="H5" s="2246">
        <v>1</v>
      </c>
      <c r="I5" s="2247">
        <f ca="1">INDIRECT("f"&amp;$H$1)</f>
        <v>3</v>
      </c>
      <c r="J5" s="2247">
        <f ca="1">INDIRECT("f"&amp;$H$1)</f>
        <v>3</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2071</v>
      </c>
      <c r="H6" s="2246">
        <v>3</v>
      </c>
      <c r="I6" s="2247">
        <f ca="1">INDIRECT("g"&amp;$H$1)</f>
        <v>3</v>
      </c>
      <c r="J6" s="2247">
        <f ca="1">INDIRECT("g"&amp;$H$1)</f>
        <v>3</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2072</v>
      </c>
      <c r="H7" s="2251">
        <v>5</v>
      </c>
      <c r="I7" s="2252">
        <f ca="1">INDIRECT("h"&amp;$H$1)</f>
        <v>3.5</v>
      </c>
      <c r="J7" s="2252">
        <f ca="1">INDIRECT("h"&amp;$H$1)</f>
        <v>3.5</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2073</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2074</v>
      </c>
      <c r="C10" s="2264"/>
      <c r="D10" s="2264"/>
      <c r="E10" s="2264"/>
      <c r="F10" s="2264"/>
      <c r="G10" s="2264"/>
      <c r="H10" s="2264"/>
      <c r="I10" s="2238"/>
      <c r="J10" s="2238"/>
      <c r="K10" s="2264"/>
      <c r="L10" s="2265" t="s">
        <v>2075</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2076</v>
      </c>
      <c r="C11" s="2269" t="s">
        <v>2077</v>
      </c>
      <c r="D11" s="2270" t="s">
        <v>2078</v>
      </c>
      <c r="E11" s="2271"/>
      <c r="F11" s="2270" t="s">
        <v>2079</v>
      </c>
      <c r="G11" s="2272"/>
      <c r="H11" s="2271"/>
      <c r="I11" s="2270" t="s">
        <v>2080</v>
      </c>
      <c r="J11" s="2271"/>
      <c r="K11" s="2267"/>
      <c r="L11" s="2268" t="s">
        <v>2076</v>
      </c>
      <c r="M11" s="2269" t="s">
        <v>2077</v>
      </c>
      <c r="N11" s="2268" t="s">
        <v>2081</v>
      </c>
      <c r="O11" s="2270" t="s">
        <v>2082</v>
      </c>
      <c r="P11" s="2272"/>
      <c r="Q11" s="2272"/>
      <c r="R11" s="2272"/>
      <c r="S11" s="2272"/>
      <c r="T11" s="2271"/>
      <c r="U11" s="2270" t="s">
        <v>2083</v>
      </c>
      <c r="V11" s="2272"/>
      <c r="W11" s="2271"/>
      <c r="X11" s="2268" t="s">
        <v>2084</v>
      </c>
      <c r="Y11" s="2268" t="s">
        <v>2085</v>
      </c>
      <c r="Z11" s="2268" t="s">
        <v>2086</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2087</v>
      </c>
      <c r="E12" s="2276" t="s">
        <v>2088</v>
      </c>
      <c r="F12" s="2276" t="s">
        <v>2089</v>
      </c>
      <c r="G12" s="2276" t="s">
        <v>2090</v>
      </c>
      <c r="H12" s="2276" t="s">
        <v>2072</v>
      </c>
      <c r="I12" s="2277" t="s">
        <v>2091</v>
      </c>
      <c r="J12" s="2277" t="s">
        <v>2091</v>
      </c>
      <c r="K12" s="2267"/>
      <c r="L12" s="2274"/>
      <c r="M12" s="2275"/>
      <c r="N12" s="2274"/>
      <c r="O12" s="2277" t="s">
        <v>2092</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2093</v>
      </c>
      <c r="C13" s="2280">
        <v>45797</v>
      </c>
      <c r="D13" s="2281">
        <v>3</v>
      </c>
      <c r="E13" s="2281">
        <f t="shared" ref="E13:E18" si="0">D13</f>
        <v>3</v>
      </c>
      <c r="F13" s="2281">
        <f t="shared" ref="F13:F18" si="1">D13</f>
        <v>3</v>
      </c>
      <c r="G13" s="2281">
        <f t="shared" ref="G13:G18" si="2">D13</f>
        <v>3</v>
      </c>
      <c r="H13" s="2281">
        <v>3.5</v>
      </c>
      <c r="I13" s="2281"/>
      <c r="J13" s="2281"/>
      <c r="K13" s="2278"/>
      <c r="L13" s="2279" t="s">
        <v>2093</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45586</v>
      </c>
      <c r="D14" s="2285">
        <v>3.1</v>
      </c>
      <c r="E14" s="2285">
        <f t="shared" si="0"/>
        <v>3.1</v>
      </c>
      <c r="F14" s="2285">
        <f t="shared" si="1"/>
        <v>3.1</v>
      </c>
      <c r="G14" s="2285">
        <f t="shared" si="2"/>
        <v>3.1</v>
      </c>
      <c r="H14" s="2285">
        <v>3.6</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45495</v>
      </c>
      <c r="D15" s="2285">
        <v>3.35</v>
      </c>
      <c r="E15" s="2285">
        <f t="shared" si="0"/>
        <v>3.35</v>
      </c>
      <c r="F15" s="2285">
        <f t="shared" si="1"/>
        <v>3.35</v>
      </c>
      <c r="G15" s="2285">
        <f t="shared" si="2"/>
        <v>3.35</v>
      </c>
      <c r="H15" s="2285">
        <v>3.85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45342</v>
      </c>
      <c r="D16" s="2285">
        <v>3.45</v>
      </c>
      <c r="E16" s="2285">
        <f t="shared" si="0"/>
        <v>3.45</v>
      </c>
      <c r="F16" s="2285">
        <f t="shared" si="1"/>
        <v>3.45</v>
      </c>
      <c r="G16" s="2285">
        <f t="shared" si="2"/>
        <v>3.45</v>
      </c>
      <c r="H16" s="2285">
        <v>3.95</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45159</v>
      </c>
      <c r="D17" s="2285">
        <v>3.45</v>
      </c>
      <c r="E17" s="2285">
        <f t="shared" si="0"/>
        <v>3.45</v>
      </c>
      <c r="F17" s="2285">
        <f t="shared" si="1"/>
        <v>3.45</v>
      </c>
      <c r="G17" s="2285">
        <f t="shared" si="2"/>
        <v>3.45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45097</v>
      </c>
      <c r="D18" s="2285">
        <v>3.55</v>
      </c>
      <c r="E18" s="2285">
        <f t="shared" si="0"/>
        <v>3.55</v>
      </c>
      <c r="F18" s="2285">
        <f t="shared" si="1"/>
        <v>3.55</v>
      </c>
      <c r="G18" s="2285">
        <f t="shared" si="2"/>
        <v>3.55</v>
      </c>
      <c r="H18" s="2285">
        <v>4.2</v>
      </c>
      <c r="I18" s="2281"/>
      <c r="J18" s="2281"/>
      <c r="L18" s="2785"/>
      <c r="M18" s="2784">
        <v>41965</v>
      </c>
      <c r="N18" s="2785">
        <v>0.35</v>
      </c>
      <c r="O18" s="2785">
        <v>2.35</v>
      </c>
      <c r="P18" s="2785">
        <v>2.5499999999999998</v>
      </c>
      <c r="Q18" s="2785">
        <v>2.75</v>
      </c>
      <c r="R18" s="2785">
        <v>3.35</v>
      </c>
      <c r="S18" s="2785">
        <v>4</v>
      </c>
      <c r="T18" s="2785">
        <v>4.75</v>
      </c>
      <c r="U18" s="2786">
        <v>2.35</v>
      </c>
      <c r="V18" s="2786">
        <v>2.5499999999999998</v>
      </c>
      <c r="W18" s="2786">
        <v>2.75</v>
      </c>
      <c r="X18" s="2785"/>
      <c r="Y18" s="2786">
        <v>0.8</v>
      </c>
      <c r="Z18" s="2786">
        <v>1.35</v>
      </c>
    </row>
    <row r="19" spans="1:256" s="2787" customFormat="1" ht="14.25">
      <c r="A19" s="2278"/>
      <c r="B19" s="2279"/>
      <c r="C19" s="2286">
        <v>44795</v>
      </c>
      <c r="D19" s="2285">
        <v>3.65</v>
      </c>
      <c r="E19" s="2285">
        <v>3.65</v>
      </c>
      <c r="F19" s="2285">
        <v>3.65</v>
      </c>
      <c r="G19" s="2285">
        <v>3.65</v>
      </c>
      <c r="H19" s="2285">
        <v>4.3</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44701</v>
      </c>
      <c r="D20" s="2285">
        <v>3.7</v>
      </c>
      <c r="E20" s="2285">
        <f>D20</f>
        <v>3.7</v>
      </c>
      <c r="F20" s="2285">
        <f>D20</f>
        <v>3.7</v>
      </c>
      <c r="G20" s="2285">
        <f>D20</f>
        <v>3.7</v>
      </c>
      <c r="H20" s="2285">
        <v>4.45</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44581</v>
      </c>
      <c r="D21" s="2285">
        <v>3.7</v>
      </c>
      <c r="E21" s="2285">
        <f>D21</f>
        <v>3.7</v>
      </c>
      <c r="F21" s="2285">
        <f>D21</f>
        <v>3.7</v>
      </c>
      <c r="G21" s="2285">
        <f>D21</f>
        <v>3.7</v>
      </c>
      <c r="H21" s="2285">
        <v>4.5999999999999996</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79"/>
      <c r="C22" s="2286">
        <v>44550</v>
      </c>
      <c r="D22" s="2285">
        <v>3.8</v>
      </c>
      <c r="E22" s="2285">
        <f>D22</f>
        <v>3.8</v>
      </c>
      <c r="F22" s="2285">
        <f>D22</f>
        <v>3.8</v>
      </c>
      <c r="G22" s="2285">
        <f>D22</f>
        <v>3.8</v>
      </c>
      <c r="H22" s="2285">
        <v>4.6500000000000004</v>
      </c>
      <c r="I22" s="2281"/>
      <c r="J22" s="2281"/>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2"/>
      <c r="B23" s="2285"/>
      <c r="C23" s="2286">
        <v>43941</v>
      </c>
      <c r="D23" s="2285">
        <v>3.85</v>
      </c>
      <c r="E23" s="2285">
        <v>3.85</v>
      </c>
      <c r="F23" s="2285">
        <v>3.85</v>
      </c>
      <c r="G23" s="2285">
        <v>3.85</v>
      </c>
      <c r="H23" s="2285">
        <v>4.6500000000000004</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43881</v>
      </c>
      <c r="D24" s="2285">
        <v>4.05</v>
      </c>
      <c r="E24" s="2285">
        <v>4.05</v>
      </c>
      <c r="F24" s="2285">
        <v>4.05</v>
      </c>
      <c r="G24" s="2285">
        <v>4.05</v>
      </c>
      <c r="H24" s="2285">
        <v>4.75</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43789</v>
      </c>
      <c r="D25" s="2285">
        <v>4.1500000000000004</v>
      </c>
      <c r="E25" s="2285">
        <v>4.1500000000000004</v>
      </c>
      <c r="F25" s="2285">
        <v>4.1500000000000004</v>
      </c>
      <c r="G25" s="2285">
        <v>4.1500000000000004</v>
      </c>
      <c r="H25" s="2285">
        <v>4.8</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c r="B26" s="2285"/>
      <c r="C26" s="2286">
        <v>43728</v>
      </c>
      <c r="D26" s="2285">
        <v>4.2</v>
      </c>
      <c r="E26" s="2285">
        <v>4.2</v>
      </c>
      <c r="F26" s="2285">
        <v>4.2</v>
      </c>
      <c r="G26" s="2285">
        <v>4.2</v>
      </c>
      <c r="H26" s="2285">
        <v>4.8499999999999996</v>
      </c>
      <c r="I26" s="2285"/>
      <c r="J26" s="2285"/>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279" t="s">
        <v>2274</v>
      </c>
      <c r="C27" s="2287">
        <v>43697</v>
      </c>
      <c r="D27" s="2779">
        <v>4.25</v>
      </c>
      <c r="E27" s="2779">
        <v>4.25</v>
      </c>
      <c r="F27" s="2779">
        <v>4.25</v>
      </c>
      <c r="G27" s="2779">
        <v>4.25</v>
      </c>
      <c r="H27" s="2779">
        <v>4.8499999999999996</v>
      </c>
      <c r="I27" s="2779"/>
      <c r="J27" s="2779"/>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ht="14.25">
      <c r="B28" s="2783"/>
      <c r="C28" s="2784">
        <v>42301</v>
      </c>
      <c r="D28" s="2785">
        <v>4.3499999999999996</v>
      </c>
      <c r="E28" s="2785">
        <v>4.3499999999999996</v>
      </c>
      <c r="F28" s="2785">
        <v>4.75</v>
      </c>
      <c r="G28" s="2785">
        <v>4.75</v>
      </c>
      <c r="H28" s="2785">
        <v>4.9000000000000004</v>
      </c>
      <c r="I28" s="2785"/>
      <c r="J28" s="2785"/>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42242</v>
      </c>
      <c r="D29" s="2285">
        <v>4.5999999999999996</v>
      </c>
      <c r="E29" s="2285">
        <v>4.5999999999999996</v>
      </c>
      <c r="F29" s="2285">
        <v>5</v>
      </c>
      <c r="G29" s="2285">
        <v>5</v>
      </c>
      <c r="H29" s="2285">
        <v>5.15</v>
      </c>
      <c r="I29" s="2285">
        <v>2.75</v>
      </c>
      <c r="J29" s="2285">
        <v>3.25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42183</v>
      </c>
      <c r="D30" s="2285">
        <v>4.8499999999999996</v>
      </c>
      <c r="E30" s="2285">
        <v>4.8499999999999996</v>
      </c>
      <c r="F30" s="2285">
        <v>5.25</v>
      </c>
      <c r="G30" s="2285">
        <v>5.25</v>
      </c>
      <c r="H30" s="2285">
        <v>5.4</v>
      </c>
      <c r="I30" s="2285">
        <v>3</v>
      </c>
      <c r="J30" s="2285">
        <v>3.5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42135</v>
      </c>
      <c r="D31" s="2285">
        <v>5.0999999999999996</v>
      </c>
      <c r="E31" s="2285">
        <v>5.0999999999999996</v>
      </c>
      <c r="F31" s="2285">
        <v>5.5</v>
      </c>
      <c r="G31" s="2285">
        <v>5.5</v>
      </c>
      <c r="H31" s="2285">
        <v>5.65</v>
      </c>
      <c r="I31" s="2285">
        <v>3.25</v>
      </c>
      <c r="J31" s="2285">
        <v>3.75</v>
      </c>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42064</v>
      </c>
      <c r="D32" s="2285">
        <v>5.35</v>
      </c>
      <c r="E32" s="2285">
        <v>5.35</v>
      </c>
      <c r="F32" s="2285">
        <v>5.75</v>
      </c>
      <c r="G32" s="2285">
        <v>5.75</v>
      </c>
      <c r="H32" s="2285">
        <v>5.9</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41965</v>
      </c>
      <c r="D33" s="2285">
        <v>5.6</v>
      </c>
      <c r="E33" s="2285">
        <v>5.6</v>
      </c>
      <c r="F33" s="2285">
        <v>6</v>
      </c>
      <c r="G33" s="2285">
        <v>6</v>
      </c>
      <c r="H33" s="2285">
        <v>6.15</v>
      </c>
      <c r="I33" s="2285"/>
      <c r="J33" s="2285"/>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41096</v>
      </c>
      <c r="D34" s="2285">
        <v>5.6</v>
      </c>
      <c r="E34" s="2285">
        <v>6</v>
      </c>
      <c r="F34" s="2285">
        <v>6.15</v>
      </c>
      <c r="G34" s="2285">
        <v>6.4</v>
      </c>
      <c r="H34" s="2285">
        <v>6.55</v>
      </c>
      <c r="I34" s="2285">
        <v>4</v>
      </c>
      <c r="J34" s="2285">
        <v>4.5</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41068</v>
      </c>
      <c r="D35" s="2285">
        <v>5.85</v>
      </c>
      <c r="E35" s="2285">
        <v>6.31</v>
      </c>
      <c r="F35" s="2285">
        <v>6.4</v>
      </c>
      <c r="G35" s="2285">
        <v>6.65</v>
      </c>
      <c r="H35" s="2285">
        <v>6.8</v>
      </c>
      <c r="I35" s="2285">
        <v>4.2</v>
      </c>
      <c r="J35" s="2285">
        <v>4.7</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40731</v>
      </c>
      <c r="D36" s="2285">
        <v>6.1</v>
      </c>
      <c r="E36" s="2285">
        <v>6.56</v>
      </c>
      <c r="F36" s="2285">
        <v>6.65</v>
      </c>
      <c r="G36" s="2285">
        <v>6.9</v>
      </c>
      <c r="H36" s="2285">
        <v>7.05</v>
      </c>
      <c r="I36" s="2285">
        <v>4.45</v>
      </c>
      <c r="J36" s="2285">
        <v>4.9000000000000004</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40639</v>
      </c>
      <c r="D37" s="2285">
        <v>5.85</v>
      </c>
      <c r="E37" s="2285">
        <v>6.31</v>
      </c>
      <c r="F37" s="2285">
        <v>6.4</v>
      </c>
      <c r="G37" s="2285">
        <v>6.65</v>
      </c>
      <c r="H37" s="2285">
        <v>6.8</v>
      </c>
      <c r="I37" s="2285">
        <v>4.2</v>
      </c>
      <c r="J37" s="2285">
        <v>4.7</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40583</v>
      </c>
      <c r="D38" s="2285">
        <v>5.6</v>
      </c>
      <c r="E38" s="2285">
        <v>6.06</v>
      </c>
      <c r="F38" s="2285">
        <v>6.1</v>
      </c>
      <c r="G38" s="2285">
        <v>6.45</v>
      </c>
      <c r="H38" s="2285">
        <v>6.6</v>
      </c>
      <c r="I38" s="2285">
        <v>4</v>
      </c>
      <c r="J38" s="2285">
        <v>4.5</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40538</v>
      </c>
      <c r="D39" s="2285">
        <v>5.35</v>
      </c>
      <c r="E39" s="2285">
        <v>5.81</v>
      </c>
      <c r="F39" s="2285">
        <v>5.85</v>
      </c>
      <c r="G39" s="2285">
        <v>6.22</v>
      </c>
      <c r="H39" s="2285">
        <v>6.4</v>
      </c>
      <c r="I39" s="2285">
        <v>3.75</v>
      </c>
      <c r="J39" s="2285">
        <v>4.3</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40471</v>
      </c>
      <c r="D40" s="2285">
        <v>5.0999999999999996</v>
      </c>
      <c r="E40" s="2285">
        <v>5.56</v>
      </c>
      <c r="F40" s="2285">
        <v>5.6</v>
      </c>
      <c r="G40" s="2285">
        <v>5.96</v>
      </c>
      <c r="H40" s="2285">
        <v>6.14</v>
      </c>
      <c r="I40" s="2285">
        <v>3.5</v>
      </c>
      <c r="J40" s="2285">
        <v>4.05</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39805</v>
      </c>
      <c r="D41" s="2285">
        <v>4.8600000000000003</v>
      </c>
      <c r="E41" s="2285">
        <v>5.31</v>
      </c>
      <c r="F41" s="2285">
        <v>5.4</v>
      </c>
      <c r="G41" s="2285">
        <v>5.76</v>
      </c>
      <c r="H41" s="2285">
        <v>5.94</v>
      </c>
      <c r="I41" s="2285">
        <v>3.33</v>
      </c>
      <c r="J41" s="2285">
        <v>3.87</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39779</v>
      </c>
      <c r="D42" s="2285">
        <v>5.04</v>
      </c>
      <c r="E42" s="2285">
        <v>5.58</v>
      </c>
      <c r="F42" s="2285">
        <v>5.67</v>
      </c>
      <c r="G42" s="2285">
        <v>5.94</v>
      </c>
      <c r="H42" s="2285">
        <v>6.12</v>
      </c>
      <c r="I42" s="2285">
        <v>3.51</v>
      </c>
      <c r="J42" s="2285">
        <v>4.05</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2094</v>
      </c>
      <c r="Y42" s="2285" t="s">
        <v>2094</v>
      </c>
      <c r="Z42" s="2285" t="s">
        <v>2094</v>
      </c>
    </row>
    <row r="43" spans="2:26">
      <c r="B43" s="2285"/>
      <c r="C43" s="2286">
        <v>39751</v>
      </c>
      <c r="D43" s="2285">
        <v>6.03</v>
      </c>
      <c r="E43" s="2285">
        <v>6.66</v>
      </c>
      <c r="F43" s="2285">
        <v>6.75</v>
      </c>
      <c r="G43" s="2285">
        <v>7.02</v>
      </c>
      <c r="H43" s="2285">
        <v>7.2</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2094</v>
      </c>
      <c r="Y43" s="2285" t="s">
        <v>2094</v>
      </c>
      <c r="Z43" s="2285" t="s">
        <v>2094</v>
      </c>
    </row>
    <row r="44" spans="2:26">
      <c r="B44" s="2285"/>
      <c r="C44" s="2287">
        <v>39748</v>
      </c>
      <c r="D44" s="2285">
        <v>6.12</v>
      </c>
      <c r="E44" s="2285">
        <v>6.93</v>
      </c>
      <c r="F44" s="2285">
        <v>7.02</v>
      </c>
      <c r="G44" s="2285">
        <v>7.29</v>
      </c>
      <c r="H44" s="2285">
        <v>7.47</v>
      </c>
      <c r="I44" s="2285">
        <v>4.05</v>
      </c>
      <c r="J44" s="2285">
        <v>4.59</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2094</v>
      </c>
      <c r="Y44" s="2285" t="s">
        <v>2094</v>
      </c>
      <c r="Z44" s="2285" t="s">
        <v>2094</v>
      </c>
    </row>
    <row r="45" spans="2:26">
      <c r="B45" s="2285"/>
      <c r="C45" s="2286">
        <v>39730</v>
      </c>
      <c r="D45" s="2285">
        <v>6.12</v>
      </c>
      <c r="E45" s="2285">
        <v>6.93</v>
      </c>
      <c r="F45" s="2285">
        <v>7.02</v>
      </c>
      <c r="G45" s="2285">
        <v>7.29</v>
      </c>
      <c r="H45" s="2285">
        <v>7.47</v>
      </c>
      <c r="I45" s="2285">
        <v>4.32</v>
      </c>
      <c r="J45" s="2285">
        <v>4.8600000000000003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2094</v>
      </c>
      <c r="Y45" s="2285" t="s">
        <v>2094</v>
      </c>
      <c r="Z45" s="2285" t="s">
        <v>2094</v>
      </c>
    </row>
    <row r="46" spans="2:26">
      <c r="B46" s="2285"/>
      <c r="C46" s="2286">
        <v>39707</v>
      </c>
      <c r="D46" s="2285">
        <v>6.21</v>
      </c>
      <c r="E46" s="2285">
        <v>7.2</v>
      </c>
      <c r="F46" s="2285">
        <v>7.29</v>
      </c>
      <c r="G46" s="2285">
        <v>7.56</v>
      </c>
      <c r="H46" s="2285">
        <v>7.74</v>
      </c>
      <c r="I46" s="2285">
        <v>4.59</v>
      </c>
      <c r="J46" s="2285">
        <v>5.13</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2094</v>
      </c>
      <c r="Y46" s="2285" t="s">
        <v>2094</v>
      </c>
      <c r="Z46" s="2285" t="s">
        <v>2094</v>
      </c>
    </row>
    <row r="47" spans="2:26">
      <c r="B47" s="2285"/>
      <c r="C47" s="2286">
        <v>39437</v>
      </c>
      <c r="D47" s="2285">
        <v>6.57</v>
      </c>
      <c r="E47" s="2285">
        <v>7.47</v>
      </c>
      <c r="F47" s="2285">
        <v>7.56</v>
      </c>
      <c r="G47" s="2285">
        <v>7.74</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2094</v>
      </c>
      <c r="Y47" s="2285" t="s">
        <v>2094</v>
      </c>
      <c r="Z47" s="2285" t="s">
        <v>2094</v>
      </c>
    </row>
    <row r="48" spans="2:26">
      <c r="B48" s="2285"/>
      <c r="C48" s="2286">
        <v>39340</v>
      </c>
      <c r="D48" s="2285">
        <v>6.48</v>
      </c>
      <c r="E48" s="2285">
        <v>7.29</v>
      </c>
      <c r="F48" s="2285">
        <v>7.47</v>
      </c>
      <c r="G48" s="2285">
        <v>7.65</v>
      </c>
      <c r="H48" s="2285">
        <v>7.83</v>
      </c>
      <c r="I48" s="2285">
        <v>4.7699999999999996</v>
      </c>
      <c r="J48" s="2285">
        <v>5.22</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2094</v>
      </c>
      <c r="Y48" s="2285" t="s">
        <v>2094</v>
      </c>
      <c r="Z48" s="2285" t="s">
        <v>2094</v>
      </c>
    </row>
    <row r="49" spans="2:26">
      <c r="B49" s="2285"/>
      <c r="C49" s="2286">
        <v>39316</v>
      </c>
      <c r="D49" s="2285">
        <v>6.21</v>
      </c>
      <c r="E49" s="2285">
        <v>7.02</v>
      </c>
      <c r="F49" s="2285">
        <v>7.2</v>
      </c>
      <c r="G49" s="2285">
        <v>7.38</v>
      </c>
      <c r="H49" s="2285">
        <v>7.56</v>
      </c>
      <c r="I49" s="2285">
        <v>4.59</v>
      </c>
      <c r="J49" s="2285">
        <v>5.04</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2094</v>
      </c>
      <c r="Y49" s="2285" t="s">
        <v>2094</v>
      </c>
      <c r="Z49" s="2285" t="s">
        <v>2094</v>
      </c>
    </row>
    <row r="50" spans="2:26">
      <c r="B50" s="2285"/>
      <c r="C50" s="2286">
        <v>39284</v>
      </c>
      <c r="D50" s="2285">
        <v>6.03</v>
      </c>
      <c r="E50" s="2285">
        <v>6.84</v>
      </c>
      <c r="F50" s="2285">
        <v>7.02</v>
      </c>
      <c r="G50" s="2285">
        <v>7.2</v>
      </c>
      <c r="H50" s="2285">
        <v>7.38</v>
      </c>
      <c r="I50" s="2285">
        <v>4.5</v>
      </c>
      <c r="J50" s="2285">
        <v>4.95</v>
      </c>
      <c r="L50" s="2285"/>
      <c r="M50" s="2286">
        <v>33106</v>
      </c>
      <c r="N50" s="2285">
        <v>2.16</v>
      </c>
      <c r="O50" s="2285">
        <v>4.32</v>
      </c>
      <c r="P50" s="2285">
        <v>6.48</v>
      </c>
      <c r="Q50" s="2285">
        <v>8.64</v>
      </c>
      <c r="R50" s="2285">
        <v>9.36</v>
      </c>
      <c r="S50" s="2285">
        <v>10.08</v>
      </c>
      <c r="T50" s="2285">
        <v>11.52</v>
      </c>
      <c r="U50" s="2285">
        <v>7.2</v>
      </c>
      <c r="V50" s="2285">
        <v>8.64</v>
      </c>
      <c r="W50" s="2285">
        <v>10.08</v>
      </c>
      <c r="X50" s="2285" t="s">
        <v>2094</v>
      </c>
      <c r="Y50" s="2285" t="s">
        <v>2094</v>
      </c>
      <c r="Z50" s="2285" t="s">
        <v>2094</v>
      </c>
    </row>
    <row r="51" spans="2:26">
      <c r="B51" s="2285"/>
      <c r="C51" s="2286">
        <v>39221</v>
      </c>
      <c r="D51" s="2285">
        <v>5.85</v>
      </c>
      <c r="E51" s="2285">
        <v>6.57</v>
      </c>
      <c r="F51" s="2285">
        <v>6.75</v>
      </c>
      <c r="G51" s="2285">
        <v>6.93</v>
      </c>
      <c r="H51" s="2285">
        <v>7.2</v>
      </c>
      <c r="I51" s="2285">
        <v>4.41</v>
      </c>
      <c r="J51" s="2285">
        <v>4.8600000000000003</v>
      </c>
      <c r="L51" s="2285"/>
      <c r="M51" s="2286">
        <v>32978</v>
      </c>
      <c r="N51" s="2285">
        <v>2.88</v>
      </c>
      <c r="O51" s="2285">
        <v>6.3</v>
      </c>
      <c r="P51" s="2285">
        <v>7.74</v>
      </c>
      <c r="Q51" s="2285">
        <v>10.08</v>
      </c>
      <c r="R51" s="2285">
        <v>10.98</v>
      </c>
      <c r="S51" s="2285">
        <v>11.88</v>
      </c>
      <c r="T51" s="2285">
        <v>13.68</v>
      </c>
      <c r="U51" s="2285" t="s">
        <v>2094</v>
      </c>
      <c r="V51" s="2285" t="s">
        <v>2094</v>
      </c>
      <c r="W51" s="2285" t="s">
        <v>2094</v>
      </c>
      <c r="X51" s="2285" t="s">
        <v>2094</v>
      </c>
      <c r="Y51" s="2285" t="s">
        <v>2094</v>
      </c>
      <c r="Z51" s="2285" t="s">
        <v>2094</v>
      </c>
    </row>
    <row r="52" spans="2:26">
      <c r="B52" s="2285"/>
      <c r="C52" s="2286">
        <v>39159</v>
      </c>
      <c r="D52" s="2285">
        <v>5.67</v>
      </c>
      <c r="E52" s="2285">
        <v>6.39</v>
      </c>
      <c r="F52" s="2285">
        <v>6.57</v>
      </c>
      <c r="G52" s="2285">
        <v>6.75</v>
      </c>
      <c r="H52" s="2285">
        <v>7.11</v>
      </c>
      <c r="I52" s="2285">
        <v>4.32</v>
      </c>
      <c r="J52" s="2285">
        <v>4.7699999999999996</v>
      </c>
      <c r="L52" s="2285"/>
      <c r="M52" s="2286"/>
      <c r="N52" s="2285"/>
      <c r="O52" s="2285"/>
      <c r="P52" s="2285"/>
      <c r="Q52" s="2285"/>
      <c r="R52" s="2285"/>
      <c r="S52" s="2285"/>
      <c r="T52" s="2285"/>
      <c r="U52" s="2285"/>
      <c r="V52" s="2285"/>
      <c r="W52" s="2285"/>
      <c r="X52" s="2285"/>
      <c r="Y52" s="2285"/>
      <c r="Z52" s="2285"/>
    </row>
    <row r="53" spans="2:26">
      <c r="B53" s="2285"/>
      <c r="C53" s="2286">
        <v>38948</v>
      </c>
      <c r="D53" s="2285">
        <v>5.58</v>
      </c>
      <c r="E53" s="2285">
        <v>6.12</v>
      </c>
      <c r="F53" s="2285">
        <v>6.3</v>
      </c>
      <c r="G53" s="2285">
        <v>6.48</v>
      </c>
      <c r="H53" s="2285">
        <v>6.84</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38835</v>
      </c>
      <c r="D54" s="2285">
        <v>5.4</v>
      </c>
      <c r="E54" s="2285">
        <v>5.85</v>
      </c>
      <c r="F54" s="2285">
        <v>6.03</v>
      </c>
      <c r="G54" s="2285">
        <v>6.12</v>
      </c>
      <c r="H54" s="2285">
        <v>6.39</v>
      </c>
      <c r="I54" s="2285">
        <v>4.1399999999999997</v>
      </c>
      <c r="J54" s="2285">
        <v>4.59</v>
      </c>
      <c r="L54" s="2285"/>
      <c r="M54" s="2286"/>
      <c r="N54" s="2285"/>
      <c r="O54" s="2285"/>
      <c r="P54" s="2285"/>
      <c r="Q54" s="2285"/>
      <c r="R54" s="2285"/>
      <c r="S54" s="2285"/>
      <c r="T54" s="2285"/>
      <c r="U54" s="2285"/>
      <c r="V54" s="2285"/>
      <c r="W54" s="2285"/>
      <c r="X54" s="2285"/>
      <c r="Y54" s="2285"/>
      <c r="Z54" s="2285"/>
    </row>
    <row r="55" spans="2:26">
      <c r="B55" s="2285"/>
      <c r="C55" s="2286">
        <v>38428</v>
      </c>
      <c r="D55" s="2285">
        <v>5.22</v>
      </c>
      <c r="E55" s="2285">
        <v>5.58</v>
      </c>
      <c r="F55" s="2285">
        <v>5.76</v>
      </c>
      <c r="G55" s="2285">
        <v>5.85</v>
      </c>
      <c r="H55" s="2285">
        <v>6.12</v>
      </c>
      <c r="I55" s="2285">
        <v>3.96</v>
      </c>
      <c r="J55" s="2285">
        <v>4.41</v>
      </c>
      <c r="L55" s="2285"/>
      <c r="M55" s="2286"/>
      <c r="N55" s="2285"/>
      <c r="O55" s="2285"/>
      <c r="P55" s="2285"/>
      <c r="Q55" s="2285"/>
      <c r="R55" s="2285"/>
      <c r="S55" s="2285"/>
      <c r="T55" s="2285"/>
      <c r="U55" s="2285"/>
      <c r="V55" s="2285"/>
      <c r="W55" s="2285"/>
      <c r="X55" s="2285"/>
      <c r="Y55" s="2285"/>
      <c r="Z55" s="2285"/>
    </row>
    <row r="56" spans="2:26">
      <c r="B56" s="2285"/>
      <c r="C56" s="2286">
        <v>38289</v>
      </c>
      <c r="D56" s="2285">
        <v>5.22</v>
      </c>
      <c r="E56" s="2285">
        <v>5.58</v>
      </c>
      <c r="F56" s="2285">
        <v>5.76</v>
      </c>
      <c r="G56" s="2285">
        <v>5.85</v>
      </c>
      <c r="H56" s="2285">
        <v>6.12</v>
      </c>
      <c r="I56" s="2285">
        <v>3.78</v>
      </c>
      <c r="J56" s="2285">
        <v>4.2300000000000004</v>
      </c>
      <c r="L56" s="2285"/>
      <c r="M56" s="2286"/>
      <c r="N56" s="2285"/>
      <c r="O56" s="2285"/>
      <c r="P56" s="2285"/>
      <c r="Q56" s="2285"/>
      <c r="R56" s="2285"/>
      <c r="S56" s="2285"/>
      <c r="T56" s="2285"/>
      <c r="U56" s="2285"/>
      <c r="V56" s="2285"/>
      <c r="W56" s="2285"/>
      <c r="X56" s="2285"/>
      <c r="Y56" s="2285"/>
      <c r="Z56" s="2285"/>
    </row>
    <row r="57" spans="2:26">
      <c r="B57" s="2285"/>
      <c r="C57" s="2286">
        <v>37308</v>
      </c>
      <c r="D57" s="2285">
        <v>5.04</v>
      </c>
      <c r="E57" s="2285">
        <v>5.31</v>
      </c>
      <c r="F57" s="2285">
        <v>5.49</v>
      </c>
      <c r="G57" s="2285">
        <v>5.58</v>
      </c>
      <c r="H57" s="2285">
        <v>5.76</v>
      </c>
      <c r="I57" s="2285">
        <v>3.6</v>
      </c>
      <c r="J57" s="2285">
        <v>4.05</v>
      </c>
      <c r="L57" s="2285"/>
      <c r="M57" s="2286"/>
      <c r="N57" s="2285"/>
      <c r="O57" s="2285"/>
      <c r="P57" s="2285"/>
      <c r="Q57" s="2285"/>
      <c r="R57" s="2285"/>
      <c r="S57" s="2285"/>
      <c r="T57" s="2285"/>
      <c r="U57" s="2285"/>
      <c r="V57" s="2285"/>
      <c r="W57" s="2285"/>
      <c r="X57" s="2285"/>
      <c r="Y57" s="2285"/>
      <c r="Z57" s="2285"/>
    </row>
    <row r="58" spans="2:26">
      <c r="B58" s="2285"/>
      <c r="C58" s="2286">
        <v>36321</v>
      </c>
      <c r="D58" s="2285">
        <v>5.58</v>
      </c>
      <c r="E58" s="2285">
        <v>5.85</v>
      </c>
      <c r="F58" s="2285">
        <v>5.94</v>
      </c>
      <c r="G58" s="2285">
        <v>6.03</v>
      </c>
      <c r="H58" s="2285">
        <v>6.21</v>
      </c>
      <c r="I58" s="2285">
        <v>4.1399999999999997</v>
      </c>
      <c r="J58" s="2285">
        <v>4.59</v>
      </c>
    </row>
    <row r="59" spans="2:26">
      <c r="B59" s="2285"/>
      <c r="C59" s="2286">
        <v>36136</v>
      </c>
      <c r="D59" s="2285">
        <v>6.12</v>
      </c>
      <c r="E59" s="2285">
        <v>6.39</v>
      </c>
      <c r="F59" s="2285">
        <v>6.66</v>
      </c>
      <c r="G59" s="2285">
        <v>7.2</v>
      </c>
      <c r="H59" s="2285">
        <v>7.56</v>
      </c>
      <c r="I59" s="2285">
        <v>0</v>
      </c>
      <c r="J59" s="2285">
        <v>0</v>
      </c>
    </row>
    <row r="60" spans="2:26">
      <c r="B60" s="2285"/>
      <c r="C60" s="2286">
        <v>35977</v>
      </c>
      <c r="D60" s="2285">
        <v>6.57</v>
      </c>
      <c r="E60" s="2285">
        <v>6.93</v>
      </c>
      <c r="F60" s="2285">
        <v>7.11</v>
      </c>
      <c r="G60" s="2285">
        <v>7.65</v>
      </c>
      <c r="H60" s="2285">
        <v>8.01</v>
      </c>
      <c r="I60" s="2285">
        <v>0</v>
      </c>
      <c r="J60" s="2285">
        <v>0</v>
      </c>
    </row>
    <row r="61" spans="2:26">
      <c r="B61" s="2285"/>
      <c r="C61" s="2286">
        <v>35879</v>
      </c>
      <c r="D61" s="2285">
        <v>7.02</v>
      </c>
      <c r="E61" s="2285">
        <v>7.92</v>
      </c>
      <c r="F61" s="2285">
        <v>9</v>
      </c>
      <c r="G61" s="2285">
        <v>9.7200000000000006</v>
      </c>
      <c r="H61" s="2285">
        <v>10.35</v>
      </c>
      <c r="I61" s="2285">
        <v>0</v>
      </c>
      <c r="J61" s="2285">
        <v>0</v>
      </c>
    </row>
    <row r="62" spans="2:26">
      <c r="B62" s="2285"/>
      <c r="C62" s="2286">
        <v>35726</v>
      </c>
      <c r="D62" s="2285">
        <v>7.65</v>
      </c>
      <c r="E62" s="2285">
        <v>8.64</v>
      </c>
      <c r="F62" s="2285">
        <v>9.36</v>
      </c>
      <c r="G62" s="2285">
        <v>9.9</v>
      </c>
      <c r="H62" s="2285">
        <v>10.53</v>
      </c>
      <c r="I62" s="2285">
        <v>0</v>
      </c>
      <c r="J62" s="2285">
        <v>0</v>
      </c>
    </row>
    <row r="63" spans="2:26">
      <c r="B63" s="2285"/>
      <c r="C63" s="2286">
        <v>35300</v>
      </c>
      <c r="D63" s="2285">
        <v>9.18</v>
      </c>
      <c r="E63" s="2285">
        <v>10.08</v>
      </c>
      <c r="F63" s="2285">
        <v>10.98</v>
      </c>
      <c r="G63" s="2285">
        <v>11.7</v>
      </c>
      <c r="H63" s="2285">
        <v>12.42</v>
      </c>
      <c r="I63" s="2285">
        <v>0</v>
      </c>
      <c r="J63" s="2285">
        <v>0</v>
      </c>
    </row>
    <row r="64" spans="2:26">
      <c r="B64" s="2285"/>
      <c r="C64" s="2286">
        <v>35186</v>
      </c>
      <c r="D64" s="2285">
        <v>9.7200000000000006</v>
      </c>
      <c r="E64" s="2285">
        <v>10.98</v>
      </c>
      <c r="F64" s="2285">
        <v>13.14</v>
      </c>
      <c r="G64" s="2285">
        <v>14.94</v>
      </c>
      <c r="H64" s="2285">
        <v>15.12</v>
      </c>
      <c r="I64" s="2285">
        <v>0</v>
      </c>
      <c r="J64" s="2285">
        <v>0</v>
      </c>
    </row>
    <row r="65" spans="2:10">
      <c r="B65" s="2285"/>
      <c r="C65" s="2286">
        <v>34881</v>
      </c>
      <c r="D65" s="2285">
        <v>10.08</v>
      </c>
      <c r="E65" s="2285">
        <v>12.06</v>
      </c>
      <c r="F65" s="2285">
        <v>13.5</v>
      </c>
      <c r="G65" s="2285">
        <v>15.12</v>
      </c>
      <c r="H65" s="2285">
        <v>15.3</v>
      </c>
      <c r="I65" s="2285">
        <v>0</v>
      </c>
      <c r="J65" s="2285">
        <v>0</v>
      </c>
    </row>
    <row r="66" spans="2:10">
      <c r="B66" s="2285"/>
      <c r="C66" s="2286">
        <v>34700</v>
      </c>
      <c r="D66" s="2285">
        <v>9</v>
      </c>
      <c r="E66" s="2285">
        <v>10.98</v>
      </c>
      <c r="F66" s="2285">
        <v>12.96</v>
      </c>
      <c r="G66" s="2285">
        <v>14.58</v>
      </c>
      <c r="H66" s="2285">
        <v>14.76</v>
      </c>
      <c r="I66" s="2285">
        <v>0</v>
      </c>
      <c r="J66" s="2285">
        <v>0</v>
      </c>
    </row>
    <row r="67" spans="2:10">
      <c r="B67" s="2285"/>
      <c r="C67" s="2286">
        <v>34161</v>
      </c>
      <c r="D67" s="2285">
        <v>9</v>
      </c>
      <c r="E67" s="2285">
        <v>10.98</v>
      </c>
      <c r="F67" s="2285">
        <v>12.24</v>
      </c>
      <c r="G67" s="2285">
        <v>13.86</v>
      </c>
      <c r="H67" s="2285">
        <v>14.04</v>
      </c>
      <c r="I67" s="2285">
        <v>0</v>
      </c>
      <c r="J67" s="2285">
        <v>0</v>
      </c>
    </row>
    <row r="68" spans="2:10">
      <c r="B68" s="2285"/>
      <c r="C68" s="2286">
        <v>34104</v>
      </c>
      <c r="D68" s="2285">
        <v>8.82</v>
      </c>
      <c r="E68" s="2285">
        <v>9.36</v>
      </c>
      <c r="F68" s="2285">
        <v>10.8</v>
      </c>
      <c r="G68" s="2285">
        <v>12.06</v>
      </c>
      <c r="H68" s="2285">
        <v>12.24</v>
      </c>
      <c r="I68" s="2285">
        <v>0</v>
      </c>
      <c r="J68" s="2285">
        <v>0</v>
      </c>
    </row>
    <row r="69" spans="2:10">
      <c r="B69" s="2285"/>
      <c r="C69" s="2286">
        <v>33349</v>
      </c>
      <c r="D69" s="2285">
        <v>8.1</v>
      </c>
      <c r="E69" s="2285">
        <v>8.64</v>
      </c>
      <c r="F69" s="2285">
        <v>9</v>
      </c>
      <c r="G69" s="2285">
        <v>9.5399999999999991</v>
      </c>
      <c r="H69" s="2285">
        <v>9.7200000000000006</v>
      </c>
      <c r="I69" s="2285">
        <v>0</v>
      </c>
      <c r="J69" s="2285">
        <v>0</v>
      </c>
    </row>
    <row r="70" spans="2:10">
      <c r="B70" s="2285"/>
      <c r="C70" s="2286">
        <v>33318</v>
      </c>
      <c r="D70" s="2285">
        <v>9</v>
      </c>
      <c r="E70" s="2285">
        <v>10.08</v>
      </c>
      <c r="F70" s="2285">
        <v>10.8</v>
      </c>
      <c r="G70" s="2285">
        <v>11.52</v>
      </c>
      <c r="H70" s="2285">
        <v>11.88</v>
      </c>
      <c r="I70" s="2285" t="s">
        <v>2094</v>
      </c>
      <c r="J70" s="2285" t="s">
        <v>2094</v>
      </c>
    </row>
    <row r="71" spans="2:10">
      <c r="B71" s="2285"/>
      <c r="C71" s="2286">
        <v>33106</v>
      </c>
      <c r="D71" s="2285">
        <v>8.64</v>
      </c>
      <c r="E71" s="2285">
        <v>9.36</v>
      </c>
      <c r="F71" s="2285">
        <v>10.08</v>
      </c>
      <c r="G71" s="2285">
        <v>10.8</v>
      </c>
      <c r="H71" s="2285">
        <v>11.16</v>
      </c>
      <c r="I71" s="2285">
        <v>0</v>
      </c>
      <c r="J71" s="2285">
        <v>0</v>
      </c>
    </row>
    <row r="72" spans="2:10">
      <c r="B72" s="2285"/>
      <c r="C72" s="2286">
        <v>32540</v>
      </c>
      <c r="D72" s="2285">
        <v>11.34</v>
      </c>
      <c r="E72" s="2285">
        <v>11.34</v>
      </c>
      <c r="F72" s="2285">
        <v>12.78</v>
      </c>
      <c r="G72" s="2285">
        <v>14.4</v>
      </c>
      <c r="H72" s="2285">
        <v>19.260000000000002</v>
      </c>
      <c r="I72" s="2285">
        <v>0</v>
      </c>
      <c r="J72" s="2285">
        <v>0</v>
      </c>
    </row>
    <row r="73" spans="2:10">
      <c r="B73" s="2285"/>
      <c r="C73" s="2286"/>
      <c r="D73" s="2285"/>
      <c r="E73" s="2285"/>
      <c r="F73" s="2285"/>
      <c r="G73" s="2285"/>
      <c r="H73" s="2285"/>
      <c r="I73" s="2285"/>
      <c r="J73" s="2285"/>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88"/>
      <c r="C76" s="2289"/>
      <c r="D76" s="2288"/>
      <c r="E76" s="2288"/>
      <c r="F76" s="2288"/>
      <c r="G76" s="2288"/>
      <c r="H76" s="2288"/>
      <c r="I76" s="2288"/>
      <c r="J76" s="2288"/>
    </row>
    <row r="77" spans="2:10">
      <c r="B77" s="2238"/>
      <c r="C77" s="2238"/>
      <c r="D77" s="2238"/>
      <c r="E77" s="2238"/>
      <c r="F77" s="2238"/>
      <c r="G77" s="2238"/>
      <c r="H77" s="2238"/>
      <c r="I77" s="2238"/>
      <c r="J77" s="2238"/>
    </row>
    <row r="78" spans="2:10">
      <c r="B78" s="2238"/>
      <c r="C78" s="2238"/>
      <c r="D78" s="2238"/>
      <c r="E78" s="2238"/>
      <c r="F78" s="2238"/>
      <c r="G78" s="2238"/>
      <c r="H78" s="2238"/>
      <c r="I78" s="2238"/>
      <c r="J78" s="2238"/>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57" t="s">
        <v>1583</v>
      </c>
      <c r="B1" s="3457"/>
      <c r="C1" s="3457"/>
      <c r="D1" s="3457"/>
    </row>
    <row r="2" spans="1:4" ht="47.25" customHeight="1">
      <c r="A2" s="3460" t="str">
        <f>"1.权利限制："&amp;项目基本情况!L24&amp;"未设定租赁等其他他项权利。"</f>
        <v>1.权利限制：根据估价对象《不动产权证书》原件、《国有土地使用权》复印件，截至估价期日，估价对象抵押权未见登记。未设定租赁等其他他项权利。</v>
      </c>
      <c r="B2" s="3460"/>
      <c r="C2" s="3460"/>
      <c r="D2" s="3460"/>
    </row>
    <row r="3" spans="1:4" ht="48" customHeight="1">
      <c r="A3" s="34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7"/>
      <c r="C3" s="3457"/>
      <c r="D3" s="3457"/>
    </row>
    <row r="4" spans="1:4" ht="36.75" customHeight="1">
      <c r="A4" s="3457" t="str">
        <f>"3.估价规划限制条件：详见"&amp;项目基本情况!E21&amp;"。"</f>
        <v>3.估价规划限制条件：详见《建设工程规划许可证》[]、《出让合同》[]。</v>
      </c>
      <c r="B4" s="3457"/>
      <c r="C4" s="3457"/>
      <c r="D4" s="3457"/>
    </row>
    <row r="5" spans="1:4">
      <c r="A5" s="3459" t="s">
        <v>1584</v>
      </c>
      <c r="B5" s="3459"/>
      <c r="C5" s="3459"/>
      <c r="D5" s="3459"/>
    </row>
    <row r="6" spans="1:4">
      <c r="A6" s="3457" t="s">
        <v>1562</v>
      </c>
      <c r="B6" s="3457"/>
      <c r="C6" s="3457"/>
      <c r="D6" s="3457"/>
    </row>
    <row r="7" spans="1:4" ht="33" customHeight="1">
      <c r="A7" s="3457" t="s">
        <v>1857</v>
      </c>
      <c r="B7" s="3457"/>
      <c r="C7" s="3457"/>
      <c r="D7" s="3457"/>
    </row>
    <row r="8" spans="1:4" ht="32.25" customHeight="1">
      <c r="A8" s="34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7"/>
      <c r="C8" s="3457"/>
      <c r="D8" s="3457"/>
    </row>
    <row r="9" spans="1:4" ht="33.75" customHeight="1">
      <c r="A9" s="34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7"/>
      <c r="C9" s="3457"/>
      <c r="D9" s="3457"/>
    </row>
    <row r="10" spans="1:4">
      <c r="A10" s="3457" t="str">
        <f>IF(项目基本情况!B8="抵押","4.估价师所知悉的法定优先受偿款情况为：","——")</f>
        <v>4.估价师所知悉的法定优先受偿款情况为：</v>
      </c>
      <c r="B10" s="3457"/>
      <c r="C10" s="3457"/>
      <c r="D10" s="3457"/>
    </row>
    <row r="11" spans="1:4" ht="37.5" customHeight="1">
      <c r="A11" s="345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7"/>
      <c r="C11" s="3457"/>
      <c r="D11" s="3457"/>
    </row>
    <row r="12" spans="1:4" ht="168" customHeight="1">
      <c r="A12" s="3459" t="s">
        <v>1586</v>
      </c>
      <c r="B12" s="3459"/>
      <c r="C12" s="3459"/>
      <c r="D12" s="3459"/>
    </row>
    <row r="13" spans="1:4">
      <c r="A13" s="3458" t="s">
        <v>2027</v>
      </c>
      <c r="B13" s="3458"/>
      <c r="C13" s="3458"/>
      <c r="D13" s="3458"/>
    </row>
    <row r="14" spans="1:4">
      <c r="A14" s="3457" t="str">
        <f>IF(项目基本情况!B8="抵押","综上，"&amp;结果表!K47,"——")</f>
        <v>综上，本次评估不存在估价师知悉的法定优先受偿款</v>
      </c>
      <c r="B14" s="3457"/>
      <c r="C14" s="3457"/>
      <c r="D14" s="3457"/>
    </row>
    <row r="15" spans="1:4" ht="58.5" customHeight="1">
      <c r="A15" s="34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7"/>
      <c r="C15" s="3457"/>
      <c r="D15" s="3457"/>
    </row>
    <row r="16" spans="1:4" ht="70.5" customHeight="1">
      <c r="A16" s="34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7"/>
      <c r="C16" s="3457"/>
      <c r="D16" s="3457"/>
    </row>
    <row r="17" spans="1:4">
      <c r="A17" s="3457" t="s">
        <v>1983</v>
      </c>
      <c r="B17" s="3457"/>
      <c r="C17" s="3457"/>
      <c r="D17" s="3457"/>
    </row>
    <row r="18" spans="1:4">
      <c r="A18" s="3457" t="s">
        <v>1975</v>
      </c>
      <c r="B18" s="3457"/>
      <c r="C18" s="3457"/>
      <c r="D18" s="3457"/>
    </row>
    <row r="19" spans="1:4">
      <c r="A19" s="2174" t="s">
        <v>1976</v>
      </c>
      <c r="B19" s="2174" t="s">
        <v>1977</v>
      </c>
      <c r="C19" s="2174" t="s">
        <v>1978</v>
      </c>
      <c r="D19" s="2174" t="s">
        <v>1979</v>
      </c>
    </row>
    <row r="20" spans="1:4">
      <c r="A20" s="2174" t="str">
        <f>项目基本情况!B4</f>
        <v>土地估价师</v>
      </c>
      <c r="B20" s="2174">
        <f>项目基本情况!C4</f>
        <v>0</v>
      </c>
      <c r="C20" s="2176"/>
      <c r="D20" s="1497" t="s">
        <v>1984</v>
      </c>
    </row>
    <row r="21" spans="1:4">
      <c r="A21" s="2174" t="str">
        <f>项目基本情况!D4</f>
        <v>土地估价师</v>
      </c>
      <c r="B21" s="2174">
        <f>项目基本情况!E4</f>
        <v>0</v>
      </c>
      <c r="C21" s="2176"/>
      <c r="D21" s="1497" t="s">
        <v>1985</v>
      </c>
    </row>
    <row r="23" spans="1:4">
      <c r="A23" s="3457" t="s">
        <v>1980</v>
      </c>
      <c r="B23" s="3457"/>
      <c r="C23" s="3457"/>
      <c r="D23" s="3457"/>
    </row>
    <row r="24" spans="1:4">
      <c r="A24" s="2174" t="s">
        <v>1976</v>
      </c>
      <c r="B24" s="2174" t="s">
        <v>1981</v>
      </c>
      <c r="C24" s="2174" t="s">
        <v>1978</v>
      </c>
      <c r="D24" s="2174" t="s">
        <v>1979</v>
      </c>
    </row>
    <row r="25" spans="1:4">
      <c r="A25" s="2177" t="s">
        <v>1982</v>
      </c>
      <c r="B25" s="2174" t="s">
        <v>877</v>
      </c>
      <c r="C25" s="2176"/>
      <c r="D25" s="1497" t="s">
        <v>1985</v>
      </c>
    </row>
    <row r="29" spans="1:4">
      <c r="D29" s="2175" t="s">
        <v>1557</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68" t="s">
        <v>27</v>
      </c>
      <c r="B15" s="3469" t="s">
        <v>784</v>
      </c>
      <c r="C15" s="3465"/>
    </row>
    <row r="16" spans="1:7" ht="14.25">
      <c r="A16" s="3468"/>
      <c r="B16" s="3466" t="s">
        <v>28</v>
      </c>
      <c r="C16" s="1017" t="s">
        <v>27</v>
      </c>
    </row>
    <row r="17" spans="1:3" ht="14.25">
      <c r="A17" s="3468"/>
      <c r="B17" s="3466"/>
      <c r="C17" s="1017" t="s">
        <v>29</v>
      </c>
    </row>
    <row r="18" spans="1:3" ht="14.25">
      <c r="A18" s="3468"/>
      <c r="B18" s="3466"/>
      <c r="C18" s="1017" t="s">
        <v>30</v>
      </c>
    </row>
    <row r="19" spans="1:3" ht="14.25">
      <c r="A19" s="3468"/>
      <c r="B19" s="3464" t="s">
        <v>31</v>
      </c>
      <c r="C19" s="3465"/>
    </row>
    <row r="20" spans="1:3" ht="14.25">
      <c r="A20" s="1018" t="s">
        <v>32</v>
      </c>
      <c r="B20" s="1019"/>
      <c r="C20" s="1020"/>
    </row>
    <row r="21" spans="1:3" ht="14.25">
      <c r="A21" s="3467" t="s">
        <v>33</v>
      </c>
      <c r="B21" s="3464" t="s">
        <v>34</v>
      </c>
      <c r="C21" s="3465"/>
    </row>
    <row r="22" spans="1:3" ht="14.25">
      <c r="A22" s="3467"/>
      <c r="B22" s="3464" t="s">
        <v>35</v>
      </c>
      <c r="C22" s="3465"/>
    </row>
    <row r="23" spans="1:3" ht="14.25">
      <c r="A23" s="3467"/>
      <c r="B23" s="3464" t="s">
        <v>36</v>
      </c>
      <c r="C23" s="3465"/>
    </row>
    <row r="24" spans="1:3" ht="14.25">
      <c r="A24" s="3467"/>
      <c r="B24" s="3470" t="s">
        <v>37</v>
      </c>
      <c r="C24" s="1021" t="s">
        <v>775</v>
      </c>
    </row>
    <row r="25" spans="1:3" ht="14.25">
      <c r="A25" s="3467"/>
      <c r="B25" s="3471"/>
      <c r="C25" s="1021" t="s">
        <v>776</v>
      </c>
    </row>
    <row r="26" spans="1:3" ht="14.25">
      <c r="A26" s="3467"/>
      <c r="B26" s="3471"/>
      <c r="C26" s="1021" t="s">
        <v>777</v>
      </c>
    </row>
    <row r="27" spans="1:3" ht="14.25">
      <c r="A27" s="3467"/>
      <c r="B27" s="3471"/>
      <c r="C27" s="1021" t="s">
        <v>778</v>
      </c>
    </row>
    <row r="28" spans="1:3" ht="14.25">
      <c r="A28" s="3467"/>
      <c r="B28" s="3471"/>
      <c r="C28" s="1021" t="s">
        <v>779</v>
      </c>
    </row>
    <row r="29" spans="1:3" ht="14.25">
      <c r="A29" s="3467"/>
      <c r="B29" s="3471"/>
      <c r="C29" s="1021" t="s">
        <v>780</v>
      </c>
    </row>
    <row r="30" spans="1:3" ht="14.25">
      <c r="A30" s="3467"/>
      <c r="B30" s="3471"/>
      <c r="C30" s="1021" t="s">
        <v>781</v>
      </c>
    </row>
    <row r="31" spans="1:3" ht="14.25">
      <c r="A31" s="3467"/>
      <c r="B31" s="3471"/>
      <c r="C31" s="1021" t="s">
        <v>782</v>
      </c>
    </row>
    <row r="32" spans="1:3" ht="14.25">
      <c r="A32" s="3467"/>
      <c r="B32" s="3471"/>
      <c r="C32" s="1021" t="s">
        <v>1181</v>
      </c>
    </row>
    <row r="33" spans="1:3" ht="14.25">
      <c r="A33" s="3467"/>
      <c r="B33" s="3461" t="s">
        <v>1187</v>
      </c>
      <c r="C33" s="1021" t="s">
        <v>1182</v>
      </c>
    </row>
    <row r="34" spans="1:3" ht="14.25">
      <c r="A34" s="3467"/>
      <c r="B34" s="3462"/>
      <c r="C34" s="1026" t="s">
        <v>1183</v>
      </c>
    </row>
    <row r="35" spans="1:3" ht="14.25">
      <c r="A35" s="3467"/>
      <c r="B35" s="3462"/>
      <c r="C35" s="1027" t="s">
        <v>1184</v>
      </c>
    </row>
    <row r="36" spans="1:3" ht="14.25">
      <c r="A36" s="3467"/>
      <c r="B36" s="3462"/>
      <c r="C36" s="1027" t="s">
        <v>1185</v>
      </c>
    </row>
    <row r="37" spans="1:3" ht="14.25">
      <c r="A37" s="3467"/>
      <c r="B37" s="3463"/>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1431</v>
      </c>
      <c r="B2" s="2563">
        <f ca="1">TODAY()</f>
        <v>46007</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t="str">
        <f ca="1">IF(C4&lt;B2,"已过期",1119970066)</f>
        <v>已过期</v>
      </c>
      <c r="C4" s="2569">
        <v>45937</v>
      </c>
      <c r="D4" s="2575" t="s">
        <v>1438</v>
      </c>
      <c r="E4" s="2566">
        <f ca="1">IF(F4&lt;B2,"已过期",96010014)</f>
        <v>96010014</v>
      </c>
      <c r="F4" s="2568">
        <v>47118</v>
      </c>
      <c r="G4" s="2561"/>
    </row>
    <row r="5" spans="1:7" ht="20.25" customHeight="1">
      <c r="A5" s="2566" t="s">
        <v>1439</v>
      </c>
      <c r="B5" s="2566" t="str">
        <f ca="1">IF(C5&lt;B2,"已过期",1119970111)</f>
        <v>已过期</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t="str">
        <f ca="1">IF(C7&lt;B2,"已过期",1120000080)</f>
        <v>已过期</v>
      </c>
      <c r="C7" s="2569">
        <v>45937</v>
      </c>
      <c r="D7" s="2575" t="s">
        <v>1441</v>
      </c>
      <c r="E7" s="2566">
        <f ca="1">IF(F7&lt;B2,"已过期",2000110082)</f>
        <v>2000110082</v>
      </c>
      <c r="F7" s="2568">
        <v>46387</v>
      </c>
      <c r="G7" s="2561"/>
    </row>
    <row r="8" spans="1:7" ht="20.25" customHeight="1">
      <c r="A8" s="2566" t="s">
        <v>1442</v>
      </c>
      <c r="B8" s="2566" t="str">
        <f ca="1">IF(C8&lt;B2,"已过期",1419970001)</f>
        <v>已过期</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t="str">
        <f ca="1">IF(C10&lt;B2,"已过期",1120100036)</f>
        <v>已过期</v>
      </c>
      <c r="C10" s="2569">
        <v>45752</v>
      </c>
      <c r="D10" s="2575" t="s">
        <v>1444</v>
      </c>
      <c r="E10" s="2566">
        <f ca="1">IF(F10&lt;B2,"已过期",2010110070)</f>
        <v>2010110070</v>
      </c>
      <c r="F10" s="2568">
        <v>47907</v>
      </c>
      <c r="G10" s="2561"/>
    </row>
    <row r="11" spans="1:7" ht="20.25" customHeight="1">
      <c r="A11" s="2566" t="s">
        <v>1445</v>
      </c>
      <c r="B11" s="2566" t="str">
        <f ca="1">IF(C11&lt;B2,"已过期",1120070131)</f>
        <v>已过期</v>
      </c>
      <c r="C11" s="2569">
        <v>45937</v>
      </c>
      <c r="D11" s="2575" t="s">
        <v>1445</v>
      </c>
      <c r="E11" s="2566">
        <f ca="1">IF(F11&lt;B2,"已过期",2014110011)</f>
        <v>2014110011</v>
      </c>
      <c r="F11" s="2568">
        <v>49302</v>
      </c>
      <c r="G11" s="2561"/>
    </row>
    <row r="12" spans="1:7" ht="20.25" customHeight="1">
      <c r="A12" s="2566" t="s">
        <v>2228</v>
      </c>
      <c r="B12" s="2566" t="str">
        <f ca="1">IF(C12&lt;B2,"已过期",1120040230)</f>
        <v>已过期</v>
      </c>
      <c r="C12" s="2569">
        <v>45937</v>
      </c>
      <c r="D12" s="2575" t="s">
        <v>2229</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2239</v>
      </c>
      <c r="B15" s="2566" t="str">
        <f ca="1">IF(C15&lt;B2,"已过期",1119980106)</f>
        <v>已过期</v>
      </c>
      <c r="C15" s="2569">
        <v>44969</v>
      </c>
      <c r="D15" s="2575"/>
      <c r="E15" s="2566"/>
      <c r="F15" s="2566"/>
      <c r="G15" s="2561"/>
    </row>
    <row r="16" spans="1:7" ht="20.25" customHeight="1">
      <c r="A16" s="2565" t="s">
        <v>2435</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75" t="s">
        <v>1448</v>
      </c>
      <c r="B18" s="3476"/>
      <c r="C18" s="3476"/>
      <c r="D18" s="3476"/>
      <c r="E18" s="3476"/>
      <c r="F18" s="3476"/>
      <c r="G18" s="2561"/>
    </row>
    <row r="19" spans="1:7" ht="20.25" customHeight="1">
      <c r="A19" s="3472" t="s">
        <v>1449</v>
      </c>
      <c r="B19" s="3472"/>
      <c r="C19" s="3473"/>
      <c r="D19" s="3474" t="s">
        <v>1450</v>
      </c>
      <c r="E19" s="3472"/>
      <c r="F19" s="3472"/>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2436</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8"/>
  </cols>
  <sheetData>
    <row r="1" spans="1:28" s="1029" customFormat="1" ht="40.5">
      <c r="A1" s="882" t="s">
        <v>794</v>
      </c>
      <c r="B1" s="3" t="s">
        <v>99</v>
      </c>
      <c r="C1" s="1294" t="s">
        <v>1237</v>
      </c>
      <c r="D1" s="2049" t="s">
        <v>2748</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c r="X1" s="1294" t="s">
        <v>3309</v>
      </c>
      <c r="Y1" s="1294" t="s">
        <v>3310</v>
      </c>
      <c r="Z1" s="1294" t="s">
        <v>3313</v>
      </c>
      <c r="AA1" s="1294" t="s">
        <v>3311</v>
      </c>
      <c r="AB1" s="1294" t="s">
        <v>3312</v>
      </c>
    </row>
    <row r="2" spans="1:28">
      <c r="A2" s="6" t="s">
        <v>47</v>
      </c>
      <c r="B2" s="6" t="s">
        <v>116</v>
      </c>
      <c r="C2" s="1295" t="s">
        <v>1238</v>
      </c>
      <c r="D2" s="7" t="s">
        <v>48</v>
      </c>
      <c r="E2" s="7" t="s">
        <v>95</v>
      </c>
      <c r="F2" s="7" t="s">
        <v>96</v>
      </c>
      <c r="G2" s="4">
        <v>20</v>
      </c>
      <c r="H2" s="7" t="s">
        <v>97</v>
      </c>
      <c r="I2" s="7" t="s">
        <v>2734</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2448</v>
      </c>
      <c r="Y2" s="9" t="s">
        <v>3307</v>
      </c>
      <c r="Z2" s="9" t="s">
        <v>2462</v>
      </c>
      <c r="AA2" s="9" t="s">
        <v>3308</v>
      </c>
      <c r="AB2" s="9" t="s">
        <v>2492</v>
      </c>
    </row>
    <row r="3" spans="1:28">
      <c r="A3" s="6" t="s">
        <v>52</v>
      </c>
      <c r="B3" s="8" t="s">
        <v>117</v>
      </c>
      <c r="C3" s="1295" t="s">
        <v>1239</v>
      </c>
      <c r="D3" s="7" t="s">
        <v>53</v>
      </c>
      <c r="E3" s="7" t="s">
        <v>3</v>
      </c>
      <c r="F3" s="7" t="s">
        <v>54</v>
      </c>
      <c r="G3" s="7">
        <v>40</v>
      </c>
      <c r="H3" s="7" t="s">
        <v>55</v>
      </c>
      <c r="I3" s="7" t="s">
        <v>2735</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2450</v>
      </c>
      <c r="Z3" s="9" t="s">
        <v>2464</v>
      </c>
      <c r="AB3" s="9" t="s">
        <v>2494</v>
      </c>
    </row>
    <row r="4" spans="1:28">
      <c r="A4" s="6" t="s">
        <v>60</v>
      </c>
      <c r="B4" s="6" t="s">
        <v>118</v>
      </c>
      <c r="C4" s="1295" t="s">
        <v>1240</v>
      </c>
      <c r="D4" s="7" t="s">
        <v>1512</v>
      </c>
      <c r="E4" s="7" t="s">
        <v>61</v>
      </c>
      <c r="F4" s="7" t="s">
        <v>62</v>
      </c>
      <c r="G4" s="7">
        <v>50</v>
      </c>
      <c r="H4" s="7" t="s">
        <v>63</v>
      </c>
      <c r="I4" s="7" t="s">
        <v>2736</v>
      </c>
      <c r="K4" s="7" t="s">
        <v>64</v>
      </c>
      <c r="L4" s="7" t="s">
        <v>64</v>
      </c>
      <c r="M4" s="7" t="s">
        <v>64</v>
      </c>
      <c r="N4" s="7" t="s">
        <v>64</v>
      </c>
      <c r="O4" s="7" t="s">
        <v>64</v>
      </c>
      <c r="P4" s="918" t="s">
        <v>700</v>
      </c>
      <c r="Q4" s="7" t="s">
        <v>64</v>
      </c>
      <c r="R4" s="918" t="s">
        <v>1825</v>
      </c>
      <c r="S4" s="7" t="s">
        <v>64</v>
      </c>
      <c r="T4" s="7" t="s">
        <v>65</v>
      </c>
      <c r="U4" s="7" t="s">
        <v>64</v>
      </c>
      <c r="W4" s="7" t="s">
        <v>814</v>
      </c>
      <c r="X4" s="9" t="s">
        <v>2452</v>
      </c>
      <c r="Z4" s="9" t="s">
        <v>2466</v>
      </c>
      <c r="AB4" s="9" t="s">
        <v>2496</v>
      </c>
    </row>
    <row r="5" spans="1:28">
      <c r="A5" s="6" t="s">
        <v>66</v>
      </c>
      <c r="B5" s="6" t="s">
        <v>119</v>
      </c>
      <c r="C5" s="1295" t="s">
        <v>1241</v>
      </c>
      <c r="F5" s="7" t="s">
        <v>67</v>
      </c>
      <c r="G5" s="7">
        <v>70</v>
      </c>
      <c r="H5" s="7" t="s">
        <v>44</v>
      </c>
      <c r="I5" s="7" t="s">
        <v>2737</v>
      </c>
      <c r="K5" s="7" t="s">
        <v>68</v>
      </c>
      <c r="L5" s="7" t="s">
        <v>68</v>
      </c>
      <c r="M5" s="7" t="s">
        <v>68</v>
      </c>
      <c r="N5" s="7" t="s">
        <v>68</v>
      </c>
      <c r="O5" s="7" t="s">
        <v>68</v>
      </c>
      <c r="P5" s="918" t="s">
        <v>495</v>
      </c>
      <c r="Q5" s="7" t="s">
        <v>68</v>
      </c>
      <c r="R5" s="918" t="s">
        <v>1826</v>
      </c>
      <c r="S5" s="7" t="s">
        <v>68</v>
      </c>
      <c r="T5" s="7" t="s">
        <v>69</v>
      </c>
      <c r="U5" s="7" t="s">
        <v>68</v>
      </c>
      <c r="W5" s="7" t="s">
        <v>815</v>
      </c>
      <c r="X5" s="9" t="s">
        <v>2454</v>
      </c>
      <c r="Z5" s="9" t="s">
        <v>2468</v>
      </c>
      <c r="AB5" s="9" t="s">
        <v>2752</v>
      </c>
    </row>
    <row r="6" spans="1:28">
      <c r="A6" s="6" t="s">
        <v>70</v>
      </c>
      <c r="B6" s="996" t="s">
        <v>1176</v>
      </c>
      <c r="C6" s="1296" t="s">
        <v>1242</v>
      </c>
      <c r="F6" s="7" t="s">
        <v>45</v>
      </c>
      <c r="H6" s="7" t="s">
        <v>46</v>
      </c>
      <c r="I6" s="7" t="s">
        <v>2738</v>
      </c>
      <c r="K6" s="7" t="s">
        <v>71</v>
      </c>
      <c r="L6" s="7" t="s">
        <v>71</v>
      </c>
      <c r="M6" s="7" t="s">
        <v>71</v>
      </c>
      <c r="N6" s="7" t="s">
        <v>71</v>
      </c>
      <c r="O6" s="7" t="s">
        <v>71</v>
      </c>
      <c r="P6" s="918" t="s">
        <v>818</v>
      </c>
      <c r="Q6" s="7" t="s">
        <v>71</v>
      </c>
      <c r="R6" s="918" t="s">
        <v>1827</v>
      </c>
      <c r="S6" s="7" t="s">
        <v>71</v>
      </c>
      <c r="T6" s="7"/>
      <c r="U6" s="7" t="s">
        <v>71</v>
      </c>
      <c r="W6" s="7" t="s">
        <v>816</v>
      </c>
      <c r="X6" s="9" t="s">
        <v>2456</v>
      </c>
      <c r="Z6" s="9" t="s">
        <v>2470</v>
      </c>
      <c r="AB6" s="9" t="s">
        <v>2500</v>
      </c>
    </row>
    <row r="7" spans="1:28">
      <c r="A7" s="6" t="s">
        <v>72</v>
      </c>
      <c r="B7" s="6" t="s">
        <v>73</v>
      </c>
      <c r="C7" s="1295" t="s">
        <v>1243</v>
      </c>
      <c r="F7" s="7" t="s">
        <v>120</v>
      </c>
      <c r="H7" s="7" t="s">
        <v>74</v>
      </c>
      <c r="I7" s="7" t="s">
        <v>2739</v>
      </c>
      <c r="X7" s="9" t="s">
        <v>2458</v>
      </c>
      <c r="Z7" s="9" t="s">
        <v>2472</v>
      </c>
      <c r="AB7" s="9" t="s">
        <v>2502</v>
      </c>
    </row>
    <row r="8" spans="1:28">
      <c r="A8" s="6" t="s">
        <v>75</v>
      </c>
      <c r="B8" s="6" t="s">
        <v>76</v>
      </c>
      <c r="C8" s="1295" t="s">
        <v>1244</v>
      </c>
      <c r="F8" s="7" t="s">
        <v>121</v>
      </c>
      <c r="H8" s="3083" t="s">
        <v>2733</v>
      </c>
      <c r="I8" s="7" t="s">
        <v>2740</v>
      </c>
      <c r="X8" s="9" t="s">
        <v>3303</v>
      </c>
      <c r="Z8" s="9" t="s">
        <v>2474</v>
      </c>
      <c r="AB8" s="9" t="s">
        <v>2504</v>
      </c>
    </row>
    <row r="9" spans="1:28">
      <c r="A9" s="6" t="s">
        <v>77</v>
      </c>
      <c r="B9" s="6" t="s">
        <v>122</v>
      </c>
      <c r="C9" s="1295" t="s">
        <v>1245</v>
      </c>
      <c r="F9" s="7" t="s">
        <v>78</v>
      </c>
      <c r="H9" s="7"/>
      <c r="I9" s="7" t="s">
        <v>2741</v>
      </c>
      <c r="X9" s="9" t="s">
        <v>3305</v>
      </c>
      <c r="Z9" s="9" t="s">
        <v>2476</v>
      </c>
      <c r="AB9" s="9" t="s">
        <v>2506</v>
      </c>
    </row>
    <row r="10" spans="1:28">
      <c r="A10" s="6" t="s">
        <v>79</v>
      </c>
      <c r="B10" s="6" t="s">
        <v>123</v>
      </c>
      <c r="C10" s="1295" t="s">
        <v>1246</v>
      </c>
      <c r="F10" s="3083" t="s">
        <v>2732</v>
      </c>
      <c r="I10" s="7" t="s">
        <v>2742</v>
      </c>
      <c r="Z10" s="9" t="s">
        <v>2478</v>
      </c>
      <c r="AB10" s="9" t="s">
        <v>2508</v>
      </c>
    </row>
    <row r="11" spans="1:28">
      <c r="A11" s="6" t="s">
        <v>80</v>
      </c>
      <c r="B11" s="6" t="s">
        <v>124</v>
      </c>
      <c r="C11" s="1295" t="s">
        <v>1247</v>
      </c>
      <c r="I11" s="7" t="s">
        <v>2743</v>
      </c>
      <c r="Z11" s="9" t="s">
        <v>2480</v>
      </c>
      <c r="AB11" s="9" t="s">
        <v>2510</v>
      </c>
    </row>
    <row r="12" spans="1:28">
      <c r="A12" s="6" t="s">
        <v>81</v>
      </c>
      <c r="B12" s="6" t="s">
        <v>125</v>
      </c>
      <c r="C12" s="1295" t="s">
        <v>1248</v>
      </c>
      <c r="I12" s="7" t="s">
        <v>2744</v>
      </c>
      <c r="Z12" s="9" t="s">
        <v>2483</v>
      </c>
      <c r="AB12" s="9" t="s">
        <v>2512</v>
      </c>
    </row>
    <row r="13" spans="1:28">
      <c r="A13" s="6" t="s">
        <v>82</v>
      </c>
      <c r="B13" s="6" t="s">
        <v>126</v>
      </c>
      <c r="C13" s="1295" t="s">
        <v>1249</v>
      </c>
      <c r="I13" s="7" t="s">
        <v>2745</v>
      </c>
      <c r="Z13" s="9" t="s">
        <v>2485</v>
      </c>
    </row>
    <row r="14" spans="1:28">
      <c r="A14" s="6" t="s">
        <v>83</v>
      </c>
      <c r="B14" s="6" t="s">
        <v>127</v>
      </c>
      <c r="C14" s="1297" t="s">
        <v>1421</v>
      </c>
      <c r="I14" s="7" t="s">
        <v>2746</v>
      </c>
      <c r="Z14" s="9" t="s">
        <v>2487</v>
      </c>
    </row>
    <row r="15" spans="1:28">
      <c r="A15" s="6" t="s">
        <v>84</v>
      </c>
      <c r="B15" s="6" t="s">
        <v>1214</v>
      </c>
      <c r="C15" s="1297"/>
      <c r="I15" s="7" t="s">
        <v>2747</v>
      </c>
    </row>
    <row r="16" spans="1:28">
      <c r="A16" s="6" t="s">
        <v>85</v>
      </c>
      <c r="B16" s="6" t="s">
        <v>1215</v>
      </c>
      <c r="C16" s="1297"/>
    </row>
    <row r="17" spans="1:3">
      <c r="A17" s="6" t="s">
        <v>86</v>
      </c>
      <c r="B17" s="6" t="s">
        <v>1216</v>
      </c>
      <c r="C17" s="1297"/>
    </row>
    <row r="18" spans="1:3">
      <c r="A18" s="6" t="s">
        <v>87</v>
      </c>
      <c r="B18" s="2358" t="s">
        <v>2205</v>
      </c>
      <c r="C18" s="1297"/>
    </row>
    <row r="19" spans="1:3">
      <c r="A19" s="6" t="s">
        <v>88</v>
      </c>
      <c r="B19" s="2358" t="s">
        <v>2212</v>
      </c>
      <c r="C19" s="1297"/>
    </row>
    <row r="20" spans="1:3">
      <c r="A20" s="6" t="s">
        <v>89</v>
      </c>
      <c r="B20" s="2358" t="s">
        <v>2252</v>
      </c>
      <c r="C20" s="1297"/>
    </row>
    <row r="21" spans="1:3">
      <c r="A21" s="6" t="s">
        <v>90</v>
      </c>
      <c r="B21" s="6" t="s">
        <v>2427</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77"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c r="D53" s="1470"/>
      <c r="E53" s="1470"/>
    </row>
    <row r="54" spans="1:5">
      <c r="A54" s="3477"/>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77"/>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77"/>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77"/>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土地案例</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新房成交</vt:lpstr>
      <vt:lpstr>旭辉天府未来城</vt:lpstr>
      <vt:lpstr>天府映屿</vt:lpstr>
      <vt:lpstr>天府龙智壹号小区</vt:lpstr>
      <vt:lpstr>文旅蓝城·竹里春风</vt:lpstr>
      <vt:lpstr>盛瑞沁源府</vt:lpstr>
      <vt:lpstr>不同区片</vt:lpstr>
      <vt:lpstr>地价指数</vt:lpstr>
      <vt:lpstr>基准地价参考</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2025-12-16T05:23:50Z</dcterms:modified>
</cp:coreProperties>
</file>