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30" yWindow="105" windowWidth="19440" windowHeight="5985" tabRatio="899" firstSheet="15"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1层"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酒店模型" sheetId="77" state="hidden" r:id="rId24"/>
    <sheet name="收益法（汇总）" sheetId="70" state="hidden" r:id="rId25"/>
    <sheet name="比较法-住宅" sheetId="21"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基准地价（汇总）" sheetId="76" state="hidden" r:id="rId33"/>
    <sheet name="基准地价修正" sheetId="43" state="hidden" r:id="rId34"/>
    <sheet name="修正" sheetId="45" state="hidden" r:id="rId35"/>
    <sheet name="容积率修正" sheetId="46" state="hidden" r:id="rId36"/>
    <sheet name="成本法（废）" sheetId="11" state="hidden" r:id="rId37"/>
    <sheet name="因素修正幅度" sheetId="65" state="hidden" r:id="rId38"/>
    <sheet name="区片价（范围）" sheetId="75" state="hidden" r:id="rId39"/>
    <sheet name="收益法 (元)" sheetId="67" r:id="rId40"/>
    <sheet name="结果表-2层" sheetId="83" r:id="rId41"/>
    <sheet name="比较法-商业-1层基准" sheetId="86" r:id="rId42"/>
    <sheet name="典型户型修正" sheetId="31" r:id="rId43"/>
    <sheet name="收益法-2层" sheetId="85" r:id="rId44"/>
    <sheet name="Sheet3" sheetId="82" r:id="rId45"/>
    <sheet name="地价-分区" sheetId="79" r:id="rId46"/>
    <sheet name="地价" sheetId="71" state="hidden" r:id="rId47"/>
    <sheet name="区片价" sheetId="44" state="hidden" r:id="rId48"/>
    <sheet name="存贷款利率" sheetId="73" state="hidden" r:id="rId49"/>
    <sheet name="Sheet1" sheetId="80" r:id="rId50"/>
  </sheets>
  <externalReferences>
    <externalReference r:id="rId51"/>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2" hidden="1">'比较法-商业'!$A$1:$L$49</definedName>
    <definedName name="_xlnm._FilterDatabase" localSheetId="41" hidden="1">'比较法-商业-1层基准'!$A$1:$L$49</definedName>
    <definedName name="_xlnm._FilterDatabase" localSheetId="25"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2">'比较法-商业'!$A$1:$K$54,'比较法-商业'!$A$57:$M$131</definedName>
    <definedName name="_xlnm.Print_Area" localSheetId="41">'比较法-商业-1层基准'!$A$1:$K$54,'比较法-商业-1层基准'!$A$57:$M$131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2">'基准地价（汇总）'!$A$1:$E$13</definedName>
    <definedName name="_xlnm.Print_Area" localSheetId="33">基准地价修正!$A$1:$J$44,基准地价修正!$A$47:$H$101,基准地价修正!$R$1:$V$16</definedName>
    <definedName name="_xlnm.Print_Area" localSheetId="20">假设开发法!$A$1:$K$32</definedName>
    <definedName name="_xlnm.Print_Area" localSheetId="17">'结果表-1层'!$A$1:$I$127</definedName>
    <definedName name="_xlnm.Print_Area" localSheetId="40">'结果表-2层'!$A$1:$I$127</definedName>
    <definedName name="_xlnm.Print_Area" localSheetId="21">收益法!$A$1:$F$43,收益法!$H$3:$M$29,收益法!$A$46:$F$71,收益法!$I$46:$N$65</definedName>
    <definedName name="_xlnm.Print_Area" localSheetId="39">'收益法 (元)'!$A$1:$F$43,'收益法 (元)'!$H$3:$M$29,'收益法 (元)'!$A$45:$F$71,'收益法 (元)'!$I$46:$N$65</definedName>
    <definedName name="_xlnm.Print_Area" localSheetId="24">'收益法（汇总）'!$A$1:$F$13</definedName>
    <definedName name="_xlnm.Print_Area" localSheetId="43">'收益法-2层'!$A$1:$F$43,'收益法-2层'!$H$3:$M$29,'收益法-2层'!$A$45:$F$71,'收益法-2层'!$I$46:$N$65</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 localSheetId="41">'比较法-商业-1层基准'!$B$116:$M$116</definedName>
    <definedName name="商业层高">'比较法-商业'!$B$116:$M$116</definedName>
    <definedName name="商业成新度" localSheetId="41">'比较法-商业-1层基准'!$B$109:$M$109</definedName>
    <definedName name="商业成新度">'比较法-商业'!$B$109:$M$109</definedName>
    <definedName name="商业繁华度">定义!$L$1:$L$6</definedName>
    <definedName name="商业公共部分装修" localSheetId="41">'比较法-商业-1层基准'!$B$107:$M$107</definedName>
    <definedName name="商业公共部分装修">'比较法-商业'!$B$107:$M$107</definedName>
    <definedName name="商业基础设施水平" localSheetId="41">'比较法-商业-1层基准'!$B$112:$M$112</definedName>
    <definedName name="商业基础设施水平">'比较法-商业'!$B$112:$M$112</definedName>
    <definedName name="商业建筑结构" localSheetId="41">'比较法-商业-1层基准'!$B$105:$M$105</definedName>
    <definedName name="商业建筑结构">'比较法-商业'!$B$105:$M$105</definedName>
    <definedName name="商业交易情况" localSheetId="41">'比较法-商业-1层基准'!$A$61:$M$61</definedName>
    <definedName name="商业交易情况">'比较法-商业'!$A$61:$M$61</definedName>
    <definedName name="商业街名称">修正!$C$71:$C$138</definedName>
    <definedName name="商业进深比" localSheetId="41">'比较法-商业-1层基准'!$B$120:$M$120</definedName>
    <definedName name="商业进深比">'比较法-商业'!$B$120:$M$120</definedName>
    <definedName name="商业类型" localSheetId="41">'比较法-商业-1层基准'!$B$100:$M$100</definedName>
    <definedName name="商业类型">'比较法-商业'!$B$100:$M$100</definedName>
    <definedName name="商业临街状况" localSheetId="41">'比较法-商业-1层基准'!$B$86:$M$86</definedName>
    <definedName name="商业临街状况">'比较法-商业'!$B$86:$M$86</definedName>
    <definedName name="商业楼层" localSheetId="41">'比较法-商业-1层基准'!$B$92:$M$92</definedName>
    <definedName name="商业楼层">'比较法-商业'!$B$92:$M$92</definedName>
    <definedName name="商业内部装修" localSheetId="41">'比较法-商业-1层基准'!$B$122:$M$122</definedName>
    <definedName name="商业内部装修">'比较法-商业'!$B$122:$M$122</definedName>
    <definedName name="商业人流量" localSheetId="41">'比较法-商业-1层基准'!$B$90:$M$90</definedName>
    <definedName name="商业人流量">'比较法-商业'!$B$90:$M$90</definedName>
    <definedName name="商业业态" localSheetId="41">'比较法-商业-1层基准'!$B$114:$M$114</definedName>
    <definedName name="商业业态">'比较法-商业'!$B$114:$M$114</definedName>
    <definedName name="商业用途" localSheetId="41">'比较法-商业-1层基准'!$B$63:$M$63</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iterate="1"/>
</workbook>
</file>

<file path=xl/calcChain.xml><?xml version="1.0" encoding="utf-8"?>
<calcChain xmlns="http://schemas.openxmlformats.org/spreadsheetml/2006/main">
  <c r="B15" i="74" l="1"/>
  <c r="C75" i="83"/>
  <c r="C66" i="83"/>
  <c r="C66" i="9"/>
  <c r="B14" i="74"/>
  <c r="D104" i="33"/>
  <c r="E104" i="33" s="1"/>
  <c r="F104" i="33" s="1"/>
  <c r="E104" i="86"/>
  <c r="F104" i="86" s="1"/>
  <c r="D104" i="86"/>
  <c r="AD7" i="1"/>
  <c r="B130" i="86"/>
  <c r="B128" i="86"/>
  <c r="B126" i="86"/>
  <c r="G125" i="86"/>
  <c r="D125" i="86"/>
  <c r="E125" i="86" s="1"/>
  <c r="F125" i="86" s="1"/>
  <c r="E123" i="86"/>
  <c r="F123" i="86" s="1"/>
  <c r="G123" i="86" s="1"/>
  <c r="H123" i="86" s="1"/>
  <c r="I123" i="86" s="1"/>
  <c r="J123" i="86" s="1"/>
  <c r="K123" i="86" s="1"/>
  <c r="L123" i="86" s="1"/>
  <c r="M123" i="86" s="1"/>
  <c r="D123" i="86"/>
  <c r="D121" i="86"/>
  <c r="E121" i="86" s="1"/>
  <c r="F121" i="86" s="1"/>
  <c r="G121" i="86" s="1"/>
  <c r="H121" i="86" s="1"/>
  <c r="I121" i="86" s="1"/>
  <c r="J121" i="86" s="1"/>
  <c r="K121" i="86" s="1"/>
  <c r="L121" i="86" s="1"/>
  <c r="M121" i="86" s="1"/>
  <c r="D117" i="86"/>
  <c r="E117" i="86" s="1"/>
  <c r="F117" i="86" s="1"/>
  <c r="G117" i="86" s="1"/>
  <c r="I115" i="86"/>
  <c r="J115" i="86" s="1"/>
  <c r="K115" i="86" s="1"/>
  <c r="L115" i="86" s="1"/>
  <c r="M115" i="86" s="1"/>
  <c r="E115" i="86"/>
  <c r="F115" i="86" s="1"/>
  <c r="G115" i="86" s="1"/>
  <c r="H115" i="86" s="1"/>
  <c r="D115" i="86"/>
  <c r="G113" i="86"/>
  <c r="H113" i="86" s="1"/>
  <c r="I113" i="86" s="1"/>
  <c r="J113" i="86" s="1"/>
  <c r="K113" i="86" s="1"/>
  <c r="L113" i="86" s="1"/>
  <c r="M113" i="86" s="1"/>
  <c r="D113" i="86"/>
  <c r="E113" i="86" s="1"/>
  <c r="F113" i="86" s="1"/>
  <c r="E111" i="86"/>
  <c r="F111" i="86" s="1"/>
  <c r="D111" i="86"/>
  <c r="G109" i="86"/>
  <c r="F109" i="86"/>
  <c r="E109" i="86"/>
  <c r="D109" i="86"/>
  <c r="C109" i="86"/>
  <c r="H108" i="86"/>
  <c r="I108" i="86" s="1"/>
  <c r="J108" i="86" s="1"/>
  <c r="K108" i="86" s="1"/>
  <c r="L108" i="86" s="1"/>
  <c r="M108" i="86" s="1"/>
  <c r="D108" i="86"/>
  <c r="E108" i="86" s="1"/>
  <c r="F108" i="86" s="1"/>
  <c r="G108" i="86" s="1"/>
  <c r="D106" i="86"/>
  <c r="E106" i="86" s="1"/>
  <c r="F106" i="86" s="1"/>
  <c r="G106" i="86" s="1"/>
  <c r="H106" i="86" s="1"/>
  <c r="I106" i="86" s="1"/>
  <c r="J106" i="86" s="1"/>
  <c r="K106" i="86" s="1"/>
  <c r="L106" i="86" s="1"/>
  <c r="M106" i="86" s="1"/>
  <c r="M102" i="86"/>
  <c r="L102" i="86"/>
  <c r="K102" i="86"/>
  <c r="J102" i="86"/>
  <c r="I102" i="86"/>
  <c r="H102" i="86"/>
  <c r="G102" i="86"/>
  <c r="F102" i="86"/>
  <c r="E102" i="86"/>
  <c r="D102" i="86"/>
  <c r="C102" i="86"/>
  <c r="I101" i="86"/>
  <c r="J101" i="86" s="1"/>
  <c r="K101" i="86" s="1"/>
  <c r="L101" i="86" s="1"/>
  <c r="M101" i="86" s="1"/>
  <c r="E101" i="86"/>
  <c r="F101" i="86" s="1"/>
  <c r="G101" i="86" s="1"/>
  <c r="H101" i="86" s="1"/>
  <c r="D101" i="86"/>
  <c r="B98" i="86"/>
  <c r="B96" i="86"/>
  <c r="B94" i="86"/>
  <c r="B92" i="86"/>
  <c r="G91" i="86"/>
  <c r="H91" i="86" s="1"/>
  <c r="I91" i="86" s="1"/>
  <c r="J91" i="86" s="1"/>
  <c r="K91" i="86" s="1"/>
  <c r="L91" i="86" s="1"/>
  <c r="M91" i="86" s="1"/>
  <c r="D91" i="86"/>
  <c r="E91" i="86" s="1"/>
  <c r="F91" i="86" s="1"/>
  <c r="B90" i="86"/>
  <c r="J27" i="86" s="1"/>
  <c r="D89" i="86"/>
  <c r="B88" i="86"/>
  <c r="G87" i="86"/>
  <c r="H87" i="86" s="1"/>
  <c r="I87" i="86" s="1"/>
  <c r="J87" i="86" s="1"/>
  <c r="K87" i="86" s="1"/>
  <c r="L87" i="86" s="1"/>
  <c r="M87" i="86" s="1"/>
  <c r="D87" i="86"/>
  <c r="E87" i="86" s="1"/>
  <c r="F87" i="86" s="1"/>
  <c r="G85" i="86"/>
  <c r="D85" i="86"/>
  <c r="E85" i="86" s="1"/>
  <c r="F85" i="86" s="1"/>
  <c r="G83" i="86"/>
  <c r="D83" i="86"/>
  <c r="E83" i="86" s="1"/>
  <c r="F83" i="86" s="1"/>
  <c r="G81" i="86"/>
  <c r="D81" i="86"/>
  <c r="E81" i="86" s="1"/>
  <c r="F81" i="86" s="1"/>
  <c r="G79" i="86"/>
  <c r="D79" i="86"/>
  <c r="E79" i="86" s="1"/>
  <c r="F79" i="86" s="1"/>
  <c r="G77" i="86"/>
  <c r="D77" i="86"/>
  <c r="E77" i="86" s="1"/>
  <c r="F77" i="86" s="1"/>
  <c r="B74" i="86"/>
  <c r="F14" i="86" s="1"/>
  <c r="B72" i="86"/>
  <c r="B70" i="86"/>
  <c r="H69" i="86"/>
  <c r="I69" i="86" s="1"/>
  <c r="J69" i="86" s="1"/>
  <c r="K69" i="86" s="1"/>
  <c r="L69" i="86" s="1"/>
  <c r="M69" i="86" s="1"/>
  <c r="D69" i="86"/>
  <c r="E69" i="86" s="1"/>
  <c r="F69" i="86" s="1"/>
  <c r="G69" i="86" s="1"/>
  <c r="M67" i="86"/>
  <c r="L67" i="86"/>
  <c r="K67" i="86"/>
  <c r="J67" i="86"/>
  <c r="I67" i="86"/>
  <c r="H67" i="86"/>
  <c r="G67" i="86"/>
  <c r="F67" i="86"/>
  <c r="E67" i="86"/>
  <c r="D67" i="86"/>
  <c r="C67" i="86"/>
  <c r="C63" i="86"/>
  <c r="D58" i="86"/>
  <c r="E58" i="86" s="1"/>
  <c r="F58" i="86" s="1"/>
  <c r="G58" i="86" s="1"/>
  <c r="H58" i="86" s="1"/>
  <c r="I54" i="86"/>
  <c r="J54" i="86" s="1"/>
  <c r="H54" i="86"/>
  <c r="G54" i="86"/>
  <c r="E54" i="86"/>
  <c r="F54" i="86" s="1"/>
  <c r="P49" i="86"/>
  <c r="P48" i="86"/>
  <c r="K48" i="86"/>
  <c r="V47" i="86"/>
  <c r="T47" i="86"/>
  <c r="R47" i="86"/>
  <c r="P47" i="86"/>
  <c r="AC46" i="86"/>
  <c r="Q46" i="86"/>
  <c r="Z46" i="86" s="1"/>
  <c r="J46" i="86"/>
  <c r="W46" i="86" s="1"/>
  <c r="H46" i="86"/>
  <c r="AB46" i="86" s="1"/>
  <c r="F46" i="86"/>
  <c r="AA46" i="86" s="1"/>
  <c r="Q45" i="86"/>
  <c r="Z45" i="86" s="1"/>
  <c r="J45" i="86"/>
  <c r="AC45" i="86" s="1"/>
  <c r="H45" i="86"/>
  <c r="U45" i="86" s="1"/>
  <c r="F45" i="86"/>
  <c r="AA45" i="86" s="1"/>
  <c r="AA44" i="86"/>
  <c r="Q44" i="86"/>
  <c r="Z44" i="86" s="1"/>
  <c r="J44" i="86"/>
  <c r="AC44" i="86" s="1"/>
  <c r="H44" i="86"/>
  <c r="AB44" i="86" s="1"/>
  <c r="F44" i="86"/>
  <c r="S44" i="86" s="1"/>
  <c r="Z43" i="86"/>
  <c r="Q43" i="86"/>
  <c r="J43" i="86"/>
  <c r="AC43" i="86" s="1"/>
  <c r="H43" i="86"/>
  <c r="AB43" i="86" s="1"/>
  <c r="F43" i="86"/>
  <c r="AA43" i="86" s="1"/>
  <c r="Q42" i="86"/>
  <c r="Z42" i="86" s="1"/>
  <c r="J42" i="86"/>
  <c r="AC42" i="86" s="1"/>
  <c r="H42" i="86"/>
  <c r="AB42" i="86" s="1"/>
  <c r="F42" i="86"/>
  <c r="AA42" i="86" s="1"/>
  <c r="U41" i="86"/>
  <c r="Q41" i="86"/>
  <c r="Z41" i="86" s="1"/>
  <c r="J41" i="86"/>
  <c r="AC41" i="86" s="1"/>
  <c r="H41" i="86"/>
  <c r="AB41" i="86" s="1"/>
  <c r="F41" i="86"/>
  <c r="AA41" i="86" s="1"/>
  <c r="Q40" i="86"/>
  <c r="Z40" i="86" s="1"/>
  <c r="J40" i="86"/>
  <c r="AC40" i="86" s="1"/>
  <c r="H40" i="86"/>
  <c r="AB40" i="86" s="1"/>
  <c r="F40" i="86"/>
  <c r="AA40" i="86" s="1"/>
  <c r="Q39" i="86"/>
  <c r="Z39" i="86" s="1"/>
  <c r="J39" i="86"/>
  <c r="AC39" i="86" s="1"/>
  <c r="H39" i="86"/>
  <c r="AB39" i="86" s="1"/>
  <c r="F39" i="86"/>
  <c r="AA39" i="86" s="1"/>
  <c r="AC38" i="86"/>
  <c r="Q38" i="86"/>
  <c r="Z38" i="86" s="1"/>
  <c r="J38" i="86"/>
  <c r="W38" i="86" s="1"/>
  <c r="H38" i="86"/>
  <c r="AB38" i="86" s="1"/>
  <c r="F38" i="86"/>
  <c r="AA38" i="86" s="1"/>
  <c r="Q37" i="86"/>
  <c r="Z37" i="86" s="1"/>
  <c r="J37" i="86"/>
  <c r="AC37" i="86" s="1"/>
  <c r="H37" i="86"/>
  <c r="AB37" i="86" s="1"/>
  <c r="F37" i="86"/>
  <c r="AA37" i="86" s="1"/>
  <c r="Q36" i="86"/>
  <c r="Z36" i="86" s="1"/>
  <c r="F36" i="86"/>
  <c r="AA36" i="86" s="1"/>
  <c r="Z35" i="86"/>
  <c r="Q35" i="86"/>
  <c r="J35" i="86"/>
  <c r="AC35" i="86" s="1"/>
  <c r="H35" i="86"/>
  <c r="AB35" i="86" s="1"/>
  <c r="F35" i="86"/>
  <c r="S35" i="86" s="1"/>
  <c r="Q34" i="86"/>
  <c r="Z34" i="86" s="1"/>
  <c r="J34" i="86"/>
  <c r="AC34" i="86" s="1"/>
  <c r="H34" i="86"/>
  <c r="AB34" i="86" s="1"/>
  <c r="F34" i="86"/>
  <c r="AA34" i="86" s="1"/>
  <c r="Q33" i="86"/>
  <c r="Z33" i="86" s="1"/>
  <c r="AC32" i="86"/>
  <c r="W32" i="86"/>
  <c r="Q32" i="86"/>
  <c r="Z32" i="86" s="1"/>
  <c r="J32" i="86"/>
  <c r="H32" i="86"/>
  <c r="AB32" i="86" s="1"/>
  <c r="F32" i="86"/>
  <c r="AA32" i="86" s="1"/>
  <c r="AA31" i="86"/>
  <c r="Q31" i="86"/>
  <c r="Z31" i="86" s="1"/>
  <c r="J31" i="86"/>
  <c r="AC31" i="86" s="1"/>
  <c r="H31" i="86"/>
  <c r="U31" i="86" s="1"/>
  <c r="F31" i="86"/>
  <c r="S31" i="86" s="1"/>
  <c r="Z30" i="86"/>
  <c r="Q30" i="86"/>
  <c r="J30" i="86"/>
  <c r="AC30" i="86" s="1"/>
  <c r="H30" i="86"/>
  <c r="AB30" i="86" s="1"/>
  <c r="F30" i="86"/>
  <c r="S30" i="86" s="1"/>
  <c r="W29" i="86"/>
  <c r="Q29" i="86"/>
  <c r="Z29" i="86" s="1"/>
  <c r="J29" i="86"/>
  <c r="AC29" i="86" s="1"/>
  <c r="Q28" i="86"/>
  <c r="Z28" i="86" s="1"/>
  <c r="J28" i="86"/>
  <c r="AC28" i="86" s="1"/>
  <c r="H28" i="86"/>
  <c r="AB28" i="86" s="1"/>
  <c r="F28" i="86"/>
  <c r="AA28" i="86" s="1"/>
  <c r="Z27" i="86"/>
  <c r="Q27" i="86"/>
  <c r="H27" i="86"/>
  <c r="U27" i="86" s="1"/>
  <c r="AA26" i="86"/>
  <c r="Z26" i="86"/>
  <c r="S26" i="86"/>
  <c r="Q26" i="86"/>
  <c r="J26" i="86"/>
  <c r="W26" i="86" s="1"/>
  <c r="F26" i="86"/>
  <c r="Q25" i="86"/>
  <c r="Z25" i="86" s="1"/>
  <c r="J25" i="86"/>
  <c r="AC25" i="86" s="1"/>
  <c r="H25" i="86"/>
  <c r="AB25" i="86" s="1"/>
  <c r="F25" i="86"/>
  <c r="AA25" i="86" s="1"/>
  <c r="Q23" i="86"/>
  <c r="Z23" i="86" s="1"/>
  <c r="J23" i="86"/>
  <c r="AC23" i="86" s="1"/>
  <c r="H23" i="86"/>
  <c r="AB23" i="86" s="1"/>
  <c r="F23" i="86"/>
  <c r="AA23" i="86" s="1"/>
  <c r="C23" i="86"/>
  <c r="Q21" i="86"/>
  <c r="Z21" i="86" s="1"/>
  <c r="J21" i="86"/>
  <c r="AC21" i="86" s="1"/>
  <c r="H21" i="86"/>
  <c r="AB21" i="86" s="1"/>
  <c r="F21" i="86"/>
  <c r="AA21" i="86" s="1"/>
  <c r="C21" i="86"/>
  <c r="Q19" i="86"/>
  <c r="Z19" i="86" s="1"/>
  <c r="J19" i="86"/>
  <c r="AC19" i="86" s="1"/>
  <c r="H19" i="86"/>
  <c r="AB19" i="86" s="1"/>
  <c r="F19" i="86"/>
  <c r="AA19" i="86" s="1"/>
  <c r="C19" i="86"/>
  <c r="Q17" i="86"/>
  <c r="Z17" i="86" s="1"/>
  <c r="J17" i="86"/>
  <c r="AC17" i="86" s="1"/>
  <c r="H17" i="86"/>
  <c r="AB17" i="86" s="1"/>
  <c r="F17" i="86"/>
  <c r="AA17" i="86" s="1"/>
  <c r="C17" i="86"/>
  <c r="Q15" i="86"/>
  <c r="Z15" i="86" s="1"/>
  <c r="J15" i="86"/>
  <c r="AC15" i="86" s="1"/>
  <c r="H15" i="86"/>
  <c r="AB15" i="86" s="1"/>
  <c r="F15" i="86"/>
  <c r="AA15" i="86" s="1"/>
  <c r="C15" i="86"/>
  <c r="Q14" i="86"/>
  <c r="Z14" i="86" s="1"/>
  <c r="H14" i="86"/>
  <c r="AB14" i="86" s="1"/>
  <c r="Q13" i="86"/>
  <c r="Z13" i="86" s="1"/>
  <c r="J13" i="86"/>
  <c r="AC13" i="86" s="1"/>
  <c r="H13" i="86"/>
  <c r="AB13" i="86" s="1"/>
  <c r="F13" i="86"/>
  <c r="AA13" i="86" s="1"/>
  <c r="Q12" i="86"/>
  <c r="Z12" i="86" s="1"/>
  <c r="J12" i="86"/>
  <c r="AC12" i="86" s="1"/>
  <c r="H12" i="86"/>
  <c r="AB12" i="86" s="1"/>
  <c r="F12" i="86"/>
  <c r="AA12" i="86" s="1"/>
  <c r="Q11" i="86"/>
  <c r="Z11" i="86" s="1"/>
  <c r="J11" i="86"/>
  <c r="AC11" i="86" s="1"/>
  <c r="H11" i="86"/>
  <c r="AB11" i="86" s="1"/>
  <c r="F11" i="86"/>
  <c r="AA11" i="86" s="1"/>
  <c r="Q10" i="86"/>
  <c r="Z10" i="86" s="1"/>
  <c r="J10" i="86"/>
  <c r="AC10" i="86" s="1"/>
  <c r="H10" i="86"/>
  <c r="AB10" i="86" s="1"/>
  <c r="F10" i="86"/>
  <c r="AA10" i="86" s="1"/>
  <c r="Q9" i="86"/>
  <c r="Z9" i="86" s="1"/>
  <c r="J9" i="86"/>
  <c r="AC9" i="86" s="1"/>
  <c r="H9" i="86"/>
  <c r="AB9" i="86" s="1"/>
  <c r="F9" i="86"/>
  <c r="AA9" i="86" s="1"/>
  <c r="W8" i="86"/>
  <c r="S8" i="86"/>
  <c r="J8" i="86"/>
  <c r="AC8" i="86" s="1"/>
  <c r="H8" i="86"/>
  <c r="U8" i="86" s="1"/>
  <c r="F8" i="86"/>
  <c r="AA8" i="86" s="1"/>
  <c r="C7" i="86"/>
  <c r="C58" i="86" s="1"/>
  <c r="D3" i="86"/>
  <c r="C33" i="86" s="1"/>
  <c r="F33" i="86" s="1"/>
  <c r="Q72" i="85"/>
  <c r="Q59" i="85"/>
  <c r="K59" i="85"/>
  <c r="P74" i="85" s="1"/>
  <c r="F59" i="85"/>
  <c r="Q58" i="85"/>
  <c r="Q51" i="85"/>
  <c r="J50" i="85"/>
  <c r="J49" i="85"/>
  <c r="J51" i="85" s="1"/>
  <c r="M47" i="85"/>
  <c r="D46" i="85"/>
  <c r="F34" i="85"/>
  <c r="F62" i="85" s="1"/>
  <c r="F33" i="85"/>
  <c r="F61" i="85" s="1"/>
  <c r="F32" i="85"/>
  <c r="F60" i="85" s="1"/>
  <c r="F31" i="85"/>
  <c r="F28" i="85"/>
  <c r="C28" i="85" s="1"/>
  <c r="F23" i="85"/>
  <c r="D23" i="85" s="1"/>
  <c r="F21" i="85"/>
  <c r="M20" i="85"/>
  <c r="F20" i="85"/>
  <c r="M19" i="85"/>
  <c r="M18" i="85"/>
  <c r="F18" i="85"/>
  <c r="M17" i="85"/>
  <c r="F17" i="85"/>
  <c r="F15" i="85"/>
  <c r="G1" i="85"/>
  <c r="A122" i="83"/>
  <c r="A120" i="83"/>
  <c r="E118" i="83"/>
  <c r="A118" i="83"/>
  <c r="E111" i="83"/>
  <c r="E109" i="83"/>
  <c r="A124" i="83" s="1"/>
  <c r="E107" i="83"/>
  <c r="H106" i="83"/>
  <c r="H105" i="83"/>
  <c r="H104" i="83"/>
  <c r="H103" i="83"/>
  <c r="D120" i="83" s="1"/>
  <c r="D101" i="83"/>
  <c r="C101" i="83"/>
  <c r="D93" i="83"/>
  <c r="C91" i="83"/>
  <c r="E90" i="83"/>
  <c r="D89" i="83"/>
  <c r="C89" i="83" s="1"/>
  <c r="C87" i="83" s="1"/>
  <c r="D78" i="83"/>
  <c r="H77" i="83"/>
  <c r="D77" i="83"/>
  <c r="C77" i="83"/>
  <c r="C76" i="83"/>
  <c r="D68" i="83"/>
  <c r="F59" i="83"/>
  <c r="O55" i="83" s="1"/>
  <c r="E59" i="83"/>
  <c r="N55" i="83" s="1"/>
  <c r="N56" i="83"/>
  <c r="M56" i="83"/>
  <c r="K56" i="83"/>
  <c r="J56" i="83"/>
  <c r="F56" i="83"/>
  <c r="O54" i="83" s="1"/>
  <c r="K55" i="83"/>
  <c r="J55" i="83"/>
  <c r="I55" i="83"/>
  <c r="F55" i="83"/>
  <c r="O53" i="83" s="1"/>
  <c r="N54" i="83"/>
  <c r="F54" i="83"/>
  <c r="N53" i="83"/>
  <c r="F53" i="83"/>
  <c r="F52" i="83"/>
  <c r="K49" i="83"/>
  <c r="F48" i="83"/>
  <c r="O52" i="83" s="1"/>
  <c r="E48" i="83"/>
  <c r="N52" i="83" s="1"/>
  <c r="M47" i="83"/>
  <c r="C35" i="83"/>
  <c r="G118" i="83" s="1"/>
  <c r="C34" i="83"/>
  <c r="F33" i="83"/>
  <c r="D27" i="83"/>
  <c r="C25" i="83"/>
  <c r="C24" i="83"/>
  <c r="M19" i="83"/>
  <c r="C118" i="83" s="1"/>
  <c r="L19" i="83"/>
  <c r="M18" i="83"/>
  <c r="B118" i="83" s="1"/>
  <c r="L18" i="83"/>
  <c r="C18" i="83"/>
  <c r="D18" i="83" s="1"/>
  <c r="D17" i="83"/>
  <c r="C17" i="83"/>
  <c r="L4" i="83"/>
  <c r="K4" i="83"/>
  <c r="A2" i="83"/>
  <c r="H1" i="83"/>
  <c r="C33" i="33"/>
  <c r="E89" i="33"/>
  <c r="F89" i="33"/>
  <c r="G89" i="33"/>
  <c r="D89" i="33"/>
  <c r="AF6" i="1"/>
  <c r="Y7" i="1"/>
  <c r="N7" i="1"/>
  <c r="N6" i="1"/>
  <c r="F20" i="6"/>
  <c r="D2" i="86"/>
  <c r="L47" i="85"/>
  <c r="F38" i="85"/>
  <c r="M6" i="85"/>
  <c r="L48" i="85"/>
  <c r="F36" i="85"/>
  <c r="M29" i="85"/>
  <c r="M26" i="85"/>
  <c r="F16" i="85"/>
  <c r="F13" i="85"/>
  <c r="M8" i="85"/>
  <c r="C76" i="85"/>
  <c r="C74" i="83" l="1"/>
  <c r="J57" i="83"/>
  <c r="J59" i="83" s="1"/>
  <c r="J61" i="83" s="1"/>
  <c r="W28" i="86"/>
  <c r="AA14" i="86"/>
  <c r="S14" i="86"/>
  <c r="I58" i="86"/>
  <c r="J58" i="86" s="1"/>
  <c r="K58" i="86" s="1"/>
  <c r="L58" i="86" s="1"/>
  <c r="M58" i="86" s="1"/>
  <c r="N58" i="86" s="1"/>
  <c r="O58" i="86" s="1"/>
  <c r="J7" i="86"/>
  <c r="F7" i="86"/>
  <c r="AA33" i="86"/>
  <c r="S33" i="86"/>
  <c r="U10" i="86"/>
  <c r="U15" i="86"/>
  <c r="U19" i="86"/>
  <c r="W25" i="86"/>
  <c r="AC26" i="86"/>
  <c r="AA30" i="86"/>
  <c r="AB31" i="86"/>
  <c r="W34" i="86"/>
  <c r="S9" i="86"/>
  <c r="W11" i="86"/>
  <c r="S13" i="86"/>
  <c r="U14" i="86"/>
  <c r="U17" i="86"/>
  <c r="U21" i="86"/>
  <c r="U23" i="86"/>
  <c r="AB27" i="86"/>
  <c r="AB45" i="86"/>
  <c r="AC27" i="86"/>
  <c r="W27" i="86"/>
  <c r="G111" i="86"/>
  <c r="H111" i="86" s="1"/>
  <c r="I111" i="86" s="1"/>
  <c r="J111" i="86" s="1"/>
  <c r="K111" i="86" s="1"/>
  <c r="L111" i="86" s="1"/>
  <c r="M111" i="86" s="1"/>
  <c r="J36" i="86"/>
  <c r="U9" i="86"/>
  <c r="W10" i="86"/>
  <c r="S12" i="86"/>
  <c r="U13" i="86"/>
  <c r="J14" i="86"/>
  <c r="W15" i="86"/>
  <c r="W17" i="86"/>
  <c r="W19" i="86"/>
  <c r="W21" i="86"/>
  <c r="W23" i="86"/>
  <c r="F27" i="86"/>
  <c r="U28" i="86"/>
  <c r="U32" i="86"/>
  <c r="H33" i="86"/>
  <c r="AA35" i="86"/>
  <c r="S36" i="86"/>
  <c r="U37" i="86"/>
  <c r="H29" i="86"/>
  <c r="F29" i="86"/>
  <c r="AB8" i="86"/>
  <c r="U12" i="86"/>
  <c r="W13" i="86"/>
  <c r="J33" i="86"/>
  <c r="S40" i="86"/>
  <c r="W9" i="86"/>
  <c r="S11" i="86"/>
  <c r="S25" i="86"/>
  <c r="W42" i="86"/>
  <c r="H7" i="86"/>
  <c r="S10" i="86"/>
  <c r="U11" i="86"/>
  <c r="W12" i="86"/>
  <c r="S15" i="86"/>
  <c r="S17" i="86"/>
  <c r="S19" i="86"/>
  <c r="S21" i="86"/>
  <c r="S23" i="86"/>
  <c r="U25" i="86"/>
  <c r="H36" i="86"/>
  <c r="H26" i="86"/>
  <c r="E89" i="86"/>
  <c r="F89" i="86" s="1"/>
  <c r="G89" i="86" s="1"/>
  <c r="W37" i="86"/>
  <c r="S39" i="86"/>
  <c r="U40" i="86"/>
  <c r="W41" i="86"/>
  <c r="S43" i="86"/>
  <c r="U44" i="86"/>
  <c r="W45" i="86"/>
  <c r="U30" i="86"/>
  <c r="W31" i="86"/>
  <c r="S34" i="86"/>
  <c r="U35" i="86"/>
  <c r="S38" i="86"/>
  <c r="U39" i="86"/>
  <c r="W40" i="86"/>
  <c r="S42" i="86"/>
  <c r="U43" i="86"/>
  <c r="W44" i="86"/>
  <c r="S46" i="86"/>
  <c r="S28" i="86"/>
  <c r="W30" i="86"/>
  <c r="S32" i="86"/>
  <c r="U34" i="86"/>
  <c r="W35" i="86"/>
  <c r="S37" i="86"/>
  <c r="U38" i="86"/>
  <c r="W39" i="86"/>
  <c r="S41" i="86"/>
  <c r="U42" i="86"/>
  <c r="W43" i="86"/>
  <c r="S45" i="86"/>
  <c r="U46" i="86"/>
  <c r="Q71" i="85"/>
  <c r="F64" i="85"/>
  <c r="L57" i="85"/>
  <c r="L56" i="85"/>
  <c r="L60" i="85"/>
  <c r="F66" i="85"/>
  <c r="N59" i="85"/>
  <c r="L58" i="85"/>
  <c r="M59" i="85"/>
  <c r="L59" i="85"/>
  <c r="I54" i="85"/>
  <c r="P61" i="85"/>
  <c r="D24" i="85"/>
  <c r="J53" i="85"/>
  <c r="J57" i="85"/>
  <c r="J55" i="85" s="1"/>
  <c r="J58" i="85" s="1"/>
  <c r="Q50" i="85" s="1"/>
  <c r="D22" i="85"/>
  <c r="F118" i="83"/>
  <c r="F119" i="83" s="1"/>
  <c r="C92" i="83"/>
  <c r="C94" i="83"/>
  <c r="D121" i="83"/>
  <c r="K120" i="83"/>
  <c r="D118" i="83"/>
  <c r="D119" i="83" s="1"/>
  <c r="A126" i="83"/>
  <c r="H109" i="83"/>
  <c r="M22" i="85"/>
  <c r="F6" i="85"/>
  <c r="M24" i="85"/>
  <c r="M28" i="85"/>
  <c r="M9" i="85"/>
  <c r="M23" i="85"/>
  <c r="F37" i="85"/>
  <c r="F8" i="85"/>
  <c r="F40" i="85"/>
  <c r="F7" i="85"/>
  <c r="F42" i="85"/>
  <c r="F26" i="85"/>
  <c r="F43" i="85"/>
  <c r="F9" i="85"/>
  <c r="J15" i="85"/>
  <c r="U36" i="86" l="1"/>
  <c r="AB36" i="86"/>
  <c r="AC36" i="86"/>
  <c r="W36" i="86"/>
  <c r="W7" i="86"/>
  <c r="AC7" i="86"/>
  <c r="AC33" i="86"/>
  <c r="W33" i="86"/>
  <c r="AA29" i="86"/>
  <c r="S29" i="86"/>
  <c r="AA27" i="86"/>
  <c r="S27" i="86"/>
  <c r="U7" i="86"/>
  <c r="AB7" i="86"/>
  <c r="AB29" i="86"/>
  <c r="U29" i="86"/>
  <c r="AB33" i="86"/>
  <c r="U33" i="86"/>
  <c r="AB26" i="86"/>
  <c r="U26" i="86"/>
  <c r="AC14" i="86"/>
  <c r="W14" i="86"/>
  <c r="AA7" i="86"/>
  <c r="R48" i="86" s="1"/>
  <c r="S7" i="86"/>
  <c r="F71" i="85"/>
  <c r="C27" i="85"/>
  <c r="M7" i="85"/>
  <c r="J6" i="85" s="1"/>
  <c r="F50" i="85"/>
  <c r="F68" i="85"/>
  <c r="F51" i="85"/>
  <c r="F65" i="85"/>
  <c r="C6" i="85"/>
  <c r="F1" i="85"/>
  <c r="Q52" i="85"/>
  <c r="Q74" i="85"/>
  <c r="Q61" i="85"/>
  <c r="Q73" i="85"/>
  <c r="Q60" i="85"/>
  <c r="Q57" i="85"/>
  <c r="Q66" i="85"/>
  <c r="D124" i="83"/>
  <c r="D125" i="83" s="1"/>
  <c r="H110" i="83"/>
  <c r="C17" i="85"/>
  <c r="C14" i="85"/>
  <c r="C16" i="85"/>
  <c r="E48" i="86" l="1"/>
  <c r="T48" i="86"/>
  <c r="G48" i="86" s="1"/>
  <c r="V48" i="86"/>
  <c r="I48" i="86" s="1"/>
  <c r="C18" i="85"/>
  <c r="C15" i="85"/>
  <c r="J19" i="85"/>
  <c r="J18" i="85"/>
  <c r="C33" i="85"/>
  <c r="C32" i="85"/>
  <c r="C49" i="85"/>
  <c r="G52" i="86" l="1"/>
  <c r="H52" i="86" s="1"/>
  <c r="G53" i="86"/>
  <c r="H53" i="86" s="1"/>
  <c r="R49" i="86"/>
  <c r="E53" i="86"/>
  <c r="F53" i="86" s="1"/>
  <c r="E52" i="86"/>
  <c r="F52" i="86" s="1"/>
  <c r="I53" i="86"/>
  <c r="J53" i="86" s="1"/>
  <c r="I52" i="86"/>
  <c r="J52" i="86" s="1"/>
  <c r="C19" i="85"/>
  <c r="C20" i="85" s="1"/>
  <c r="C61" i="85"/>
  <c r="C49" i="86" l="1"/>
  <c r="C48" i="86"/>
  <c r="R24" i="31" s="1"/>
  <c r="C26" i="85"/>
  <c r="B3" i="86" l="1"/>
  <c r="B2" i="86"/>
  <c r="J49" i="67" l="1"/>
  <c r="O19" i="1"/>
  <c r="N18" i="1"/>
  <c r="N20" i="1" s="1"/>
  <c r="Y6" i="1" s="1"/>
  <c r="F19" i="6"/>
  <c r="D3" i="4"/>
  <c r="G14" i="73" l="1"/>
  <c r="F14" i="73"/>
  <c r="E14" i="73"/>
  <c r="I12" i="79" l="1"/>
  <c r="AR34" i="79" l="1"/>
  <c r="AP34" i="79"/>
  <c r="AO34" i="79"/>
  <c r="AR35" i="79"/>
  <c r="AP35" i="79"/>
  <c r="AO35" i="79"/>
  <c r="AO36" i="79" s="1"/>
  <c r="AO37" i="79" s="1"/>
  <c r="AO38" i="79" s="1"/>
  <c r="AO39" i="79" s="1"/>
  <c r="AO40" i="79" s="1"/>
  <c r="AO41" i="79" s="1"/>
  <c r="AO42" i="79" s="1"/>
  <c r="AO43" i="79" s="1"/>
  <c r="AO44" i="79" s="1"/>
  <c r="AO45" i="79" s="1"/>
  <c r="AO46" i="79" s="1"/>
  <c r="AO47" i="79" s="1"/>
  <c r="AO48" i="79" s="1"/>
  <c r="AO49" i="79" s="1"/>
  <c r="AO50" i="79" s="1"/>
  <c r="AO51" i="79" s="1"/>
  <c r="AO52" i="79" s="1"/>
  <c r="AP36" i="79"/>
  <c r="AP37" i="79" s="1"/>
  <c r="AP38" i="79" s="1"/>
  <c r="AP39" i="79" s="1"/>
  <c r="AP40" i="79" s="1"/>
  <c r="AP41" i="79" s="1"/>
  <c r="AP42" i="79" s="1"/>
  <c r="AP43" i="79" s="1"/>
  <c r="AP44" i="79" s="1"/>
  <c r="AP45" i="79" s="1"/>
  <c r="AP46" i="79" s="1"/>
  <c r="AP47" i="79" s="1"/>
  <c r="AP48" i="79" s="1"/>
  <c r="AP49" i="79" s="1"/>
  <c r="AP50" i="79" s="1"/>
  <c r="AP51" i="79" s="1"/>
  <c r="AP52" i="79" s="1"/>
  <c r="AN35" i="79"/>
  <c r="AN36" i="79" s="1"/>
  <c r="AN37" i="79" s="1"/>
  <c r="AN38" i="79" s="1"/>
  <c r="AN39" i="79" s="1"/>
  <c r="AN40" i="79" s="1"/>
  <c r="AN41" i="79" s="1"/>
  <c r="AN42" i="79" s="1"/>
  <c r="AN43" i="79" s="1"/>
  <c r="AN44" i="79" s="1"/>
  <c r="AN45" i="79" s="1"/>
  <c r="AN46" i="79" s="1"/>
  <c r="AN47" i="79" s="1"/>
  <c r="AN48" i="79" s="1"/>
  <c r="AN49" i="79" s="1"/>
  <c r="AN50" i="79" s="1"/>
  <c r="AN51" i="79" s="1"/>
  <c r="AN52" i="79" s="1"/>
  <c r="AN34" i="79"/>
  <c r="AR6" i="79"/>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R7"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D33" i="79" s="1"/>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R8" i="79" s="1"/>
  <c r="AD35" i="79" l="1"/>
  <c r="AR36" i="79"/>
  <c r="D60" i="78"/>
  <c r="C60" i="78"/>
  <c r="B55" i="78"/>
  <c r="D55" i="78" s="1"/>
  <c r="D53" i="78"/>
  <c r="D52" i="78"/>
  <c r="D51" i="78" s="1"/>
  <c r="B51" i="78"/>
  <c r="B56" i="78" s="1"/>
  <c r="C51" i="78" l="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D37" i="79" s="1"/>
  <c r="S34" i="79" l="1"/>
  <c r="AG34" i="79" s="1"/>
  <c r="S35" i="79"/>
  <c r="AG35" i="79" s="1"/>
  <c r="S33" i="79"/>
  <c r="AG33" i="79" s="1"/>
  <c r="U35" i="79"/>
  <c r="AI35" i="79" s="1"/>
  <c r="U34" i="79"/>
  <c r="AI34" i="79" s="1"/>
  <c r="U33" i="79"/>
  <c r="AI33" i="79" s="1"/>
  <c r="AD36" i="79"/>
  <c r="AR37" i="79"/>
  <c r="AR38" i="79" s="1"/>
  <c r="AR39" i="79" s="1"/>
  <c r="AR40" i="79" s="1"/>
  <c r="AR41" i="79" s="1"/>
  <c r="AR42" i="79" s="1"/>
  <c r="AR43" i="79" s="1"/>
  <c r="AR44" i="79" s="1"/>
  <c r="AR45" i="79" s="1"/>
  <c r="AR46" i="79" s="1"/>
  <c r="AR47" i="79" s="1"/>
  <c r="AR48" i="79" s="1"/>
  <c r="AR49" i="79" s="1"/>
  <c r="AR50" i="79" s="1"/>
  <c r="AR51" i="79" s="1"/>
  <c r="AR52" i="79" s="1"/>
  <c r="P36" i="79"/>
  <c r="T34" i="79"/>
  <c r="T35" i="79"/>
  <c r="T33" i="79"/>
  <c r="AR10" i="79"/>
  <c r="AR11" i="79" s="1"/>
  <c r="AR12" i="79" s="1"/>
  <c r="AR13" i="79" s="1"/>
  <c r="AR14" i="79" s="1"/>
  <c r="AR15" i="79" s="1"/>
  <c r="AR16" i="79" s="1"/>
  <c r="AR17" i="79" s="1"/>
  <c r="AR18" i="79" s="1"/>
  <c r="AR19" i="79" s="1"/>
  <c r="AR20" i="79" s="1"/>
  <c r="AR21" i="79" s="1"/>
  <c r="AR22" i="79" s="1"/>
  <c r="AR23" i="79" s="1"/>
  <c r="AR24" i="79" s="1"/>
  <c r="G16" i="73"/>
  <c r="F16" i="73"/>
  <c r="E16" i="73"/>
  <c r="G17" i="73"/>
  <c r="F17" i="73"/>
  <c r="E17" i="73"/>
  <c r="W33" i="79" l="1"/>
  <c r="AK33" i="79" s="1"/>
  <c r="AH33" i="79"/>
  <c r="W35" i="79"/>
  <c r="AK35" i="79" s="1"/>
  <c r="AH35" i="79"/>
  <c r="W34" i="79"/>
  <c r="AK34" i="79" s="1"/>
  <c r="AH34" i="79"/>
  <c r="AB38" i="79"/>
  <c r="AA38" i="79"/>
  <c r="Z38" i="79"/>
  <c r="N38" i="79"/>
  <c r="M38" i="79"/>
  <c r="P38" i="79" s="1"/>
  <c r="L38" i="79"/>
  <c r="I38" i="79"/>
  <c r="AD38" i="79" s="1"/>
  <c r="AC10" i="79"/>
  <c r="AB10" i="79"/>
  <c r="AA10" i="79"/>
  <c r="AD10" i="79" s="1"/>
  <c r="Z10" i="79"/>
  <c r="Y10" i="79"/>
  <c r="O10" i="79"/>
  <c r="N10" i="79"/>
  <c r="M10" i="79"/>
  <c r="P10" i="79" s="1"/>
  <c r="L10" i="79"/>
  <c r="K10" i="79"/>
  <c r="I10" i="79"/>
  <c r="I13" i="79" l="1"/>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N31"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W22" i="79" l="1"/>
  <c r="AK22" i="79" s="1"/>
  <c r="AH22" i="79"/>
  <c r="W40" i="79"/>
  <c r="AK40" i="79" s="1"/>
  <c r="AH40" i="79"/>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39" i="79" l="1"/>
  <c r="AK39" i="79" s="1"/>
  <c r="W11" i="79"/>
  <c r="AK11" i="79" s="1"/>
  <c r="AH11"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15" i="79"/>
  <c r="AK15" i="79" s="1"/>
  <c r="AH15" i="79"/>
  <c r="W13" i="79"/>
  <c r="AK13" i="79" s="1"/>
  <c r="AH13" i="79"/>
  <c r="W48" i="79"/>
  <c r="AK48" i="79" s="1"/>
  <c r="AH48" i="79"/>
  <c r="W49" i="79"/>
  <c r="AK49" i="79" s="1"/>
  <c r="AH49" i="79"/>
  <c r="W43" i="79"/>
  <c r="AK43" i="79" s="1"/>
  <c r="AH43" i="79"/>
  <c r="W38" i="79"/>
  <c r="AK38" i="79" s="1"/>
  <c r="AH38" i="79"/>
  <c r="W23" i="79"/>
  <c r="AK23" i="79" s="1"/>
  <c r="AH23" i="79"/>
  <c r="W12" i="79"/>
  <c r="AK12" i="79" s="1"/>
  <c r="AH12" i="79"/>
  <c r="W21" i="79"/>
  <c r="AK21" i="79" s="1"/>
  <c r="AH21" i="79"/>
  <c r="W47" i="79"/>
  <c r="AK47" i="79" s="1"/>
  <c r="AH47" i="79"/>
  <c r="W45" i="79"/>
  <c r="AK45" i="79" s="1"/>
  <c r="AH45" i="79"/>
  <c r="W17" i="79"/>
  <c r="AK17" i="79" s="1"/>
  <c r="AH17" i="79"/>
  <c r="W10" i="79"/>
  <c r="AK10" i="79" s="1"/>
  <c r="AH10" i="79"/>
  <c r="W18" i="79"/>
  <c r="AK18" i="79" s="1"/>
  <c r="AH18" i="79"/>
  <c r="W20" i="79"/>
  <c r="AK20" i="79" s="1"/>
  <c r="AH20"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B15" i="72" s="1"/>
  <c r="A15" i="62"/>
  <c r="A14" i="62"/>
  <c r="A13" i="62"/>
  <c r="B59" i="72" s="1"/>
  <c r="A19" i="62"/>
  <c r="B65" i="72" s="1"/>
  <c r="A12" i="62"/>
  <c r="B58" i="72" s="1"/>
  <c r="A120" i="9"/>
  <c r="H2" i="52"/>
  <c r="A1" i="52"/>
  <c r="A3" i="53"/>
  <c r="Q26" i="71"/>
  <c r="P26" i="71"/>
  <c r="O26" i="71"/>
  <c r="N26" i="71"/>
  <c r="A15" i="51"/>
  <c r="B12" i="72" s="1"/>
  <c r="C76" i="9"/>
  <c r="I107" i="40"/>
  <c r="K6" i="4"/>
  <c r="M56" i="9" s="1"/>
  <c r="B22" i="31"/>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0"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AA21" i="33" s="1"/>
  <c r="E83" i="21"/>
  <c r="F83" i="21" s="1"/>
  <c r="H1" i="69"/>
  <c r="AC25" i="40"/>
  <c r="W25" i="40"/>
  <c r="U25" i="40"/>
  <c r="U29" i="39"/>
  <c r="W29" i="39"/>
  <c r="W18" i="36"/>
  <c r="AB21" i="37"/>
  <c r="U21" i="37"/>
  <c r="S21" i="37"/>
  <c r="U21" i="34"/>
  <c r="AC18" i="35"/>
  <c r="W18" i="35"/>
  <c r="J21" i="37"/>
  <c r="W21" i="37" s="1"/>
  <c r="G84" i="34"/>
  <c r="J21" i="34"/>
  <c r="W21" i="34" s="1"/>
  <c r="J21" i="33"/>
  <c r="W21" i="33" s="1"/>
  <c r="H21" i="21"/>
  <c r="U21" i="21" s="1"/>
  <c r="F38" i="69"/>
  <c r="E37" i="69"/>
  <c r="F36" i="69"/>
  <c r="F35" i="69"/>
  <c r="F21" i="69"/>
  <c r="F40" i="69" s="1"/>
  <c r="F20" i="69"/>
  <c r="F39" i="69" s="1"/>
  <c r="E10" i="69"/>
  <c r="E9" i="69"/>
  <c r="AC21" i="37"/>
  <c r="G83" i="21"/>
  <c r="J21" i="21"/>
  <c r="C40" i="69"/>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7" s="1"/>
  <c r="C52" i="37" s="1"/>
  <c r="D52" i="37" s="1"/>
  <c r="E15" i="4"/>
  <c r="A7" i="1"/>
  <c r="B7" i="1" s="1"/>
  <c r="E7" i="1" s="1"/>
  <c r="A8" i="1"/>
  <c r="B8" i="1" s="1"/>
  <c r="E8" i="1" s="1"/>
  <c r="A9" i="1"/>
  <c r="A10" i="1"/>
  <c r="A11" i="1"/>
  <c r="B11" i="1" s="1"/>
  <c r="E11" i="1" s="1"/>
  <c r="A12" i="1"/>
  <c r="A13" i="1"/>
  <c r="B13" i="1" s="1"/>
  <c r="E13" i="1" s="1"/>
  <c r="A6"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8" i="31"/>
  <c r="R29" i="31"/>
  <c r="R30" i="3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S224" i="31" s="1"/>
  <c r="R225" i="31"/>
  <c r="R226" i="31"/>
  <c r="R227" i="31"/>
  <c r="R228" i="31"/>
  <c r="S228" i="31" s="1"/>
  <c r="R229" i="31"/>
  <c r="R230" i="31"/>
  <c r="R231" i="31"/>
  <c r="R232" i="31"/>
  <c r="S232" i="31" s="1"/>
  <c r="R233" i="31"/>
  <c r="R234" i="31"/>
  <c r="R235" i="31"/>
  <c r="R236" i="31"/>
  <c r="S236" i="31" s="1"/>
  <c r="R237" i="31"/>
  <c r="R238" i="31"/>
  <c r="R239" i="31"/>
  <c r="R240" i="31"/>
  <c r="S240" i="31" s="1"/>
  <c r="R241" i="31"/>
  <c r="R242" i="31"/>
  <c r="R243" i="31"/>
  <c r="R244" i="31"/>
  <c r="S244" i="31" s="1"/>
  <c r="R245" i="31"/>
  <c r="R246" i="31"/>
  <c r="R247" i="31"/>
  <c r="R248" i="31"/>
  <c r="S248" i="31" s="1"/>
  <c r="R249" i="31"/>
  <c r="R250" i="31"/>
  <c r="R251" i="31"/>
  <c r="R252" i="31"/>
  <c r="S252" i="31" s="1"/>
  <c r="R253" i="31"/>
  <c r="R254" i="31"/>
  <c r="R255" i="31"/>
  <c r="S255" i="31" s="1"/>
  <c r="R256" i="31"/>
  <c r="S256" i="31" s="1"/>
  <c r="R257" i="31"/>
  <c r="S257" i="31" s="1"/>
  <c r="R258" i="31"/>
  <c r="S258" i="31" s="1"/>
  <c r="R259" i="31"/>
  <c r="S259" i="31" s="1"/>
  <c r="R260" i="31"/>
  <c r="S260" i="31" s="1"/>
  <c r="R261" i="31"/>
  <c r="S261" i="31" s="1"/>
  <c r="R262" i="31"/>
  <c r="R263" i="31"/>
  <c r="S263" i="31" s="1"/>
  <c r="R264" i="31"/>
  <c r="S264" i="31" s="1"/>
  <c r="R265" i="31"/>
  <c r="S265" i="31" s="1"/>
  <c r="R266" i="31"/>
  <c r="S266" i="31" s="1"/>
  <c r="R267" i="31"/>
  <c r="S267" i="31" s="1"/>
  <c r="R268" i="31"/>
  <c r="S268" i="31" s="1"/>
  <c r="R269" i="31"/>
  <c r="S269" i="31" s="1"/>
  <c r="R270" i="31"/>
  <c r="R271" i="31"/>
  <c r="S271" i="31" s="1"/>
  <c r="R272" i="31"/>
  <c r="S272" i="31" s="1"/>
  <c r="R273" i="31"/>
  <c r="S273" i="31" s="1"/>
  <c r="R274" i="31"/>
  <c r="S274" i="31" s="1"/>
  <c r="R275" i="31"/>
  <c r="S275" i="31" s="1"/>
  <c r="R276" i="31"/>
  <c r="S276" i="31" s="1"/>
  <c r="R277" i="31"/>
  <c r="S277" i="31" s="1"/>
  <c r="R278" i="31"/>
  <c r="R279" i="31"/>
  <c r="S279" i="31" s="1"/>
  <c r="R280" i="31"/>
  <c r="S280" i="31" s="1"/>
  <c r="R281" i="31"/>
  <c r="S281" i="31" s="1"/>
  <c r="R282" i="31"/>
  <c r="S282" i="31" s="1"/>
  <c r="R283" i="31"/>
  <c r="S283" i="31" s="1"/>
  <c r="R284" i="31"/>
  <c r="S284" i="31" s="1"/>
  <c r="R285" i="31"/>
  <c r="S285" i="31" s="1"/>
  <c r="R286" i="31"/>
  <c r="R287" i="31"/>
  <c r="S287" i="31" s="1"/>
  <c r="R288" i="31"/>
  <c r="S288" i="31" s="1"/>
  <c r="R289" i="31"/>
  <c r="S289" i="31" s="1"/>
  <c r="R290" i="31"/>
  <c r="S290" i="31" s="1"/>
  <c r="R291" i="31"/>
  <c r="S291" i="31" s="1"/>
  <c r="R292" i="31"/>
  <c r="S292" i="31" s="1"/>
  <c r="R293" i="31"/>
  <c r="S293" i="31" s="1"/>
  <c r="R294" i="31"/>
  <c r="R295" i="31"/>
  <c r="S295" i="31" s="1"/>
  <c r="R296" i="31"/>
  <c r="S296" i="31" s="1"/>
  <c r="R297" i="31"/>
  <c r="S297" i="31" s="1"/>
  <c r="R298" i="31"/>
  <c r="S298" i="31" s="1"/>
  <c r="R299" i="31"/>
  <c r="S299" i="31" s="1"/>
  <c r="R300" i="31"/>
  <c r="S300" i="31" s="1"/>
  <c r="R301" i="31"/>
  <c r="S301" i="31" s="1"/>
  <c r="R302" i="31"/>
  <c r="R303" i="31"/>
  <c r="S303" i="31" s="1"/>
  <c r="R304" i="31"/>
  <c r="S304" i="31" s="1"/>
  <c r="R305" i="31"/>
  <c r="S305" i="31" s="1"/>
  <c r="R306" i="31"/>
  <c r="S306" i="31" s="1"/>
  <c r="R307" i="31"/>
  <c r="S307" i="31" s="1"/>
  <c r="R308" i="31"/>
  <c r="S308" i="31" s="1"/>
  <c r="R309" i="31"/>
  <c r="S309" i="31" s="1"/>
  <c r="R310" i="31"/>
  <c r="R311" i="31"/>
  <c r="S311" i="31" s="1"/>
  <c r="R312" i="31"/>
  <c r="S312" i="31" s="1"/>
  <c r="R313" i="31"/>
  <c r="S313" i="31" s="1"/>
  <c r="R314" i="31"/>
  <c r="S314" i="31" s="1"/>
  <c r="R315" i="31"/>
  <c r="S315" i="31" s="1"/>
  <c r="R316" i="31"/>
  <c r="S316" i="31" s="1"/>
  <c r="R317" i="31"/>
  <c r="S317" i="31" s="1"/>
  <c r="R318" i="3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R426" i="31"/>
  <c r="S426" i="31" s="1"/>
  <c r="R427" i="31"/>
  <c r="R428" i="31"/>
  <c r="S428" i="31" s="1"/>
  <c r="R429" i="31"/>
  <c r="R430" i="31"/>
  <c r="S430" i="31" s="1"/>
  <c r="R431" i="31"/>
  <c r="R432" i="31"/>
  <c r="R433" i="31"/>
  <c r="R434" i="31"/>
  <c r="S434" i="31" s="1"/>
  <c r="R435" i="31"/>
  <c r="R436" i="31"/>
  <c r="S436" i="31" s="1"/>
  <c r="R440" i="31"/>
  <c r="R441" i="31"/>
  <c r="S441" i="31" s="1"/>
  <c r="R442" i="31"/>
  <c r="R443" i="31"/>
  <c r="S443" i="31" s="1"/>
  <c r="R444" i="31"/>
  <c r="R445" i="31"/>
  <c r="R446" i="31"/>
  <c r="R447" i="31"/>
  <c r="S447" i="31" s="1"/>
  <c r="R448" i="31"/>
  <c r="R449" i="31"/>
  <c r="R450" i="31"/>
  <c r="R451" i="31"/>
  <c r="S451" i="31" s="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S469" i="31" s="1"/>
  <c r="R470" i="31"/>
  <c r="R471" i="31"/>
  <c r="S471" i="31" s="1"/>
  <c r="R472" i="31"/>
  <c r="R473" i="31"/>
  <c r="S473" i="31" s="1"/>
  <c r="R474" i="31"/>
  <c r="R475" i="31"/>
  <c r="S475" i="31" s="1"/>
  <c r="R476" i="31"/>
  <c r="R477" i="31"/>
  <c r="S477" i="31" s="1"/>
  <c r="R478" i="31"/>
  <c r="R479" i="31"/>
  <c r="R480" i="31"/>
  <c r="R481" i="31"/>
  <c r="S481" i="31" s="1"/>
  <c r="R482" i="31"/>
  <c r="R483" i="31"/>
  <c r="S483" i="31" s="1"/>
  <c r="R484" i="31"/>
  <c r="R485" i="31"/>
  <c r="S485" i="31" s="1"/>
  <c r="R486" i="31"/>
  <c r="R487" i="31"/>
  <c r="S487" i="31" s="1"/>
  <c r="R488" i="31"/>
  <c r="R489" i="31"/>
  <c r="S489" i="31" s="1"/>
  <c r="R490" i="31"/>
  <c r="R491" i="31"/>
  <c r="S491" i="31" s="1"/>
  <c r="R492" i="31"/>
  <c r="R493" i="31"/>
  <c r="S493" i="31" s="1"/>
  <c r="R494" i="31"/>
  <c r="R495" i="31"/>
  <c r="S495" i="31" s="1"/>
  <c r="R496" i="31"/>
  <c r="R497" i="31"/>
  <c r="S497" i="31" s="1"/>
  <c r="R498" i="31"/>
  <c r="R499" i="31"/>
  <c r="S499" i="31" s="1"/>
  <c r="R500" i="31"/>
  <c r="R501" i="31"/>
  <c r="S501" i="31" s="1"/>
  <c r="R502" i="31"/>
  <c r="R503" i="31"/>
  <c r="S503" i="31" s="1"/>
  <c r="R504" i="31"/>
  <c r="R505" i="31"/>
  <c r="S505" i="31" s="1"/>
  <c r="R506" i="31"/>
  <c r="R507" i="31"/>
  <c r="S507" i="31" s="1"/>
  <c r="R508" i="31"/>
  <c r="R509" i="31"/>
  <c r="S509" i="31" s="1"/>
  <c r="R510" i="31"/>
  <c r="R511" i="31"/>
  <c r="S511" i="31" s="1"/>
  <c r="R512" i="31"/>
  <c r="R513" i="31"/>
  <c r="S513" i="31" s="1"/>
  <c r="R514" i="31"/>
  <c r="R515" i="31"/>
  <c r="S515" i="31" s="1"/>
  <c r="R516" i="31"/>
  <c r="R517" i="31"/>
  <c r="R518" i="31"/>
  <c r="R519" i="31"/>
  <c r="S519" i="31" s="1"/>
  <c r="R520" i="31"/>
  <c r="R521" i="31"/>
  <c r="R522" i="3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L21" i="4"/>
  <c r="F19" i="4"/>
  <c r="F2" i="52"/>
  <c r="B50" i="72"/>
  <c r="D2" i="52"/>
  <c r="B46" i="72" s="1"/>
  <c r="B8" i="53"/>
  <c r="B23" i="72"/>
  <c r="L4" i="9"/>
  <c r="B17"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360" i="31"/>
  <c r="S318" i="31"/>
  <c r="S310" i="31"/>
  <c r="S302" i="31"/>
  <c r="S294" i="31"/>
  <c r="S286" i="31"/>
  <c r="S278" i="31"/>
  <c r="S270" i="31"/>
  <c r="S262" i="31"/>
  <c r="S254" i="31"/>
  <c r="S253" i="31"/>
  <c r="S251" i="31"/>
  <c r="S250" i="31"/>
  <c r="S249" i="31"/>
  <c r="S247" i="31"/>
  <c r="S246" i="31"/>
  <c r="S245" i="31"/>
  <c r="S243" i="31"/>
  <c r="S242" i="31"/>
  <c r="S241" i="31"/>
  <c r="S239" i="31"/>
  <c r="S238" i="31"/>
  <c r="S237" i="31"/>
  <c r="S235" i="31"/>
  <c r="S234" i="31"/>
  <c r="S233" i="31"/>
  <c r="S231" i="31"/>
  <c r="S230" i="31"/>
  <c r="S229" i="31"/>
  <c r="S227" i="31"/>
  <c r="S226" i="31"/>
  <c r="S225"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8"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6" i="31"/>
  <c r="S494" i="31"/>
  <c r="S492" i="31"/>
  <c r="S490" i="31"/>
  <c r="S488" i="31"/>
  <c r="S486" i="31"/>
  <c r="S484" i="31"/>
  <c r="S482" i="31"/>
  <c r="S480" i="31"/>
  <c r="S479" i="31"/>
  <c r="S478" i="31"/>
  <c r="S476" i="31"/>
  <c r="S474" i="31"/>
  <c r="S472" i="31"/>
  <c r="S470" i="31"/>
  <c r="S468" i="31"/>
  <c r="S444" i="31"/>
  <c r="S442" i="31"/>
  <c r="S440" i="31"/>
  <c r="S435" i="31"/>
  <c r="S433" i="31"/>
  <c r="S432" i="31"/>
  <c r="S431" i="31"/>
  <c r="S121" i="31"/>
  <c r="S119" i="31"/>
  <c r="S117" i="31"/>
  <c r="S115" i="31"/>
  <c r="S113" i="31"/>
  <c r="S506" i="31"/>
  <c r="S504" i="31"/>
  <c r="S502" i="31"/>
  <c r="S500" i="31"/>
  <c r="S498" i="31"/>
  <c r="S466" i="31"/>
  <c r="S464" i="31"/>
  <c r="S462" i="31"/>
  <c r="S460" i="31"/>
  <c r="S458" i="31"/>
  <c r="S456" i="31"/>
  <c r="S454" i="31"/>
  <c r="S452" i="31"/>
  <c r="S450" i="31"/>
  <c r="S53" i="31"/>
  <c r="S51" i="31"/>
  <c r="S49" i="31"/>
  <c r="S47" i="31"/>
  <c r="S45" i="31"/>
  <c r="S43" i="31"/>
  <c r="S41" i="31"/>
  <c r="S39" i="31"/>
  <c r="S37" i="31"/>
  <c r="S35" i="31"/>
  <c r="S33" i="31"/>
  <c r="S77" i="31"/>
  <c r="S75" i="31"/>
  <c r="S73" i="31"/>
  <c r="S71" i="31"/>
  <c r="S69" i="31"/>
  <c r="S67" i="31"/>
  <c r="S65" i="31"/>
  <c r="S63" i="31"/>
  <c r="S61" i="31"/>
  <c r="S59" i="31"/>
  <c r="S57" i="31"/>
  <c r="S55" i="31"/>
  <c r="S97" i="31"/>
  <c r="S95" i="31"/>
  <c r="S93" i="31"/>
  <c r="S91" i="31"/>
  <c r="S89" i="31"/>
  <c r="S87" i="31"/>
  <c r="S85" i="31"/>
  <c r="S83" i="31"/>
  <c r="S81" i="31"/>
  <c r="S79" i="31"/>
  <c r="S31" i="31"/>
  <c r="S30" i="31"/>
  <c r="S29" i="31"/>
  <c r="S99" i="31"/>
  <c r="S101" i="31"/>
  <c r="S103" i="31"/>
  <c r="S105" i="31"/>
  <c r="S107" i="31"/>
  <c r="S109" i="31"/>
  <c r="S111" i="31"/>
  <c r="S445" i="31"/>
  <c r="S446" i="31"/>
  <c r="S448" i="31"/>
  <c r="S449" i="31"/>
  <c r="S508" i="31"/>
  <c r="S510" i="31"/>
  <c r="S512"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S40" i="33" s="1"/>
  <c r="J41" i="33"/>
  <c r="AC41" i="33" s="1"/>
  <c r="D113" i="33"/>
  <c r="F37" i="33"/>
  <c r="D111" i="33"/>
  <c r="E111" i="33"/>
  <c r="F111" i="33"/>
  <c r="S516" i="31"/>
  <c r="S517" i="31"/>
  <c r="S518" i="31"/>
  <c r="S520" i="31"/>
  <c r="S521" i="31"/>
  <c r="S522"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AC26" i="33" s="1"/>
  <c r="C23" i="33"/>
  <c r="C19" i="33"/>
  <c r="C17" i="33"/>
  <c r="C15" i="33"/>
  <c r="C15" i="21"/>
  <c r="D125" i="33"/>
  <c r="D123" i="33"/>
  <c r="D117" i="33"/>
  <c r="E117" i="33"/>
  <c r="F117" i="33"/>
  <c r="G117" i="33" s="1"/>
  <c r="D115" i="33"/>
  <c r="E115" i="33" s="1"/>
  <c r="F115" i="33" s="1"/>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54" i="33"/>
  <c r="P49" i="33"/>
  <c r="P48" i="33"/>
  <c r="V47" i="33"/>
  <c r="T47" i="33"/>
  <c r="R47" i="33"/>
  <c r="P47" i="33"/>
  <c r="Q46" i="33"/>
  <c r="Z46" i="33"/>
  <c r="Q45" i="33"/>
  <c r="Z45" i="33" s="1"/>
  <c r="Q44" i="33"/>
  <c r="Z44" i="33"/>
  <c r="Q43" i="33"/>
  <c r="Z43" i="33" s="1"/>
  <c r="Q42" i="33"/>
  <c r="Z42" i="33"/>
  <c r="J42" i="33"/>
  <c r="AC42" i="33" s="1"/>
  <c r="W41" i="33"/>
  <c r="Q41" i="33"/>
  <c r="Z41" i="33" s="1"/>
  <c r="Q40" i="33"/>
  <c r="Z40" i="33"/>
  <c r="J40" i="33"/>
  <c r="AC40" i="33" s="1"/>
  <c r="H40" i="33"/>
  <c r="U40" i="33" s="1"/>
  <c r="AA40" i="33"/>
  <c r="Q39" i="33"/>
  <c r="Z39" i="33"/>
  <c r="J39" i="33"/>
  <c r="AC39" i="33" s="1"/>
  <c r="Q38" i="33"/>
  <c r="Z38" i="33"/>
  <c r="J38" i="33"/>
  <c r="AC38" i="33" s="1"/>
  <c r="H38" i="33"/>
  <c r="AB38" i="33" s="1"/>
  <c r="F38" i="33"/>
  <c r="AA38" i="33" s="1"/>
  <c r="Q37" i="33"/>
  <c r="Z37" i="33"/>
  <c r="Q36" i="33"/>
  <c r="Z36" i="33"/>
  <c r="Q35" i="33"/>
  <c r="Z35" i="33"/>
  <c r="H35" i="33"/>
  <c r="U35" i="33" s="1"/>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s="1"/>
  <c r="F26" i="33"/>
  <c r="AA26" i="33" s="1"/>
  <c r="W33"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s="1"/>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s="1"/>
  <c r="E113" i="33"/>
  <c r="F32" i="33"/>
  <c r="AA32" i="33" s="1"/>
  <c r="J19" i="33"/>
  <c r="AC19" i="33" s="1"/>
  <c r="J15" i="33"/>
  <c r="W15" i="33" s="1"/>
  <c r="F11" i="33"/>
  <c r="AA11" i="33" s="1"/>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F113" i="33"/>
  <c r="G113" i="33"/>
  <c r="H113" i="33"/>
  <c r="I113" i="33" s="1"/>
  <c r="J113" i="33" s="1"/>
  <c r="K113" i="33" s="1"/>
  <c r="L113" i="33"/>
  <c r="M113" i="33" s="1"/>
  <c r="H37" i="33"/>
  <c r="U37" i="33" s="1"/>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s="1"/>
  <c r="H28" i="33"/>
  <c r="U28" i="33" s="1"/>
  <c r="F28" i="33"/>
  <c r="AA28" i="33" s="1"/>
  <c r="J28" i="33"/>
  <c r="W28" i="33" s="1"/>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s="1"/>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c r="J10" i="36"/>
  <c r="AC10" i="36" s="1"/>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AA36"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s="1"/>
  <c r="S28" i="31"/>
  <c r="U14" i="40"/>
  <c r="W23" i="35"/>
  <c r="U39" i="37"/>
  <c r="U26" i="37"/>
  <c r="W47" i="34"/>
  <c r="AC36" i="34"/>
  <c r="AA13" i="33"/>
  <c r="AC31" i="33"/>
  <c r="AC45" i="33"/>
  <c r="W44" i="33"/>
  <c r="U19" i="21"/>
  <c r="W44" i="21"/>
  <c r="AB38" i="21"/>
  <c r="F43" i="33"/>
  <c r="AA43" i="33" s="1"/>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BC5" i="3"/>
  <c r="G17" i="3"/>
  <c r="BA17" i="3"/>
  <c r="BT5" i="3"/>
  <c r="AZ350" i="3"/>
  <c r="AZ356" i="3"/>
  <c r="AZ368" i="3"/>
  <c r="BA15" i="3"/>
  <c r="AZ15" i="3" s="1"/>
  <c r="BB5" i="3"/>
  <c r="BR5" i="3"/>
  <c r="AZ380" i="3"/>
  <c r="AZ392" i="3"/>
  <c r="AZ499" i="3"/>
  <c r="AZ509" i="3"/>
  <c r="G509" i="3"/>
  <c r="BL493" i="3"/>
  <c r="AZ491" i="3"/>
  <c r="AZ493" i="3"/>
  <c r="U36" i="40"/>
  <c r="F83" i="43"/>
  <c r="H85" i="43" s="1"/>
  <c r="F50" i="43"/>
  <c r="H54" i="43" s="1"/>
  <c r="G54" i="43" s="1"/>
  <c r="M54" i="43" s="1"/>
  <c r="N54" i="43" s="1"/>
  <c r="F72" i="43"/>
  <c r="H75" i="43" s="1"/>
  <c r="U17" i="39"/>
  <c r="S14" i="35"/>
  <c r="U43" i="21"/>
  <c r="U35" i="21"/>
  <c r="AC35" i="21"/>
  <c r="AC11" i="39"/>
  <c r="AZ563" i="3"/>
  <c r="AZ501" i="3"/>
  <c r="W37" i="37"/>
  <c r="W44" i="34"/>
  <c r="AC44" i="34"/>
  <c r="S15" i="37"/>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K9" i="1"/>
  <c r="M9" i="1" s="1"/>
  <c r="G29" i="6"/>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19" i="39"/>
  <c r="F12" i="33"/>
  <c r="H12" i="39"/>
  <c r="AB12" i="39"/>
  <c r="F39" i="40"/>
  <c r="BA14" i="3"/>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AC34" i="33"/>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AA29" i="33"/>
  <c r="AB29" i="33"/>
  <c r="W38" i="33"/>
  <c r="H41" i="33"/>
  <c r="AB41" i="33" s="1"/>
  <c r="F121" i="33"/>
  <c r="G121" i="33" s="1"/>
  <c r="H121" i="33" s="1"/>
  <c r="I121" i="33" s="1"/>
  <c r="J121" i="33" s="1"/>
  <c r="K121" i="33" s="1"/>
  <c r="L121" i="33" s="1"/>
  <c r="M121" i="33" s="1"/>
  <c r="F36" i="33"/>
  <c r="AA36" i="33" s="1"/>
  <c r="G111" i="33"/>
  <c r="G108" i="33"/>
  <c r="H108" i="33" s="1"/>
  <c r="I108" i="33" s="1"/>
  <c r="J108" i="33" s="1"/>
  <c r="K108" i="33" s="1"/>
  <c r="L108" i="33" s="1"/>
  <c r="M108" i="33" s="1"/>
  <c r="J35" i="33"/>
  <c r="AC35" i="33" s="1"/>
  <c r="S37" i="33"/>
  <c r="AA37" i="33"/>
  <c r="F101" i="33"/>
  <c r="G101" i="33"/>
  <c r="H101" i="33" s="1"/>
  <c r="I101" i="33" s="1"/>
  <c r="J101" i="33" s="1"/>
  <c r="K101" i="33" s="1"/>
  <c r="L101" i="33" s="1"/>
  <c r="M101" i="33" s="1"/>
  <c r="J32" i="33"/>
  <c r="AC32" i="33" s="1"/>
  <c r="S46" i="33"/>
  <c r="F91" i="33"/>
  <c r="H27" i="33"/>
  <c r="U27" i="33" s="1"/>
  <c r="F87" i="33"/>
  <c r="H25" i="33"/>
  <c r="U25" i="33" s="1"/>
  <c r="F25" i="33"/>
  <c r="S25" i="33" s="1"/>
  <c r="J23" i="33"/>
  <c r="AC23" i="33" s="1"/>
  <c r="F85" i="33"/>
  <c r="H23" i="33"/>
  <c r="AB23" i="33" s="1"/>
  <c r="F81" i="33"/>
  <c r="F19" i="33"/>
  <c r="S19" i="33" s="1"/>
  <c r="J17" i="33"/>
  <c r="AC17" i="33" s="1"/>
  <c r="F79" i="33"/>
  <c r="G79" i="33" s="1"/>
  <c r="S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c r="BL13" i="3"/>
  <c r="J56" i="9"/>
  <c r="J57" i="9" s="1"/>
  <c r="J59" i="9" s="1"/>
  <c r="J61" i="9" s="1"/>
  <c r="A24" i="51"/>
  <c r="B18" i="72" s="1"/>
  <c r="U29" i="34"/>
  <c r="E5" i="6"/>
  <c r="E32" i="6"/>
  <c r="K1" i="12"/>
  <c r="E19" i="69"/>
  <c r="E19" i="68"/>
  <c r="E19" i="11"/>
  <c r="E1" i="73"/>
  <c r="G22" i="69"/>
  <c r="G22" i="68"/>
  <c r="G26" i="12"/>
  <c r="G22" i="11"/>
  <c r="C6" i="43"/>
  <c r="B19" i="53"/>
  <c r="B37" i="72" s="1"/>
  <c r="C7" i="21"/>
  <c r="A4" i="51"/>
  <c r="B6" i="72" s="1"/>
  <c r="L20" i="6"/>
  <c r="B6" i="1"/>
  <c r="E6" i="1" s="1"/>
  <c r="K11" i="1"/>
  <c r="M11" i="1" s="1"/>
  <c r="O11" i="1" s="1"/>
  <c r="B9" i="1"/>
  <c r="E9" i="1" s="1"/>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C37" i="33"/>
  <c r="W46" i="33"/>
  <c r="U44" i="33"/>
  <c r="AB44" i="33"/>
  <c r="S30" i="33"/>
  <c r="AA30" i="33"/>
  <c r="AC14" i="33"/>
  <c r="W14" i="33"/>
  <c r="AC30" i="33"/>
  <c r="W30" i="33"/>
  <c r="S31" i="33"/>
  <c r="AA31" i="33"/>
  <c r="W13" i="33"/>
  <c r="AC13" i="33"/>
  <c r="S11"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E4" i="4"/>
  <c r="B5" i="62" s="1"/>
  <c r="B73" i="72" s="1"/>
  <c r="C4" i="4"/>
  <c r="AA39" i="40"/>
  <c r="S39" i="40"/>
  <c r="S12" i="33"/>
  <c r="AA12" i="33"/>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H111" i="33"/>
  <c r="I111" i="33" s="1"/>
  <c r="J111" i="33" s="1"/>
  <c r="K111" i="33" s="1"/>
  <c r="L111" i="33" s="1"/>
  <c r="M111" i="33" s="1"/>
  <c r="J36" i="33"/>
  <c r="W36" i="33" s="1"/>
  <c r="H36" i="33"/>
  <c r="U36" i="33" s="1"/>
  <c r="G91" i="33"/>
  <c r="H91" i="33"/>
  <c r="I91" i="33"/>
  <c r="J91" i="33" s="1"/>
  <c r="K91" i="33" s="1"/>
  <c r="L91" i="33" s="1"/>
  <c r="M91" i="33" s="1"/>
  <c r="J27" i="33"/>
  <c r="W27" i="33" s="1"/>
  <c r="G87" i="33"/>
  <c r="H87" i="33"/>
  <c r="I87" i="33"/>
  <c r="J87" i="33" s="1"/>
  <c r="K87" i="33" s="1"/>
  <c r="L87" i="33" s="1"/>
  <c r="M87" i="33" s="1"/>
  <c r="J25" i="33"/>
  <c r="W25" i="33" s="1"/>
  <c r="F23" i="33"/>
  <c r="G85" i="33"/>
  <c r="H19" i="33"/>
  <c r="AB19" i="33" s="1"/>
  <c r="G81" i="33"/>
  <c r="H17" i="33"/>
  <c r="U17" i="33" s="1"/>
  <c r="F17" i="33"/>
  <c r="S17" i="33" s="1"/>
  <c r="S37" i="21"/>
  <c r="AA23" i="21"/>
  <c r="AB15" i="21"/>
  <c r="J23" i="21"/>
  <c r="F85" i="21"/>
  <c r="G85" i="21" s="1"/>
  <c r="H23" i="21"/>
  <c r="S13" i="21"/>
  <c r="D6" i="52"/>
  <c r="AP7" i="1"/>
  <c r="AB45" i="21"/>
  <c r="AB9" i="21"/>
  <c r="U9" i="21"/>
  <c r="AA32" i="21"/>
  <c r="S32" i="21"/>
  <c r="W9" i="21"/>
  <c r="AC9" i="21"/>
  <c r="AB32" i="21"/>
  <c r="U32" i="21"/>
  <c r="U32" i="39"/>
  <c r="AC32" i="39"/>
  <c r="W32" i="39"/>
  <c r="W23" i="37"/>
  <c r="AC23" i="37"/>
  <c r="J63" i="37"/>
  <c r="K63" i="37" s="1"/>
  <c r="L63" i="37" s="1"/>
  <c r="M63" i="37" s="1"/>
  <c r="J11" i="37"/>
  <c r="AC11" i="37" s="1"/>
  <c r="H70" i="34"/>
  <c r="I70" i="34" s="1"/>
  <c r="J70" i="34" s="1"/>
  <c r="K70" i="34"/>
  <c r="L70" i="34" s="1"/>
  <c r="M70" i="34" s="1"/>
  <c r="J11" i="34"/>
  <c r="W11" i="34" s="1"/>
  <c r="AB36" i="33"/>
  <c r="U23" i="21"/>
  <c r="AB23" i="21"/>
  <c r="AC23" i="21"/>
  <c r="W23" i="21"/>
  <c r="H109" i="9"/>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M6" i="67"/>
  <c r="F38" i="67"/>
  <c r="C76" i="67"/>
  <c r="B10" i="76"/>
  <c r="E8" i="76"/>
  <c r="F13" i="67"/>
  <c r="M8" i="67"/>
  <c r="E9" i="76"/>
  <c r="F9" i="67"/>
  <c r="B9" i="76"/>
  <c r="F42" i="67"/>
  <c r="M22" i="67"/>
  <c r="F16" i="67"/>
  <c r="M24" i="67"/>
  <c r="B8" i="76"/>
  <c r="AO13" i="1"/>
  <c r="E2" i="69"/>
  <c r="F37" i="67"/>
  <c r="M26" i="67"/>
  <c r="E7" i="76"/>
  <c r="D6" i="73"/>
  <c r="F7" i="73"/>
  <c r="E12" i="76"/>
  <c r="J15" i="67"/>
  <c r="F6" i="73"/>
  <c r="F6" i="67"/>
  <c r="B7" i="76"/>
  <c r="E11" i="76"/>
  <c r="E2" i="68"/>
  <c r="F36" i="67"/>
  <c r="E10" i="76"/>
  <c r="B11" i="76"/>
  <c r="E13" i="76"/>
  <c r="F3" i="73"/>
  <c r="M23" i="67"/>
  <c r="M28" i="67"/>
  <c r="F5" i="73"/>
  <c r="F4" i="73"/>
  <c r="L47" i="67"/>
  <c r="F20" i="31"/>
  <c r="F26" i="67"/>
  <c r="B12" i="76"/>
  <c r="B13" i="76"/>
  <c r="F40" i="67"/>
  <c r="F8" i="67"/>
  <c r="M9" i="67"/>
  <c r="U33" i="33" l="1"/>
  <c r="AB37" i="33"/>
  <c r="AB40" i="33"/>
  <c r="U41" i="33"/>
  <c r="S36" i="33"/>
  <c r="S41" i="33"/>
  <c r="S43" i="33"/>
  <c r="W43" i="33"/>
  <c r="S38" i="33"/>
  <c r="S28" i="33"/>
  <c r="W19" i="33"/>
  <c r="U23" i="33"/>
  <c r="AB21" i="33"/>
  <c r="AC21" i="33"/>
  <c r="S21" i="33"/>
  <c r="AA19" i="33"/>
  <c r="U19" i="33"/>
  <c r="W17" i="33"/>
  <c r="AA17" i="33"/>
  <c r="U15" i="33"/>
  <c r="AC15" i="33"/>
  <c r="U11" i="33"/>
  <c r="S26" i="33"/>
  <c r="W32" i="33"/>
  <c r="S32" i="33"/>
  <c r="U32" i="33"/>
  <c r="AB34" i="33"/>
  <c r="AA34" i="33"/>
  <c r="W35" i="33"/>
  <c r="AB35" i="33"/>
  <c r="AA35" i="33"/>
  <c r="U39" i="33"/>
  <c r="S39" i="33"/>
  <c r="W39" i="33"/>
  <c r="U38" i="33"/>
  <c r="S42" i="33"/>
  <c r="U42" i="33"/>
  <c r="W42" i="33"/>
  <c r="AB28" i="33"/>
  <c r="AC28" i="33"/>
  <c r="S33" i="33"/>
  <c r="AB27" i="33"/>
  <c r="AC27" i="33"/>
  <c r="S27" i="33"/>
  <c r="W26" i="33"/>
  <c r="AB26" i="33"/>
  <c r="AA25" i="33"/>
  <c r="AB25" i="33"/>
  <c r="AC25" i="33"/>
  <c r="G1" i="69"/>
  <c r="G1" i="68"/>
  <c r="G1" i="15"/>
  <c r="K7" i="1"/>
  <c r="M7" i="1" s="1"/>
  <c r="O7" i="1" s="1"/>
  <c r="P7" i="1" s="1"/>
  <c r="F3" i="35"/>
  <c r="AZ14" i="3"/>
  <c r="K6" i="1"/>
  <c r="M6" i="1" s="1"/>
  <c r="O6" i="1" s="1"/>
  <c r="D33" i="43"/>
  <c r="D1" i="43" s="1"/>
  <c r="C7" i="36"/>
  <c r="C46" i="36" s="1"/>
  <c r="D46" i="36" s="1"/>
  <c r="E46" i="36" s="1"/>
  <c r="F46" i="36" s="1"/>
  <c r="G46" i="36" s="1"/>
  <c r="H46" i="36" s="1"/>
  <c r="I46" i="36" s="1"/>
  <c r="M47" i="9"/>
  <c r="C7" i="35"/>
  <c r="C48" i="35" s="1"/>
  <c r="D48" i="35" s="1"/>
  <c r="C7" i="34"/>
  <c r="C59" i="34" s="1"/>
  <c r="D59" i="34" s="1"/>
  <c r="E59" i="34" s="1"/>
  <c r="F59" i="34" s="1"/>
  <c r="G59" i="34" s="1"/>
  <c r="H59" i="34" s="1"/>
  <c r="I59" i="34" s="1"/>
  <c r="J59" i="34" s="1"/>
  <c r="K59" i="34" s="1"/>
  <c r="L59" i="34" s="1"/>
  <c r="M59" i="34" s="1"/>
  <c r="N59" i="34" s="1"/>
  <c r="O59" i="34" s="1"/>
  <c r="G23" i="43"/>
  <c r="C23" i="43" s="1"/>
  <c r="C7" i="33"/>
  <c r="C7" i="40"/>
  <c r="C63" i="40" s="1"/>
  <c r="D63" i="40" s="1"/>
  <c r="C7" i="39"/>
  <c r="C67" i="39" s="1"/>
  <c r="C69" i="39" s="1"/>
  <c r="C42" i="1"/>
  <c r="C24" i="12" s="1"/>
  <c r="F6" i="1"/>
  <c r="C18" i="9"/>
  <c r="D18" i="9" s="1"/>
  <c r="K54" i="43"/>
  <c r="J54" i="43" s="1"/>
  <c r="D54" i="43"/>
  <c r="B41" i="1"/>
  <c r="D93" i="9"/>
  <c r="F32" i="15"/>
  <c r="F60" i="15" s="1"/>
  <c r="F54" i="9"/>
  <c r="F52" i="9"/>
  <c r="D68" i="9"/>
  <c r="F30" i="69"/>
  <c r="F48" i="69" s="1"/>
  <c r="F31" i="12"/>
  <c r="C31" i="12" s="1"/>
  <c r="F28" i="15"/>
  <c r="F32" i="67"/>
  <c r="F60" i="67" s="1"/>
  <c r="F28" i="67"/>
  <c r="C28" i="67" s="1"/>
  <c r="M18" i="15"/>
  <c r="M18" i="67"/>
  <c r="F30" i="11"/>
  <c r="C48" i="11" s="1"/>
  <c r="C40" i="68"/>
  <c r="C21" i="68"/>
  <c r="D22" i="15"/>
  <c r="F29" i="6"/>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G50" i="43" s="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14" i="6"/>
  <c r="E63" i="39" s="1"/>
  <c r="I4" i="6"/>
  <c r="G3" i="43" s="1"/>
  <c r="H26" i="43" s="1"/>
  <c r="E29" i="6"/>
  <c r="K15" i="1" s="1"/>
  <c r="G30" i="6"/>
  <c r="G31" i="6" s="1"/>
  <c r="L19" i="6"/>
  <c r="L27" i="6" s="1"/>
  <c r="T13" i="1"/>
  <c r="C58" i="21"/>
  <c r="D58" i="21" s="1"/>
  <c r="C58" i="33"/>
  <c r="C28"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G58" i="43" s="1"/>
  <c r="H51" i="43"/>
  <c r="G51" i="43" s="1"/>
  <c r="H56" i="43"/>
  <c r="G56" i="43" s="1"/>
  <c r="H65" i="43"/>
  <c r="D72" i="43"/>
  <c r="D76" i="43"/>
  <c r="D80" i="43"/>
  <c r="D61" i="43"/>
  <c r="P61" i="15"/>
  <c r="C94" i="9"/>
  <c r="C92" i="9"/>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6" i="1"/>
  <c r="C13" i="12" s="1"/>
  <c r="P11" i="1"/>
  <c r="D9" i="11"/>
  <c r="C9" i="11" s="1"/>
  <c r="D19" i="12"/>
  <c r="C19" i="12" s="1"/>
  <c r="AZ13" i="3"/>
  <c r="O9" i="1"/>
  <c r="P9" i="1" s="1"/>
  <c r="O12" i="1"/>
  <c r="P12" i="1" s="1"/>
  <c r="O8" i="1"/>
  <c r="P8" i="1" s="1"/>
  <c r="H73" i="43"/>
  <c r="H90" i="43"/>
  <c r="O23" i="43"/>
  <c r="I18" i="43"/>
  <c r="E17" i="43" s="1"/>
  <c r="C17" i="43" s="1"/>
  <c r="A1" i="79"/>
  <c r="H55" i="43"/>
  <c r="G55" i="43" s="1"/>
  <c r="H86" i="43"/>
  <c r="H87" i="43"/>
  <c r="H89" i="43"/>
  <c r="H88" i="43"/>
  <c r="H84" i="43"/>
  <c r="T35" i="4"/>
  <c r="A19" i="51" s="1"/>
  <c r="B14" i="72" s="1"/>
  <c r="H110" i="9"/>
  <c r="D18" i="53" s="1"/>
  <c r="B35" i="72" s="1"/>
  <c r="H52" i="43"/>
  <c r="G52" i="43" s="1"/>
  <c r="K5" i="4"/>
  <c r="B47" i="48" s="1"/>
  <c r="Y8" i="71"/>
  <c r="Z8" i="71" s="1"/>
  <c r="X8" i="71"/>
  <c r="AB8" i="71"/>
  <c r="AA8" i="71"/>
  <c r="H76" i="43"/>
  <c r="H72" i="43"/>
  <c r="H63" i="43"/>
  <c r="H61" i="43"/>
  <c r="H53" i="43"/>
  <c r="G53" i="43" s="1"/>
  <c r="H79" i="43"/>
  <c r="D17" i="53"/>
  <c r="B36" i="72" s="1"/>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I1" i="73"/>
  <c r="B39" i="1" s="1"/>
  <c r="F51" i="67"/>
  <c r="F65" i="67"/>
  <c r="F66" i="67"/>
  <c r="Q71" i="67"/>
  <c r="C27" i="67"/>
  <c r="N59" i="67"/>
  <c r="L59" i="67"/>
  <c r="M59" i="67"/>
  <c r="B13" i="70"/>
  <c r="F68" i="67"/>
  <c r="F64" i="67"/>
  <c r="C36" i="68"/>
  <c r="D9" i="69"/>
  <c r="D9" i="68"/>
  <c r="F8" i="15"/>
  <c r="M6" i="15"/>
  <c r="M23" i="15"/>
  <c r="F6" i="15"/>
  <c r="F9" i="15"/>
  <c r="M26" i="15"/>
  <c r="F7" i="15"/>
  <c r="L48" i="15"/>
  <c r="F42" i="15"/>
  <c r="F26" i="15"/>
  <c r="F38" i="15"/>
  <c r="M24" i="15"/>
  <c r="M28" i="15"/>
  <c r="C76" i="15"/>
  <c r="L47" i="15"/>
  <c r="M9" i="15"/>
  <c r="F13" i="15"/>
  <c r="M8" i="15"/>
  <c r="F37" i="15"/>
  <c r="F43" i="15"/>
  <c r="M22" i="15"/>
  <c r="M29" i="15"/>
  <c r="J15" i="15"/>
  <c r="F40" i="15"/>
  <c r="F36" i="15"/>
  <c r="F16" i="15"/>
  <c r="F43" i="67"/>
  <c r="M29" i="67"/>
  <c r="F7" i="67"/>
  <c r="L48" i="67"/>
  <c r="D7" i="73"/>
  <c r="D5" i="73"/>
  <c r="D3" i="73"/>
  <c r="C16" i="15"/>
  <c r="D4" i="73"/>
  <c r="C16" i="67"/>
  <c r="M11" i="85" l="1"/>
  <c r="J10" i="85" s="1"/>
  <c r="J5" i="85" s="1"/>
  <c r="F11" i="85"/>
  <c r="F64" i="15"/>
  <c r="F68" i="15"/>
  <c r="F71" i="15"/>
  <c r="F65" i="15"/>
  <c r="N59" i="15"/>
  <c r="L58" i="15"/>
  <c r="Q60" i="15" s="1"/>
  <c r="M59" i="15"/>
  <c r="L59" i="15"/>
  <c r="Q74" i="15" s="1"/>
  <c r="Q71" i="15"/>
  <c r="F66" i="15"/>
  <c r="C27" i="15"/>
  <c r="I54" i="15"/>
  <c r="J53" i="15"/>
  <c r="L56" i="15" s="1"/>
  <c r="J57" i="15"/>
  <c r="J55" i="15" s="1"/>
  <c r="J58" i="15" s="1"/>
  <c r="Q50" i="15" s="1"/>
  <c r="M7" i="15"/>
  <c r="J6" i="15" s="1"/>
  <c r="J18" i="15" s="1"/>
  <c r="F50" i="15"/>
  <c r="C6" i="15"/>
  <c r="C32" i="15" s="1"/>
  <c r="F31" i="15"/>
  <c r="F51" i="15"/>
  <c r="H16" i="1"/>
  <c r="Q16" i="1"/>
  <c r="F27" i="69" s="1"/>
  <c r="C47" i="69" s="1"/>
  <c r="D45" i="69" s="1"/>
  <c r="E28" i="6"/>
  <c r="K14" i="1" s="1"/>
  <c r="K16" i="1" s="1"/>
  <c r="B29" i="1" s="1"/>
  <c r="C8" i="68" s="1"/>
  <c r="C5" i="68" s="1"/>
  <c r="C6" i="67"/>
  <c r="C32" i="67" s="1"/>
  <c r="F31" i="67"/>
  <c r="M7" i="67"/>
  <c r="J6" i="67" s="1"/>
  <c r="J18" i="67" s="1"/>
  <c r="F50" i="67"/>
  <c r="F59" i="67" s="1"/>
  <c r="F71" i="67"/>
  <c r="E59" i="40"/>
  <c r="AP6" i="1"/>
  <c r="C36" i="69" s="1"/>
  <c r="T19" i="1"/>
  <c r="J57" i="67"/>
  <c r="J55" i="67" s="1"/>
  <c r="J58" i="67" s="1"/>
  <c r="Q50" i="67" s="1"/>
  <c r="L56" i="67"/>
  <c r="I54" i="67"/>
  <c r="L58" i="67"/>
  <c r="Q60" i="67" s="1"/>
  <c r="J53" i="67"/>
  <c r="F1" i="67" s="1"/>
  <c r="C65" i="40"/>
  <c r="D67" i="39"/>
  <c r="D69" i="39" s="1"/>
  <c r="K53" i="43"/>
  <c r="M53" i="43"/>
  <c r="N53" i="43" s="1"/>
  <c r="M55" i="43"/>
  <c r="N55" i="43" s="1"/>
  <c r="K55" i="43"/>
  <c r="K58" i="43"/>
  <c r="M58" i="43"/>
  <c r="N58" i="43" s="1"/>
  <c r="M57" i="43"/>
  <c r="N57" i="43" s="1"/>
  <c r="K57" i="43"/>
  <c r="J57" i="43" s="1"/>
  <c r="D57" i="43" s="1"/>
  <c r="M51" i="43"/>
  <c r="N51" i="43" s="1"/>
  <c r="K51" i="43"/>
  <c r="M52" i="43"/>
  <c r="N52" i="43" s="1"/>
  <c r="K52" i="43"/>
  <c r="M56" i="43"/>
  <c r="N56" i="43" s="1"/>
  <c r="K56" i="43"/>
  <c r="M50" i="43"/>
  <c r="N50" i="43" s="1"/>
  <c r="K50" i="43"/>
  <c r="C48" i="69"/>
  <c r="C30" i="69"/>
  <c r="F48" i="9"/>
  <c r="O52" i="9" s="1"/>
  <c r="F30" i="68"/>
  <c r="C30" i="11"/>
  <c r="E26" i="43"/>
  <c r="G26" i="43"/>
  <c r="N94" i="46"/>
  <c r="J26" i="43"/>
  <c r="N370" i="46"/>
  <c r="F26" i="43"/>
  <c r="D26" i="43" s="1"/>
  <c r="C25" i="43" s="1"/>
  <c r="G16" i="1"/>
  <c r="F10" i="39" s="1"/>
  <c r="S10" i="39" s="1"/>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B116" i="43"/>
  <c r="Z7" i="43"/>
  <c r="E30" i="6"/>
  <c r="E56" i="39"/>
  <c r="H7" i="34"/>
  <c r="AB7" i="34" s="1"/>
  <c r="T49" i="34" s="1"/>
  <c r="G49" i="34" s="1"/>
  <c r="J7" i="34"/>
  <c r="W7" i="34" s="1"/>
  <c r="F7" i="34"/>
  <c r="S7" i="34" s="1"/>
  <c r="AA26" i="35"/>
  <c r="S26" i="35"/>
  <c r="AC26" i="35"/>
  <c r="W26" i="35"/>
  <c r="AB26" i="35"/>
  <c r="U26" i="35"/>
  <c r="E61" i="39"/>
  <c r="E56" i="40"/>
  <c r="C9" i="69"/>
  <c r="C9" i="68"/>
  <c r="E72" i="43"/>
  <c r="B70" i="43" s="1"/>
  <c r="F27" i="11"/>
  <c r="C29" i="11" s="1"/>
  <c r="D27" i="11" s="1"/>
  <c r="F28" i="12"/>
  <c r="C29" i="12" s="1"/>
  <c r="D28" i="12" s="1"/>
  <c r="E60" i="40"/>
  <c r="F31" i="6"/>
  <c r="E51" i="40"/>
  <c r="E16" i="6"/>
  <c r="H6" i="3"/>
  <c r="E58" i="40"/>
  <c r="E62" i="39"/>
  <c r="M14" i="1"/>
  <c r="D5" i="43"/>
  <c r="H10" i="40"/>
  <c r="AB10" i="40" s="1"/>
  <c r="C7" i="43"/>
  <c r="C5" i="43" s="1"/>
  <c r="D10" i="52"/>
  <c r="D125" i="9"/>
  <c r="D11" i="52" s="1"/>
  <c r="B7" i="74"/>
  <c r="C7" i="74" s="1"/>
  <c r="H7" i="37"/>
  <c r="AB7" i="37" s="1"/>
  <c r="T42" i="37" s="1"/>
  <c r="G42" i="37" s="1"/>
  <c r="H7" i="33"/>
  <c r="J7" i="33"/>
  <c r="D65" i="40"/>
  <c r="E63" i="40"/>
  <c r="F48" i="35"/>
  <c r="AC7" i="37"/>
  <c r="W7" i="37"/>
  <c r="F7" i="33"/>
  <c r="E58" i="21"/>
  <c r="AC7" i="36"/>
  <c r="V36" i="36" s="1"/>
  <c r="I36" i="36" s="1"/>
  <c r="W7" i="36"/>
  <c r="F7" i="37"/>
  <c r="P28" i="43"/>
  <c r="B66" i="40" s="1"/>
  <c r="P25" i="43"/>
  <c r="P29" i="43"/>
  <c r="P27" i="43"/>
  <c r="B70" i="39" s="1"/>
  <c r="M11" i="67"/>
  <c r="F11" i="15"/>
  <c r="M11" i="15"/>
  <c r="J10" i="15" s="1"/>
  <c r="F11" i="67"/>
  <c r="Q61" i="67"/>
  <c r="Q74" i="67"/>
  <c r="AE11" i="1"/>
  <c r="AE9" i="1"/>
  <c r="F27" i="68"/>
  <c r="AE8" i="1"/>
  <c r="AE12" i="1"/>
  <c r="AE10" i="1"/>
  <c r="G1" i="73"/>
  <c r="AE6" i="1"/>
  <c r="C10" i="85" l="1"/>
  <c r="C5" i="85" s="1"/>
  <c r="C53" i="85"/>
  <c r="C48" i="85" s="1"/>
  <c r="J24" i="85"/>
  <c r="J10" i="67"/>
  <c r="J5" i="67" s="1"/>
  <c r="J24" i="67" s="1"/>
  <c r="Q52" i="15"/>
  <c r="F45" i="69"/>
  <c r="C49" i="67"/>
  <c r="C53" i="67" s="1"/>
  <c r="Q73" i="15"/>
  <c r="J5" i="15"/>
  <c r="J24" i="15" s="1"/>
  <c r="M17" i="15"/>
  <c r="F59" i="15"/>
  <c r="F1" i="15"/>
  <c r="C29" i="69"/>
  <c r="D27" i="69" s="1"/>
  <c r="C49" i="15"/>
  <c r="Q61" i="15"/>
  <c r="Q52" i="67"/>
  <c r="M17" i="67"/>
  <c r="AC6" i="3"/>
  <c r="U22" i="1"/>
  <c r="T20" i="1"/>
  <c r="V19" i="1"/>
  <c r="Q73" i="67"/>
  <c r="AA10" i="39"/>
  <c r="J10" i="39"/>
  <c r="W10" i="39" s="1"/>
  <c r="F10" i="40"/>
  <c r="S10" i="40" s="1"/>
  <c r="U7" i="36"/>
  <c r="S7" i="36"/>
  <c r="J10" i="40"/>
  <c r="AC10" i="40" s="1"/>
  <c r="E67" i="39"/>
  <c r="J50" i="43"/>
  <c r="D50" i="43"/>
  <c r="J52" i="43"/>
  <c r="D52" i="43"/>
  <c r="J55" i="43"/>
  <c r="D55" i="43"/>
  <c r="J56" i="43"/>
  <c r="D56" i="43"/>
  <c r="J51" i="43"/>
  <c r="D51" i="43"/>
  <c r="J58" i="43"/>
  <c r="D58" i="43"/>
  <c r="J53" i="43"/>
  <c r="D53" i="43"/>
  <c r="F48" i="68"/>
  <c r="C30" i="68"/>
  <c r="C48" i="68"/>
  <c r="H10" i="39"/>
  <c r="U10" i="39" s="1"/>
  <c r="E3" i="6"/>
  <c r="B40" i="1"/>
  <c r="V42" i="37"/>
  <c r="I42" i="37" s="1"/>
  <c r="G47" i="37" s="1"/>
  <c r="H47"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G54" i="34" s="1"/>
  <c r="H54"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E6" i="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G25" i="9" s="1"/>
  <c r="C17" i="4"/>
  <c r="B4" i="52" s="1"/>
  <c r="B43" i="72" s="1"/>
  <c r="D3" i="33"/>
  <c r="D3" i="37"/>
  <c r="U10" i="40"/>
  <c r="AC10" i="39"/>
  <c r="U7" i="37"/>
  <c r="I53" i="34"/>
  <c r="J53" i="34" s="1"/>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8" i="35"/>
  <c r="U7" i="33"/>
  <c r="AB7" i="33"/>
  <c r="T48" i="33" s="1"/>
  <c r="G48" i="33" s="1"/>
  <c r="C10" i="67"/>
  <c r="C5" i="67" s="1"/>
  <c r="C38" i="67" s="1"/>
  <c r="C53" i="15"/>
  <c r="C10" i="15"/>
  <c r="C5" i="15" s="1"/>
  <c r="C38" i="15" s="1"/>
  <c r="M27" i="85"/>
  <c r="AE7" i="1"/>
  <c r="F41" i="85" s="1"/>
  <c r="F41" i="67"/>
  <c r="F41" i="15"/>
  <c r="M27" i="67"/>
  <c r="M27" i="15"/>
  <c r="F69" i="85" l="1"/>
  <c r="L36" i="43"/>
  <c r="L37" i="43" s="1"/>
  <c r="P37" i="43" s="1"/>
  <c r="F24" i="85"/>
  <c r="C66" i="85"/>
  <c r="C60" i="85"/>
  <c r="C38" i="85"/>
  <c r="C48" i="67"/>
  <c r="C66" i="67" s="1"/>
  <c r="C48" i="15"/>
  <c r="C66" i="15" s="1"/>
  <c r="W10" i="40"/>
  <c r="T21" i="1"/>
  <c r="V21" i="1" s="1"/>
  <c r="V20" i="1"/>
  <c r="AA10" i="40"/>
  <c r="I46" i="37"/>
  <c r="J46" i="37" s="1"/>
  <c r="E69" i="39"/>
  <c r="F67" i="39"/>
  <c r="AB10" i="39"/>
  <c r="F69" i="67"/>
  <c r="F25" i="12"/>
  <c r="C26" i="12" s="1"/>
  <c r="D25" i="12" s="1"/>
  <c r="E50" i="43"/>
  <c r="B48" i="43" s="1"/>
  <c r="C28" i="43" s="1"/>
  <c r="F22" i="68"/>
  <c r="C23" i="68" s="1"/>
  <c r="D116" i="43"/>
  <c r="F22" i="11"/>
  <c r="C23" i="11" s="1"/>
  <c r="F24" i="67"/>
  <c r="C24" i="67" s="1"/>
  <c r="F24" i="15"/>
  <c r="C24" i="15" s="1"/>
  <c r="F22" i="69"/>
  <c r="F41" i="69" s="1"/>
  <c r="E49" i="34"/>
  <c r="I54" i="34" s="1"/>
  <c r="J54" i="34" s="1"/>
  <c r="C17" i="71"/>
  <c r="D18" i="71"/>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D19" i="6"/>
  <c r="C18" i="4"/>
  <c r="D23" i="6"/>
  <c r="D5" i="6"/>
  <c r="D12" i="6"/>
  <c r="D11" i="6"/>
  <c r="D13" i="6"/>
  <c r="D28" i="6"/>
  <c r="E61" i="40"/>
  <c r="H26" i="6"/>
  <c r="P14" i="1"/>
  <c r="P16" i="1" s="1"/>
  <c r="C11" i="12" s="1"/>
  <c r="N16" i="1"/>
  <c r="L16" i="1"/>
  <c r="E54" i="34"/>
  <c r="F54" i="34" s="1"/>
  <c r="E53" i="34"/>
  <c r="F53" i="34" s="1"/>
  <c r="R49" i="33"/>
  <c r="E48" i="33"/>
  <c r="I53" i="33" s="1"/>
  <c r="J53" i="33" s="1"/>
  <c r="I52" i="33"/>
  <c r="J52" i="33" s="1"/>
  <c r="E40" i="36"/>
  <c r="F40" i="36" s="1"/>
  <c r="E41" i="36"/>
  <c r="F41" i="36" s="1"/>
  <c r="G52" i="33"/>
  <c r="H52" i="33" s="1"/>
  <c r="G53" i="33"/>
  <c r="H53" i="33" s="1"/>
  <c r="H48" i="35"/>
  <c r="C49" i="34"/>
  <c r="C50" i="34"/>
  <c r="I41" i="36"/>
  <c r="J41" i="36" s="1"/>
  <c r="R43" i="37"/>
  <c r="E42" i="37"/>
  <c r="G63" i="40"/>
  <c r="F65" i="40"/>
  <c r="C37" i="36"/>
  <c r="C36" i="36"/>
  <c r="G58" i="21"/>
  <c r="D10" i="69"/>
  <c r="C34" i="69"/>
  <c r="D10" i="68"/>
  <c r="C17" i="67"/>
  <c r="C14" i="67"/>
  <c r="C17" i="15"/>
  <c r="O37" i="43" l="1"/>
  <c r="N36" i="43"/>
  <c r="M37" i="43"/>
  <c r="P36" i="43"/>
  <c r="O36" i="43"/>
  <c r="Q37" i="43"/>
  <c r="Q36" i="43"/>
  <c r="N37" i="43"/>
  <c r="M36" i="43"/>
  <c r="C24" i="85"/>
  <c r="C23" i="85"/>
  <c r="C60" i="67"/>
  <c r="C60" i="15"/>
  <c r="H22" i="6"/>
  <c r="H24" i="6"/>
  <c r="H21" i="6"/>
  <c r="D30" i="6"/>
  <c r="H25" i="6"/>
  <c r="G67" i="39"/>
  <c r="F69" i="39"/>
  <c r="F41" i="68"/>
  <c r="T11" i="43"/>
  <c r="V11" i="43" s="1"/>
  <c r="T14" i="43"/>
  <c r="V14" i="43" s="1"/>
  <c r="T4" i="43"/>
  <c r="V4" i="43" s="1"/>
  <c r="T5" i="43"/>
  <c r="V5" i="43" s="1"/>
  <c r="C41" i="43"/>
  <c r="T9" i="43"/>
  <c r="V9" i="43" s="1"/>
  <c r="T12" i="43"/>
  <c r="V12" i="43" s="1"/>
  <c r="T3" i="43"/>
  <c r="V3" i="43" s="1"/>
  <c r="C33" i="43"/>
  <c r="C6" i="69" s="1"/>
  <c r="C39" i="43"/>
  <c r="T15" i="43"/>
  <c r="V15" i="43" s="1"/>
  <c r="T7" i="43"/>
  <c r="V7" i="43" s="1"/>
  <c r="T10" i="43"/>
  <c r="V10" i="43" s="1"/>
  <c r="T2" i="43"/>
  <c r="V2" i="43" s="1"/>
  <c r="C40" i="43"/>
  <c r="C42" i="43"/>
  <c r="T13" i="43"/>
  <c r="V13" i="43" s="1"/>
  <c r="T16" i="43"/>
  <c r="V16" i="43" s="1"/>
  <c r="T8" i="43"/>
  <c r="V8" i="43" s="1"/>
  <c r="T6" i="43"/>
  <c r="V6" i="43" s="1"/>
  <c r="C37" i="43"/>
  <c r="C38" i="43"/>
  <c r="C26" i="68"/>
  <c r="D22" i="68" s="1"/>
  <c r="C44" i="68"/>
  <c r="D41" i="68" s="1"/>
  <c r="C44" i="11"/>
  <c r="D41" i="11" s="1"/>
  <c r="C26" i="11"/>
  <c r="D22" i="11" s="1"/>
  <c r="C25" i="11"/>
  <c r="C24" i="11"/>
  <c r="C44" i="69"/>
  <c r="D41" i="69" s="1"/>
  <c r="C26" i="69"/>
  <c r="D22" i="69" s="1"/>
  <c r="C16" i="71"/>
  <c r="D17" i="71"/>
  <c r="C18" i="67"/>
  <c r="C15" i="67"/>
  <c r="H23" i="6"/>
  <c r="H20" i="6"/>
  <c r="R20" i="6" s="1"/>
  <c r="C38" i="69"/>
  <c r="C35" i="69"/>
  <c r="E12" i="70"/>
  <c r="F34" i="11"/>
  <c r="F11" i="12"/>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7" i="74"/>
  <c r="R21" i="6"/>
  <c r="R8" i="1" s="1"/>
  <c r="C10" i="69"/>
  <c r="C8" i="69" s="1"/>
  <c r="D19" i="69"/>
  <c r="F50" i="69"/>
  <c r="F50" i="11"/>
  <c r="F50" i="68"/>
  <c r="C4" i="52"/>
  <c r="B45" i="72" s="1"/>
  <c r="A10" i="51"/>
  <c r="B9" i="72" s="1"/>
  <c r="A7" i="51"/>
  <c r="B7" i="72" s="1"/>
  <c r="R25" i="6"/>
  <c r="R12" i="1" s="1"/>
  <c r="C10" i="68"/>
  <c r="D19" i="68"/>
  <c r="G65" i="40"/>
  <c r="H63" i="40"/>
  <c r="C43" i="37"/>
  <c r="C42" i="37"/>
  <c r="I48" i="35"/>
  <c r="C48" i="33"/>
  <c r="C49" i="33"/>
  <c r="H58" i="21"/>
  <c r="E47" i="37"/>
  <c r="F47" i="37" s="1"/>
  <c r="E46" i="37"/>
  <c r="F46" i="37" s="1"/>
  <c r="I47" i="37"/>
  <c r="J47" i="37" s="1"/>
  <c r="E53" i="33"/>
  <c r="F53" i="33" s="1"/>
  <c r="E52" i="33"/>
  <c r="F52" i="33" s="1"/>
  <c r="C33" i="15"/>
  <c r="C33" i="67"/>
  <c r="J19" i="67"/>
  <c r="C34" i="68"/>
  <c r="C14" i="15"/>
  <c r="C29" i="85" l="1"/>
  <c r="C36" i="85" s="1"/>
  <c r="E2" i="70"/>
  <c r="G69" i="39"/>
  <c r="H67" i="39"/>
  <c r="E40" i="43"/>
  <c r="G40" i="43"/>
  <c r="I40" i="43" s="1"/>
  <c r="G38" i="43"/>
  <c r="I38" i="43" s="1"/>
  <c r="E38" i="43"/>
  <c r="G39" i="43"/>
  <c r="I39" i="43" s="1"/>
  <c r="E39" i="43"/>
  <c r="E42" i="43"/>
  <c r="G42" i="43"/>
  <c r="I42" i="43" s="1"/>
  <c r="E37" i="43"/>
  <c r="G37" i="43"/>
  <c r="I37" i="43" s="1"/>
  <c r="C7" i="69"/>
  <c r="C5" i="69" s="1"/>
  <c r="C23" i="69" s="1"/>
  <c r="E33" i="43"/>
  <c r="C34" i="43"/>
  <c r="E34" i="43" s="1"/>
  <c r="G41" i="43"/>
  <c r="I41" i="43" s="1"/>
  <c r="E41" i="43"/>
  <c r="C22" i="1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I63" i="40"/>
  <c r="H65" i="40"/>
  <c r="I58" i="21"/>
  <c r="J58" i="21" s="1"/>
  <c r="K58" i="21" s="1"/>
  <c r="L58" i="21" s="1"/>
  <c r="M58" i="21" s="1"/>
  <c r="N58" i="21" s="1"/>
  <c r="O58" i="21" s="1"/>
  <c r="H7" i="21" s="1"/>
  <c r="J48" i="35"/>
  <c r="J59" i="85" l="1"/>
  <c r="J60" i="85" s="1"/>
  <c r="Q48" i="85" s="1"/>
  <c r="Q49" i="85"/>
  <c r="C13" i="85"/>
  <c r="C56" i="85" s="1"/>
  <c r="C65" i="85" s="1"/>
  <c r="J14" i="85"/>
  <c r="J13" i="85" s="1"/>
  <c r="J23" i="85" s="1"/>
  <c r="C57" i="85"/>
  <c r="C64" i="85" s="1"/>
  <c r="H69" i="39"/>
  <c r="I67" i="39"/>
  <c r="C30" i="43"/>
  <c r="C31" i="43"/>
  <c r="C14" i="7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R7" i="1" s="1"/>
  <c r="C27" i="12"/>
  <c r="C25" i="12" s="1"/>
  <c r="C20" i="69"/>
  <c r="C28" i="69" s="1"/>
  <c r="C27" i="69" s="1"/>
  <c r="C20" i="68"/>
  <c r="C28" i="68" s="1"/>
  <c r="C27" i="68" s="1"/>
  <c r="C24" i="68"/>
  <c r="C39" i="69"/>
  <c r="C43" i="69" s="1"/>
  <c r="C42" i="69"/>
  <c r="U7" i="21"/>
  <c r="AB7" i="21"/>
  <c r="T48" i="21" s="1"/>
  <c r="G48" i="21" s="1"/>
  <c r="J63" i="40"/>
  <c r="I65" i="40"/>
  <c r="K48" i="35"/>
  <c r="L48" i="35" s="1"/>
  <c r="M48" i="35" s="1"/>
  <c r="N48" i="35" s="1"/>
  <c r="O48" i="35" s="1"/>
  <c r="H7" i="35" s="1"/>
  <c r="E6" i="76"/>
  <c r="J22" i="85" l="1"/>
  <c r="C37" i="85"/>
  <c r="L46" i="85"/>
  <c r="C75" i="85"/>
  <c r="Q70" i="85"/>
  <c r="I69" i="39"/>
  <c r="J67" i="39"/>
  <c r="E2" i="76"/>
  <c r="B2" i="43"/>
  <c r="D14" i="71"/>
  <c r="C13"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J65" i="40"/>
  <c r="K63" i="40"/>
  <c r="I52" i="21"/>
  <c r="J52" i="21" s="1"/>
  <c r="U7" i="35"/>
  <c r="AB7" i="35"/>
  <c r="T38" i="35" s="1"/>
  <c r="G38" i="35" s="1"/>
  <c r="G52" i="21"/>
  <c r="H52" i="21" s="1"/>
  <c r="G53" i="21"/>
  <c r="H53" i="21" s="1"/>
  <c r="F7" i="35"/>
  <c r="F35" i="85"/>
  <c r="M21" i="85"/>
  <c r="B6" i="76"/>
  <c r="F35" i="67"/>
  <c r="F35" i="15"/>
  <c r="M21" i="15"/>
  <c r="M21" i="67"/>
  <c r="J20" i="85" l="1"/>
  <c r="J17" i="85" s="1"/>
  <c r="J16" i="85" s="1"/>
  <c r="J25" i="85" s="1"/>
  <c r="J26" i="85" s="1"/>
  <c r="J29" i="85" s="1"/>
  <c r="C34" i="85"/>
  <c r="C31" i="85" s="1"/>
  <c r="C30" i="85" s="1"/>
  <c r="C39" i="85" s="1"/>
  <c r="F63" i="85"/>
  <c r="C62" i="85" s="1"/>
  <c r="C59" i="85" s="1"/>
  <c r="C58" i="85" s="1"/>
  <c r="C67" i="85" s="1"/>
  <c r="C68" i="85" s="1"/>
  <c r="E48" i="21"/>
  <c r="K67" i="39"/>
  <c r="J69" i="39"/>
  <c r="B2" i="76"/>
  <c r="B3" i="76" s="1"/>
  <c r="B3" i="43"/>
  <c r="AC7" i="35"/>
  <c r="V38" i="35" s="1"/>
  <c r="I38"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S7" i="35"/>
  <c r="AA7" i="35"/>
  <c r="R38" i="35" s="1"/>
  <c r="C49" i="21"/>
  <c r="C48" i="21"/>
  <c r="E52" i="21"/>
  <c r="F52" i="21" s="1"/>
  <c r="E53" i="21"/>
  <c r="F53" i="21" s="1"/>
  <c r="G42" i="35"/>
  <c r="H42" i="35" s="1"/>
  <c r="G43" i="35"/>
  <c r="H43" i="35" s="1"/>
  <c r="I53" i="21"/>
  <c r="J53" i="21" s="1"/>
  <c r="K65" i="40"/>
  <c r="L63" i="40"/>
  <c r="I42" i="35"/>
  <c r="J42" i="35" s="1"/>
  <c r="C71" i="85" l="1"/>
  <c r="C40" i="85"/>
  <c r="Q69" i="85"/>
  <c r="Q68" i="85" s="1"/>
  <c r="C80" i="85"/>
  <c r="C79" i="85" s="1"/>
  <c r="K69" i="39"/>
  <c r="L67" i="39"/>
  <c r="B3" i="69"/>
  <c r="C11" i="71"/>
  <c r="T12" i="71"/>
  <c r="D12" i="71"/>
  <c r="U12" i="71" s="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R39" i="35"/>
  <c r="E38" i="35"/>
  <c r="M63" i="40"/>
  <c r="L65" i="40"/>
  <c r="L51" i="85"/>
  <c r="D2" i="21"/>
  <c r="Q67" i="85" l="1"/>
  <c r="Q56" i="85"/>
  <c r="Q62" i="85" s="1"/>
  <c r="Q65" i="85"/>
  <c r="Q75" i="85" s="1"/>
  <c r="Q47" i="85"/>
  <c r="Q53" i="85" s="1"/>
  <c r="C43" i="85"/>
  <c r="D2" i="85"/>
  <c r="C83" i="85"/>
  <c r="C82" i="85" s="1"/>
  <c r="C45" i="85"/>
  <c r="C46" i="85" s="1"/>
  <c r="M67" i="39"/>
  <c r="L69" i="39"/>
  <c r="Q69" i="67"/>
  <c r="Q68" i="67" s="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C39" i="35"/>
  <c r="C38" i="35"/>
  <c r="N63" i="40"/>
  <c r="M65" i="40"/>
  <c r="E43" i="35"/>
  <c r="F43" i="35" s="1"/>
  <c r="E42" i="35"/>
  <c r="F42" i="35" s="1"/>
  <c r="I43" i="35"/>
  <c r="J43" i="35" s="1"/>
  <c r="D2" i="33"/>
  <c r="L51" i="67"/>
  <c r="B3" i="85" l="1"/>
  <c r="B2" i="85"/>
  <c r="M69" i="39"/>
  <c r="N67" i="39"/>
  <c r="D10" i="71"/>
  <c r="C9" i="71"/>
  <c r="L57" i="67"/>
  <c r="L60" i="67" s="1"/>
  <c r="L46" i="67" s="1"/>
  <c r="D2" i="67" s="1"/>
  <c r="B2" i="67" s="1"/>
  <c r="Q67" i="67"/>
  <c r="Q65" i="67"/>
  <c r="B2" i="33"/>
  <c r="C83" i="67"/>
  <c r="C82" i="67" s="1"/>
  <c r="Q47" i="67"/>
  <c r="Q53" i="67" s="1"/>
  <c r="C46" i="67"/>
  <c r="Q56" i="67"/>
  <c r="C43" i="67"/>
  <c r="C80" i="15"/>
  <c r="C79" i="15" s="1"/>
  <c r="C40" i="15"/>
  <c r="C46" i="15" s="1"/>
  <c r="O63" i="40"/>
  <c r="O65" i="40" s="1"/>
  <c r="N65" i="40"/>
  <c r="D19" i="83"/>
  <c r="C19" i="9"/>
  <c r="D2" i="34"/>
  <c r="D2" i="36"/>
  <c r="L51" i="15"/>
  <c r="D19" i="9"/>
  <c r="D2" i="35"/>
  <c r="D2" i="37"/>
  <c r="D102" i="83" l="1"/>
  <c r="D21" i="83"/>
  <c r="C102" i="9"/>
  <c r="C21" i="9"/>
  <c r="B3" i="33"/>
  <c r="N69" i="39"/>
  <c r="O67" i="39"/>
  <c r="O69" i="39" s="1"/>
  <c r="F7" i="39"/>
  <c r="D102" i="9"/>
  <c r="D21" i="9"/>
  <c r="G19" i="9"/>
  <c r="G21" i="9" s="1"/>
  <c r="D22" i="9"/>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J7" i="40"/>
  <c r="F7" i="40"/>
  <c r="H7" i="40"/>
  <c r="D20" i="83"/>
  <c r="C20" i="9"/>
  <c r="AO12" i="1"/>
  <c r="D20" i="9"/>
  <c r="AO11" i="1"/>
  <c r="AO9" i="1"/>
  <c r="AO8" i="1"/>
  <c r="AO10" i="1"/>
  <c r="AO6" i="1"/>
  <c r="D103" i="83" l="1"/>
  <c r="C103" i="9"/>
  <c r="S7" i="39"/>
  <c r="AA7" i="39"/>
  <c r="R47" i="39" s="1"/>
  <c r="J7" i="39"/>
  <c r="H7" i="39"/>
  <c r="D103" i="9"/>
  <c r="G20" i="9"/>
  <c r="C32" i="9" s="1"/>
  <c r="C7" i="71"/>
  <c r="D8" i="71"/>
  <c r="L46" i="15"/>
  <c r="B2" i="15" s="1"/>
  <c r="Q66" i="15"/>
  <c r="Q75" i="15" s="1"/>
  <c r="Q62" i="15"/>
  <c r="B9" i="70"/>
  <c r="B11" i="70"/>
  <c r="B10" i="70"/>
  <c r="B12" i="70"/>
  <c r="B6" i="70"/>
  <c r="B8" i="70"/>
  <c r="U7" i="40"/>
  <c r="AB7" i="40"/>
  <c r="T42" i="40" s="1"/>
  <c r="G42" i="40" s="1"/>
  <c r="AA7" i="40"/>
  <c r="R42" i="40" s="1"/>
  <c r="S7" i="40"/>
  <c r="AC7" i="40"/>
  <c r="V42" i="40" s="1"/>
  <c r="I42" i="40" s="1"/>
  <c r="W7" i="40"/>
  <c r="AO7" i="1"/>
  <c r="R437" i="31" l="1"/>
  <c r="S437" i="31" s="1"/>
  <c r="R438" i="31"/>
  <c r="S438" i="31" s="1"/>
  <c r="R439" i="31"/>
  <c r="S439" i="31" s="1"/>
  <c r="B7" i="70"/>
  <c r="B2" i="70" s="1"/>
  <c r="B3" i="70" s="1"/>
  <c r="B3" i="15"/>
  <c r="W7" i="39"/>
  <c r="AC7" i="39"/>
  <c r="V47" i="39" s="1"/>
  <c r="I47" i="39" s="1"/>
  <c r="U7" i="39"/>
  <c r="AB7" i="39"/>
  <c r="T47" i="39" s="1"/>
  <c r="G47" i="39" s="1"/>
  <c r="E47" i="39"/>
  <c r="R48" i="39"/>
  <c r="C35" i="9"/>
  <c r="D7" i="71"/>
  <c r="C6" i="71"/>
  <c r="I46" i="40"/>
  <c r="J46" i="40" s="1"/>
  <c r="R43" i="40"/>
  <c r="E42" i="40"/>
  <c r="G47" i="40"/>
  <c r="H47" i="40" s="1"/>
  <c r="G46" i="40"/>
  <c r="H46" i="40" s="1"/>
  <c r="D35" i="9"/>
  <c r="C34" i="9" l="1"/>
  <c r="G51" i="39"/>
  <c r="H51" i="39" s="1"/>
  <c r="G52" i="39"/>
  <c r="H52" i="39" s="1"/>
  <c r="C48" i="39"/>
  <c r="C47" i="39"/>
  <c r="I51" i="39"/>
  <c r="J51" i="39" s="1"/>
  <c r="I52" i="39"/>
  <c r="J52" i="39" s="1"/>
  <c r="E52" i="39"/>
  <c r="F52" i="39" s="1"/>
  <c r="E51" i="39"/>
  <c r="F51" i="39" s="1"/>
  <c r="D6" i="71"/>
  <c r="C5" i="71"/>
  <c r="D5" i="71" s="1"/>
  <c r="M24" i="43" s="1"/>
  <c r="C42" i="40"/>
  <c r="C43" i="40"/>
  <c r="E47" i="40"/>
  <c r="F47" i="40" s="1"/>
  <c r="E46" i="40"/>
  <c r="F46" i="40" s="1"/>
  <c r="I47" i="40"/>
  <c r="J47" i="40" s="1"/>
  <c r="D34" i="9"/>
  <c r="B64" i="39" l="1"/>
  <c r="F64" i="39" s="1"/>
  <c r="B58" i="39"/>
  <c r="F58" i="39" s="1"/>
  <c r="B60" i="39"/>
  <c r="F60" i="39" s="1"/>
  <c r="B62" i="39"/>
  <c r="F62" i="39" s="1"/>
  <c r="B63" i="39"/>
  <c r="F63" i="39" s="1"/>
  <c r="B57" i="39"/>
  <c r="F57" i="39" s="1"/>
  <c r="B56" i="39"/>
  <c r="F56" i="39" s="1"/>
  <c r="F65" i="39" s="1"/>
  <c r="B2" i="39" s="1"/>
  <c r="B3" i="39" s="1"/>
  <c r="B61" i="39"/>
  <c r="F61" i="39" s="1"/>
  <c r="B59" i="39"/>
  <c r="F59" i="39" s="1"/>
  <c r="B58" i="40"/>
  <c r="F58" i="40" s="1"/>
  <c r="B54" i="40"/>
  <c r="F54" i="40" s="1"/>
  <c r="B53" i="40"/>
  <c r="F53" i="40" s="1"/>
  <c r="B59" i="40"/>
  <c r="F59" i="40" s="1"/>
  <c r="B52" i="40"/>
  <c r="F52" i="40" s="1"/>
  <c r="B56" i="40"/>
  <c r="F56" i="40" s="1"/>
  <c r="B60" i="40"/>
  <c r="F60" i="40" s="1"/>
  <c r="B57" i="40"/>
  <c r="F57" i="40" s="1"/>
  <c r="B51" i="40"/>
  <c r="F51" i="40" s="1"/>
  <c r="F61" i="40"/>
  <c r="B2" i="40" s="1"/>
  <c r="B3" i="40" s="1"/>
  <c r="G118" i="9" l="1"/>
  <c r="G4" i="52" s="1"/>
  <c r="B52" i="72" s="1"/>
  <c r="I118" i="9"/>
  <c r="C105" i="9" l="1"/>
  <c r="E14" i="74"/>
  <c r="H118" i="9"/>
  <c r="F118" i="9"/>
  <c r="F119" i="9" s="1"/>
  <c r="F5" i="52" s="1"/>
  <c r="B53" i="72" s="1"/>
  <c r="E118" i="9"/>
  <c r="H102" i="9"/>
  <c r="I4" i="52"/>
  <c r="C104" i="9" l="1"/>
  <c r="D14" i="74"/>
  <c r="G14" i="74" s="1"/>
  <c r="H119" i="9"/>
  <c r="H5" i="52" s="1"/>
  <c r="H101" i="9"/>
  <c r="D5" i="53" s="1"/>
  <c r="H4" i="52"/>
  <c r="F4" i="52"/>
  <c r="B51" i="72" s="1"/>
  <c r="D7" i="53"/>
  <c r="B21" i="72" s="1"/>
  <c r="D118" i="9"/>
  <c r="E4" i="52"/>
  <c r="B48" i="72" s="1"/>
  <c r="F14" i="74" l="1"/>
  <c r="D45" i="9"/>
  <c r="C78" i="9" s="1"/>
  <c r="C73" i="9" s="1"/>
  <c r="H107" i="9"/>
  <c r="D122" i="9" s="1"/>
  <c r="M48" i="9"/>
  <c r="D6" i="53"/>
  <c r="B22" i="72" s="1"/>
  <c r="B20" i="72"/>
  <c r="D4" i="52"/>
  <c r="B47" i="72" s="1"/>
  <c r="D119" i="9"/>
  <c r="D5" i="52" s="1"/>
  <c r="B49" i="72" s="1"/>
  <c r="C64" i="9" l="1"/>
  <c r="C63" i="9" s="1"/>
  <c r="C67" i="9" s="1"/>
  <c r="D59" i="9" s="1"/>
  <c r="M55" i="9" s="1"/>
  <c r="D52" i="9"/>
  <c r="D53" i="9"/>
  <c r="H108" i="9"/>
  <c r="C85" i="9"/>
  <c r="C93" i="9"/>
  <c r="C86" i="9" s="1"/>
  <c r="C72" i="9"/>
  <c r="C79" i="9" s="1"/>
  <c r="D55" i="9"/>
  <c r="M53" i="9" s="1"/>
  <c r="M49" i="9"/>
  <c r="L64" i="9" s="1"/>
  <c r="M64" i="9" s="1"/>
  <c r="D13" i="53"/>
  <c r="B30" i="72" s="1"/>
  <c r="D123" i="9"/>
  <c r="D9" i="52" s="1"/>
  <c r="D8" i="52"/>
  <c r="D15" i="53" l="1"/>
  <c r="B31" i="72" s="1"/>
  <c r="D107" i="9"/>
  <c r="C68" i="9"/>
  <c r="D54" i="9" s="1"/>
  <c r="D48" i="9" s="1"/>
  <c r="M52" i="9" s="1"/>
  <c r="L68" i="9"/>
  <c r="M68" i="9" s="1"/>
  <c r="C95" i="9"/>
  <c r="C96" i="9" s="1"/>
  <c r="E96" i="9" s="1"/>
  <c r="E97" i="9" s="1"/>
  <c r="D14" i="53"/>
  <c r="B32" i="72" s="1"/>
  <c r="L67" i="9"/>
  <c r="M67" i="9" s="1"/>
  <c r="L63" i="9"/>
  <c r="M63" i="9" s="1"/>
  <c r="L65" i="9"/>
  <c r="M65" i="9" s="1"/>
  <c r="L66" i="9"/>
  <c r="M66" i="9" s="1"/>
  <c r="C80" i="9"/>
  <c r="E80" i="9" s="1"/>
  <c r="E81" i="9" s="1"/>
  <c r="M69" i="9" l="1"/>
  <c r="N69" i="9" s="1"/>
  <c r="C81" i="9"/>
  <c r="C97" i="9"/>
  <c r="D58" i="9" l="1"/>
  <c r="D56" i="9" s="1"/>
  <c r="M54" i="9" s="1"/>
  <c r="N57" i="9" s="1"/>
  <c r="N58" i="9" s="1"/>
  <c r="N59" i="9" l="1"/>
  <c r="H111" i="9" s="1"/>
  <c r="P57" i="9"/>
  <c r="D19" i="53" l="1"/>
  <c r="B38" i="72" s="1"/>
  <c r="I14" i="74"/>
  <c r="N61" i="9"/>
  <c r="H112" i="9" s="1"/>
  <c r="D21" i="53" s="1"/>
  <c r="B39" i="72" s="1"/>
  <c r="N60" i="9"/>
  <c r="D126" i="9"/>
  <c r="D12" i="52" s="1"/>
  <c r="S24" i="31"/>
  <c r="R25" i="31"/>
  <c r="S25" i="31" s="1"/>
  <c r="R26" i="31"/>
  <c r="S26" i="31" s="1"/>
  <c r="R27" i="31"/>
  <c r="S27" i="31" s="1"/>
  <c r="D20" i="53" l="1"/>
  <c r="B40" i="72" s="1"/>
  <c r="D127" i="9"/>
  <c r="D13" i="52" s="1"/>
  <c r="S22" i="31"/>
  <c r="R22" i="31" s="1"/>
  <c r="B20" i="31" l="1"/>
  <c r="B21" i="31" s="1"/>
  <c r="C19" i="83"/>
  <c r="C20" i="83"/>
  <c r="C21" i="83" l="1"/>
  <c r="D22" i="83"/>
  <c r="G19" i="83"/>
  <c r="G21" i="83" s="1"/>
  <c r="C102" i="83"/>
  <c r="C103" i="83"/>
  <c r="G20" i="83"/>
  <c r="C32" i="83" s="1"/>
  <c r="D35" i="83" l="1"/>
  <c r="D34" i="83"/>
  <c r="I118" i="83"/>
  <c r="B1" i="74" l="1"/>
  <c r="H102" i="83"/>
  <c r="H118" i="83"/>
  <c r="D15" i="74" s="1"/>
  <c r="G15" i="74" s="1"/>
  <c r="B6" i="74" s="1"/>
  <c r="C105" i="83"/>
  <c r="D6" i="74" l="1"/>
  <c r="C6" i="74"/>
  <c r="E15" i="74"/>
  <c r="F15" i="74"/>
  <c r="B5" i="74"/>
  <c r="H119" i="83"/>
  <c r="H101" i="83"/>
  <c r="C104" i="83"/>
  <c r="D5" i="74" l="1"/>
  <c r="C5" i="74"/>
  <c r="D45" i="83"/>
  <c r="H107" i="83"/>
  <c r="M48" i="83"/>
  <c r="D52" i="83" l="1"/>
  <c r="C78" i="83"/>
  <c r="C73" i="83" s="1"/>
  <c r="C93" i="83"/>
  <c r="C86" i="83" s="1"/>
  <c r="D53" i="83"/>
  <c r="D55" i="83"/>
  <c r="M53" i="83" s="1"/>
  <c r="C64" i="83"/>
  <c r="C63" i="83" s="1"/>
  <c r="C67" i="83" s="1"/>
  <c r="C72" i="83"/>
  <c r="C85" i="83"/>
  <c r="D122" i="83"/>
  <c r="D123" i="83" s="1"/>
  <c r="H108" i="83"/>
  <c r="D107" i="83" s="1"/>
  <c r="M49" i="83"/>
  <c r="C79" i="83" l="1"/>
  <c r="C95" i="83"/>
  <c r="L64" i="83"/>
  <c r="M64" i="83" s="1"/>
  <c r="L66" i="83"/>
  <c r="M66" i="83" s="1"/>
  <c r="L63" i="83"/>
  <c r="M63" i="83" s="1"/>
  <c r="L67" i="83"/>
  <c r="M67" i="83" s="1"/>
  <c r="L65" i="83"/>
  <c r="M65" i="83" s="1"/>
  <c r="L68" i="83"/>
  <c r="M68" i="83" s="1"/>
  <c r="C80" i="83"/>
  <c r="E80" i="83" s="1"/>
  <c r="E81" i="83" s="1"/>
  <c r="C96" i="83"/>
  <c r="E96" i="83" s="1"/>
  <c r="E97" i="83" s="1"/>
  <c r="D59" i="83"/>
  <c r="M55" i="83" s="1"/>
  <c r="C68" i="83"/>
  <c r="D54" i="83" s="1"/>
  <c r="D48" i="83" s="1"/>
  <c r="M52" i="83" s="1"/>
  <c r="C81" i="83" l="1"/>
  <c r="M69" i="83"/>
  <c r="N69" i="83" s="1"/>
  <c r="C97" i="83"/>
  <c r="D58" i="83" l="1"/>
  <c r="D56" i="83" s="1"/>
  <c r="M54" i="83" s="1"/>
  <c r="N57" i="83" s="1"/>
  <c r="P57" i="83" s="1"/>
  <c r="N59" i="83" l="1"/>
  <c r="N60" i="83" s="1"/>
  <c r="N58" i="83"/>
  <c r="H111" i="83" l="1"/>
  <c r="N61" i="83"/>
  <c r="H112" i="83" s="1"/>
  <c r="D126" i="83" l="1"/>
  <c r="D127" i="83" s="1"/>
  <c r="I15" i="74"/>
  <c r="B8" i="74" s="1"/>
  <c r="D8" i="74" l="1"/>
  <c r="C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21.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<sst xmlns="http://schemas.openxmlformats.org/spreadsheetml/2006/main" count="9061" uniqueCount="3502">
  <si>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</si>
  <si>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</si>
  <si>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</si>
  <si>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</si>
  <si>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</si>
  <si>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</si>
  <si>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</si>
  <si>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</si>
  <si>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</si>
  <si>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</si>
  <si>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</si>
  <si>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</si>
  <si>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</si>
  <si>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</si>
  <si>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</si>
  <si>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</si>
  <si>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</si>
  <si>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</si>
  <si>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</si>
  <si>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</si>
  <si>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</si>
  <si>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</si>
  <si>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</si>
  <si>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</si>
  <si>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</si>
  <si>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</si>
  <si>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</si>
  <si>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</si>
  <si>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</si>
  <si>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</si>
  <si>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</si>
  <si>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</si>
  <si>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</si>
  <si>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</si>
  <si>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</si>
  <si>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</si>
  <si>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</si>
  <si>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</si>
  <si>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</si>
  <si>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</si>
  <si>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</si>
  <si>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</si>
  <si>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</si>
  <si>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</si>
  <si>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</si>
  <si>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</si>
  <si>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</si>
  <si>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</si>
  <si>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</si>
  <si>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</si>
  <si>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</si>
  <si>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</si>
  <si>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</si>
  <si>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</si>
  <si>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</si>
  <si>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</si>
  <si>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</si>
  <si>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</si>
  <si>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</si>
  <si>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</si>
  <si>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</si>
  <si>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</si>
  <si>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</si>
  <si>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</si>
  <si>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</si>
  <si>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</si>
  <si>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</si>
  <si>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</si>
  <si>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</si>
  <si>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</si>
  <si>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</si>
  <si>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</si>
  <si>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</si>
  <si>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</si>
  <si>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</si>
  <si>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</si>
  <si>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</si>
  <si>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</si>
  <si>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</si>
  <si>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</si>
  <si>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</si>
  <si>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</si>
  <si>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</si>
  <si>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</si>
  <si>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</si>
  <si>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</si>
  <si>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</si>
  <si>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</si>
  <si>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</si>
  <si>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</si>
  <si>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</si>
  <si>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</si>
  <si>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</si>
  <si>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</si>
  <si>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</si>
  <si>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</si>
  <si>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</si>
  <si>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</si>
  <si>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</si>
  <si>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</si>
  <si>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</si>
  <si>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</si>
  <si>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</si>
  <si>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</si>
  <si>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</si>
  <si>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</si>
  <si>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</si>
  <si>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</si>
  <si>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</si>
  <si>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</si>
  <si>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</si>
  <si>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</si>
  <si>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</si>
  <si>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</si>
  <si>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</si>
  <si>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</si>
  <si>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</si>
  <si>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</si>
  <si>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</si>
  <si>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</si>
  <si>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</si>
  <si>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</si>
  <si>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</si>
  <si>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</si>
  <si>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</si>
  <si>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</si>
  <si>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</si>
  <si>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</si>
  <si>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</si>
  <si>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</si>
  <si>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</si>
  <si>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</si>
  <si>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</si>
  <si>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</si>
  <si>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</si>
  <si>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</si>
  <si>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</si>
  <si>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</si>
  <si>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</si>
  <si>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</si>
  <si>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</si>
  <si>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</si>
  <si>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</si>
  <si>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</si>
  <si>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</si>
  <si>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</si>
  <si>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</si>
  <si>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</si>
  <si>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</si>
  <si>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</si>
  <si>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</si>
  <si>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</si>
  <si>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</si>
  <si>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</si>
  <si>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</si>
  <si>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</si>
  <si>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</si>
  <si>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</si>
  <si>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</si>
  <si>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</si>
  <si>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</si>
  <si>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</si>
  <si>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</si>
  <si>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</si>
  <si>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</si>
  <si>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</si>
  <si>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</si>
  <si>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</si>
  <si>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</si>
  <si>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</si>
  <si>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</si>
  <si>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</si>
  <si>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</si>
  <si>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</si>
  <si>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</si>
  <si>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</si>
  <si>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</si>
  <si>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</si>
  <si>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</si>
  <si>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</si>
  <si>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</si>
  <si>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</si>
  <si>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</si>
  <si>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</si>
  <si>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</si>
  <si>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</si>
  <si>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</si>
  <si>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</si>
  <si>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</si>
  <si>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</si>
  <si>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</si>
  <si>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</si>
  <si>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</si>
  <si>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</si>
  <si>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</si>
  <si>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</si>
  <si>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</si>
  <si>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</si>
  <si>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</si>
  <si>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</si>
  <si>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</si>
  <si>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</si>
  <si>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</si>
  <si>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</si>
  <si>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</si>
  <si>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</si>
  <si>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</si>
  <si>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</si>
  <si>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</si>
  <si>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</si>
  <si>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</si>
  <si>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</si>
  <si>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</si>
  <si>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</si>
  <si>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</si>
  <si>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</si>
  <si>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</si>
  <si>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</si>
  <si>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</si>
  <si>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</si>
  <si>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</si>
  <si>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</si>
  <si>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</si>
  <si>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</si>
  <si>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</si>
  <si>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</si>
  <si>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</si>
  <si>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</si>
  <si>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</si>
  <si>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</si>
  <si>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</si>
  <si>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</si>
  <si>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</si>
  <si>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</si>
  <si>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</si>
  <si>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</si>
  <si>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</si>
  <si>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</si>
  <si>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</si>
  <si>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</si>
  <si>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</si>
  <si>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</si>
  <si>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</si>
  <si>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</si>
  <si>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</si>
  <si>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</si>
  <si>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</si>
  <si>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</si>
  <si>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</si>
  <si>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</si>
  <si>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</si>
  <si>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</si>
  <si>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</si>
  <si>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</si>
  <si>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</si>
  <si>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</si>
  <si>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</si>
  <si>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</si>
  <si>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</si>
  <si>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</si>
  <si>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</si>
  <si>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</si>
  <si>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</si>
  <si>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</si>
  <si>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</si>
  <si>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</si>
  <si>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</si>
  <si>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</si>
  <si>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</si>
  <si>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</si>
  <si>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</si>
  <si>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</si>
  <si>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</si>
  <si>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</si>
  <si>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</si>
  <si>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</si>
  <si>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</si>
  <si>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</si>
  <si>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</si>
  <si>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</si>
  <si>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</si>
  <si>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</si>
  <si>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</si>
  <si>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</si>
  <si>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</si>
  <si>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</si>
  <si>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</si>
  <si>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</si>
  <si>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</si>
  <si>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</si>
  <si>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</si>
  <si>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</si>
  <si>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</si>
  <si>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</si>
  <si>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</si>
  <si>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</si>
  <si>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</si>
  <si>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</si>
  <si>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</si>
  <si>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</si>
  <si>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</si>
  <si>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</si>
  <si>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</si>
  <si>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</si>
  <si>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</si>
  <si>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</si>
  <si>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</si>
  <si>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</si>
  <si>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</si>
  <si>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</si>
  <si>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</si>
  <si>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</si>
  <si>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</si>
  <si>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</si>
  <si>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</si>
  <si>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</si>
  <si>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</si>
  <si>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</si>
  <si>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</si>
  <si>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</si>
  <si>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</si>
  <si>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</si>
  <si>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</si>
  <si>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</si>
  <si>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</si>
  <si>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</si>
  <si>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</si>
  <si>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</si>
  <si>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</si>
  <si>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</si>
  <si>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</si>
  <si>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</si>
  <si>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</si>
  <si>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</si>
  <si>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</si>
  <si>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</si>
  <si>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</si>
  <si>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</si>
  <si>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</si>
  <si>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</si>
  <si>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</si>
  <si>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</si>
  <si>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</si>
  <si>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</si>
  <si>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</si>
  <si>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</si>
  <si>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</si>
  <si>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</si>
  <si>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</si>
  <si>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</si>
  <si>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</si>
  <si>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</si>
  <si>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</si>
  <si>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</si>
  <si>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</si>
  <si>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</si>
  <si>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</si>
  <si>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</si>
  <si>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</si>
  <si>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</si>
  <si>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</si>
  <si>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</si>
  <si>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</si>
  <si>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</si>
  <si>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</si>
  <si>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</si>
  <si>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</si>
  <si>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</si>
  <si>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</si>
  <si>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</si>
  <si>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</si>
  <si>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</si>
  <si>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</si>
  <si>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</si>
  <si>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</si>
  <si>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</si>
  <si>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</si>
  <si>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</si>
  <si>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</si>
  <si>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</si>
  <si>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</si>
  <si>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</si>
  <si>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</si>
  <si>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</si>
  <si>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</si>
  <si>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</si>
  <si>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</si>
  <si>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</si>
  <si>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</si>
  <si>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</si>
  <si>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</si>
  <si>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</si>
  <si>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</si>
  <si>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</si>
  <si>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</si>
  <si>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</si>
  <si>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</si>
  <si>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</si>
  <si>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</si>
  <si>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</si>
  <si>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</si>
  <si>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</si>
  <si>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</si>
  <si>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</si>
  <si>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</si>
  <si>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</si>
  <si>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</si>
  <si>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</si>
  <si>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</si>
  <si>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</si>
  <si>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</si>
  <si>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</si>
  <si>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</si>
  <si>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</si>
  <si>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</si>
  <si>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</si>
  <si>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</si>
  <si>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</si>
  <si>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</si>
  <si>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</si>
  <si>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</si>
  <si>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</si>
  <si>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</si>
  <si>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</si>
  <si>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</si>
  <si>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</si>
  <si>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</si>
  <si>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</si>
  <si>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</si>
  <si>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</si>
  <si>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</si>
  <si>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</si>
  <si>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</si>
  <si>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</si>
  <si>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</si>
  <si>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</si>
  <si>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</si>
  <si>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</si>
  <si>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</si>
  <si>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</si>
  <si>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</si>
  <si>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</si>
  <si>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</si>
  <si>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</si>
  <si>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</si>
  <si>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</si>
  <si>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</si>
  <si>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</si>
  <si>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</si>
  <si>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</si>
  <si>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</si>
  <si>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</si>
  <si>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</si>
  <si>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</si>
  <si>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</si>
  <si>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</si>
  <si>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</si>
  <si>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</si>
  <si>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</si>
  <si>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</si>
  <si>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</si>
  <si>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</si>
  <si>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</si>
  <si>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</si>
  <si>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</si>
  <si>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</si>
  <si>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</si>
  <si>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</si>
  <si>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</si>
  <si>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</si>
  <si>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</si>
  <si>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</si>
  <si>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</si>
  <si>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</si>
  <si>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</si>
  <si>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</si>
  <si>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</si>
  <si>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</si>
  <si>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</si>
  <si>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</si>
  <si>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</si>
  <si>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</si>
  <si>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</si>
  <si>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</si>
  <si>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</si>
  <si>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</si>
  <si>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</si>
  <si>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</si>
  <si>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</si>
  <si>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</si>
  <si>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</si>
  <si>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</si>
  <si>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</si>
  <si>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</si>
  <si>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</si>
  <si>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</si>
  <si>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</si>
  <si>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</si>
  <si>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</si>
  <si>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</si>
  <si>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</si>
  <si>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</si>
  <si>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</si>
  <si>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</si>
  <si>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</si>
  <si>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</si>
  <si>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</si>
  <si>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</si>
  <si>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</si>
  <si>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</si>
  <si>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</si>
  <si>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</si>
  <si>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</si>
  <si>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</si>
  <si>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</si>
  <si>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</si>
  <si>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</si>
  <si>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</si>
  <si>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</si>
  <si>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</si>
  <si>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</si>
  <si>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</si>
  <si>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</si>
  <si>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</si>
  <si>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</si>
  <si>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</si>
  <si>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</si>
  <si>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</si>
  <si>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</si>
  <si>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</si>
  <si>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</si>
  <si>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</si>
  <si>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</si>
  <si>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</si>
  <si>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</si>
  <si>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</si>
  <si>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</si>
  <si>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</si>
  <si>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</si>
  <si>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</si>
  <si>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</si>
  <si>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</si>
  <si>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</si>
  <si>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</si>
  <si>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</si>
  <si>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</si>
  <si>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</si>
  <si>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</si>
  <si>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</si>
  <si>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</si>
  <si>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</si>
  <si>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</si>
  <si>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</si>
  <si>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</si>
  <si>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</si>
  <si>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</si>
  <si>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</si>
  <si>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</si>
  <si>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</si>
  <si>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</si>
  <si>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</si>
  <si>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</si>
  <si>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</si>
  <si>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</si>
  <si>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</si>
  <si>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</si>
  <si>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</si>
  <si>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</si>
  <si>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</si>
  <si>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</si>
  <si>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</si>
  <si>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</si>
  <si>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</si>
  <si>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</si>
  <si>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</si>
  <si>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</si>
  <si>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</si>
  <si>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</si>
  <si>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</si>
  <si>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</si>
  <si>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</si>
  <si>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</si>
  <si>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</si>
  <si>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</si>
  <si>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</si>
  <si>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</si>
  <si>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</si>
  <si>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</si>
  <si>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</si>
  <si>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</si>
  <si>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</si>
  <si>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</si>
  <si>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</si>
  <si>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</si>
  <si>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</si>
  <si>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</si>
  <si>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</si>
  <si>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</si>
  <si>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</si>
  <si>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</si>
  <si>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</si>
  <si>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</si>
  <si>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</si>
  <si>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</si>
  <si>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</si>
  <si>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</si>
  <si>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</si>
  <si>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</si>
  <si>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</si>
  <si>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</si>
  <si>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</si>
  <si>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</si>
  <si>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</si>
  <si>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</si>
  <si>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</si>
  <si>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</si>
  <si>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</si>
  <si>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</si>
  <si>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</si>
  <si>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</si>
  <si>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</si>
  <si>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</si>
  <si>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</si>
  <si>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</si>
  <si>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</si>
  <si>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</si>
  <si>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</si>
  <si>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</si>
  <si>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</si>
  <si>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</si>
  <si>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</si>
  <si>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</si>
  <si>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</si>
  <si>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</si>
  <si>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</si>
  <si>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</si>
  <si>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</si>
  <si>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</si>
  <si>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</si>
  <si>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</si>
  <si>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</si>
  <si>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</si>
  <si>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</si>
  <si>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</si>
  <si>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</si>
  <si>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</si>
  <si>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</si>
  <si>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</si>
  <si>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</si>
  <si>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</si>
  <si>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</si>
  <si>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</si>
  <si>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</si>
  <si>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</si>
  <si>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</si>
  <si>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</si>
  <si>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</si>
  <si>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</si>
  <si>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</si>
  <si>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</si>
  <si>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</si>
  <si>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</si>
  <si>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</si>
  <si>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</si>
  <si>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</si>
  <si>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</si>
  <si>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</si>
  <si>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</si>
  <si>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</si>
  <si>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</si>
  <si>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</si>
  <si>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</si>
  <si>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</si>
  <si>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</si>
  <si>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</si>
  <si>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</si>
  <si>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</si>
  <si>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</si>
  <si>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</si>
  <si>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</si>
  <si>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</si>
  <si>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</si>
  <si>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</si>
  <si>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</si>
  <si>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</si>
  <si>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</si>
  <si>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</si>
  <si>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</si>
  <si>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</si>
  <si>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</si>
  <si>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</si>
  <si>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</si>
  <si>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</si>
  <si>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</si>
  <si>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</si>
  <si>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</si>
  <si>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</si>
  <si>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</si>
  <si>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</si>
  <si>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</si>
  <si>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</si>
  <si>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</si>
  <si>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</si>
  <si>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</si>
  <si>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</si>
  <si>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</si>
  <si>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</si>
  <si>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</si>
  <si>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</si>
  <si>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</si>
  <si>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</si>
  <si>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</si>
  <si>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</si>
  <si>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</si>
  <si>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</si>
  <si>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</si>
  <si>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</si>
  <si>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</si>
  <si>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</si>
  <si>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</si>
  <si>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</si>
  <si>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</si>
  <si>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</si>
  <si>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</si>
  <si>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</si>
  <si>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</si>
  <si>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</si>
  <si>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</si>
  <si>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</si>
  <si>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</si>
  <si>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</si>
  <si>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</si>
  <si>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</si>
  <si>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</si>
  <si>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</si>
  <si>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</si>
  <si>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</si>
  <si>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</si>
  <si>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</si>
  <si>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</si>
  <si>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</si>
  <si>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</si>
  <si>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</si>
  <si>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</si>
  <si>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</si>
  <si>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</si>
  <si>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</si>
  <si>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</si>
  <si>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</si>
  <si>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</si>
  <si>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</si>
  <si>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</si>
  <si>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</si>
  <si>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</si>
  <si>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</si>
  <si>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</si>
  <si>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</si>
  <si>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</si>
  <si>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</si>
  <si>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</si>
  <si>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</si>
  <si>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</si>
  <si>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</si>
  <si>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</si>
  <si>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</si>
  <si>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</si>
  <si>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</si>
  <si>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</si>
  <si>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</si>
  <si>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</si>
  <si>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</si>
  <si>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</si>
  <si>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</si>
  <si>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</si>
  <si>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</si>
  <si>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</si>
  <si>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</si>
  <si>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</si>
  <si>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</si>
  <si>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</si>
  <si>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</si>
  <si>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</si>
  <si>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</si>
  <si>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</si>
  <si>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</si>
  <si>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</si>
  <si>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</si>
  <si>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</si>
  <si>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</si>
  <si>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</si>
  <si>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</si>
  <si>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</si>
  <si>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</si>
  <si>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</si>
  <si>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</si>
  <si>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</si>
  <si>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</si>
  <si>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</si>
  <si>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</si>
  <si>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</si>
  <si>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</si>
  <si>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</si>
  <si>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</si>
  <si>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</si>
  <si>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</si>
  <si>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</si>
  <si>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</si>
  <si>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</si>
  <si>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</si>
  <si>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</si>
  <si>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</si>
  <si>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</si>
  <si>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</si>
  <si>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</si>
  <si>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</si>
  <si>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</si>
  <si>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</si>
  <si>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</si>
  <si>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</si>
  <si>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</si>
  <si>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</si>
  <si>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</si>
  <si>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</si>
  <si>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</si>
  <si>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</si>
  <si>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</si>
  <si>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</si>
  <si>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</si>
  <si>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</si>
  <si>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</si>
  <si>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</si>
  <si>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</si>
  <si>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</si>
  <si>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</si>
  <si>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</si>
  <si>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</si>
  <si>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</si>
  <si>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</si>
  <si>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</si>
  <si>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</si>
  <si>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</si>
  <si>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</si>
  <si>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</si>
  <si>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</si>
  <si>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</si>
  <si>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</si>
  <si>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</si>
  <si>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</si>
  <si>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</si>
  <si>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</si>
  <si>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</si>
  <si>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</si>
  <si>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</si>
  <si>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</si>
  <si>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</si>
  <si>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</si>
  <si>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</si>
  <si>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</si>
  <si>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</si>
  <si>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</si>
  <si>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</si>
  <si>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</si>
  <si>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</si>
  <si>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</si>
  <si>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</si>
  <si>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</si>
  <si>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</si>
  <si>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</si>
  <si>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</si>
  <si>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</si>
  <si>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</si>
  <si>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</si>
  <si>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</si>
  <si>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</si>
  <si>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</si>
  <si>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</si>
  <si>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</si>
  <si>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</si>
  <si>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</si>
  <si>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</si>
  <si>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</si>
  <si>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</si>
  <si>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</si>
  <si>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</si>
  <si>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</si>
  <si>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</si>
  <si>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</si>
  <si>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</si>
  <si>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</si>
  <si>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</si>
  <si>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</si>
  <si>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</si>
  <si>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</si>
  <si>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</si>
  <si>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</si>
  <si>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</si>
  <si>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</si>
  <si>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</si>
  <si>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</si>
  <si>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</si>
  <si>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</si>
  <si>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</si>
  <si>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</si>
  <si>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</si>
  <si>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</si>
  <si>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</si>
  <si>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</si>
  <si>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</si>
  <si>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</si>
  <si>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</si>
  <si>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</si>
  <si>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</si>
  <si>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</si>
  <si>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</si>
  <si>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</si>
  <si>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</si>
  <si>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</si>
  <si>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</si>
  <si>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</si>
  <si>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</si>
  <si>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</si>
  <si>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</si>
  <si>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</si>
  <si>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</si>
  <si>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</si>
  <si>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</si>
  <si>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</si>
  <si>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</si>
  <si>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</si>
  <si>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</si>
  <si>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</si>
  <si>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</si>
  <si>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</si>
  <si>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</si>
  <si>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</si>
  <si>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</si>
  <si>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</si>
  <si>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</si>
  <si>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</si>
  <si>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</si>
  <si>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</si>
  <si>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</si>
  <si>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</si>
  <si>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</si>
  <si>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</si>
  <si>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</si>
  <si>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</si>
  <si>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</si>
  <si>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</si>
  <si>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</si>
  <si>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</si>
  <si>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</si>
  <si>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</si>
  <si>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</si>
  <si>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</si>
  <si>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</si>
  <si>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</si>
  <si>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</si>
  <si>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</si>
  <si>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</si>
  <si>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</si>
  <si>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</si>
  <si>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</si>
  <si>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</si>
  <si>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</si>
  <si>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</si>
  <si>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</si>
  <si>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</si>
  <si>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</si>
  <si>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</si>
  <si>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</si>
  <si>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</si>
  <si>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</si>
  <si>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</si>
  <si>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</si>
  <si>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</si>
  <si>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</si>
  <si>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</si>
  <si>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</si>
  <si>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</si>
  <si>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</si>
  <si>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</si>
  <si>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</si>
  <si>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</si>
  <si>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</si>
  <si>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</si>
  <si>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</si>
  <si>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</si>
  <si>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</si>
  <si>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</si>
  <si>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</si>
  <si>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</si>
  <si>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</si>
  <si>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</si>
  <si>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</si>
  <si>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</si>
  <si>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</si>
  <si>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</si>
  <si>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</si>
  <si>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</si>
  <si>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</si>
  <si>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</si>
  <si>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</si>
  <si>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</si>
  <si>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</si>
  <si>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</si>
  <si>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</si>
  <si>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</si>
  <si>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</si>
  <si>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</si>
  <si>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</si>
  <si>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</si>
  <si>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</si>
  <si>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</si>
  <si>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</si>
  <si>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</si>
  <si>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</si>
  <si>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</si>
  <si>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</si>
  <si>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</si>
  <si>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</si>
  <si>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</si>
  <si>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</si>
  <si>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</si>
  <si>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</si>
  <si>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</si>
  <si>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</si>
  <si>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</si>
  <si>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</si>
  <si>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</si>
  <si>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</si>
  <si>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</si>
  <si>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</si>
  <si>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</si>
  <si>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</si>
  <si>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</si>
  <si>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</si>
  <si>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</si>
  <si>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</si>
  <si>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</si>
  <si>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</si>
  <si>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</si>
  <si>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</si>
  <si>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</si>
  <si>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</si>
  <si>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</si>
  <si>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</si>
  <si>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</si>
  <si>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</si>
  <si>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</si>
  <si>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</si>
  <si>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</si>
  <si>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</si>
  <si>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</si>
  <si>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</si>
  <si>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</si>
  <si>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</si>
  <si>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</si>
  <si>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</si>
  <si>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</si>
  <si>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</si>
  <si>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</si>
  <si>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</si>
  <si>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</si>
  <si>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</si>
  <si>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</si>
  <si>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</si>
  <si>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</si>
  <si>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</si>
  <si>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</si>
  <si>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</si>
  <si>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</si>
  <si>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</si>
  <si>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</si>
  <si>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</si>
  <si>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</si>
  <si>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</si>
  <si>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</si>
  <si>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</si>
  <si>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</si>
  <si>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</si>
  <si>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</si>
  <si>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</si>
  <si>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</si>
  <si>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</si>
  <si>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</si>
  <si>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</si>
  <si>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</si>
  <si>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</si>
  <si>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</si>
  <si>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</si>
  <si>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</si>
  <si>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</si>
  <si>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</si>
  <si>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</si>
  <si>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</si>
  <si>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</si>
  <si>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</si>
  <si>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</si>
  <si>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</si>
  <si>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</si>
  <si>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</si>
  <si>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</si>
  <si>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</si>
  <si>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</si>
  <si>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</si>
  <si>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</si>
  <si>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</si>
  <si>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</si>
  <si>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</si>
  <si>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</si>
  <si>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</si>
  <si>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</si>
  <si>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</si>
  <si>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</si>
  <si>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</si>
  <si>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</si>
  <si>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</si>
  <si>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</si>
  <si>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</si>
  <si>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</si>
  <si>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</si>
  <si>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</si>
  <si>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</si>
  <si>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</si>
  <si>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</si>
  <si>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</si>
  <si>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</si>
  <si>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</si>
  <si>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</si>
  <si>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</si>
  <si>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</si>
  <si>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</si>
  <si>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</si>
  <si>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</si>
  <si>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</si>
  <si>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</si>
  <si>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</si>
  <si>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</si>
  <si>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</si>
  <si>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</si>
  <si>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</si>
  <si>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</si>
  <si>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</si>
  <si>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</si>
  <si>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</si>
  <si>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</si>
  <si>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</si>
  <si>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</si>
  <si>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</si>
  <si>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</si>
  <si>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</si>
  <si>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</si>
  <si>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</si>
  <si>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</si>
  <si>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</si>
  <si>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</si>
  <si>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</si>
  <si>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</si>
  <si>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</si>
  <si>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</si>
  <si>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</si>
  <si>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</si>
  <si>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</si>
  <si>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</si>
  <si>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</si>
  <si>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</si>
  <si>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</si>
  <si>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</si>
  <si>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</si>
  <si>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</si>
  <si>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</si>
  <si>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</si>
  <si>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</si>
  <si>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</si>
  <si>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</si>
  <si>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</si>
  <si>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</si>
  <si>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</si>
  <si>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</si>
  <si>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</si>
  <si>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</si>
  <si>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</si>
  <si>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</si>
  <si>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</si>
  <si>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</si>
  <si>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</si>
  <si>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</si>
  <si>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</si>
  <si>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</si>
  <si>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</si>
  <si>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</si>
  <si>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</si>
  <si>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</si>
  <si>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</si>
  <si>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</si>
  <si>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</si>
  <si>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</si>
  <si>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</si>
  <si>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</si>
  <si>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</si>
  <si>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</si>
  <si>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</si>
  <si>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</si>
  <si>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</si>
  <si>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</si>
  <si>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</si>
  <si>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</si>
  <si>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</si>
  <si>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</si>
  <si>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</si>
  <si>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</si>
  <si>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</si>
  <si>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</si>
  <si>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</si>
  <si>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</si>
  <si>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</si>
  <si>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</si>
  <si>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</si>
  <si>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</si>
  <si>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</si>
  <si>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</si>
  <si>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</si>
  <si>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</si>
  <si>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</si>
  <si>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</si>
  <si>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</si>
  <si>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</si>
  <si>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</si>
  <si>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</si>
  <si>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</si>
  <si>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</si>
  <si>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</si>
  <si>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</si>
  <si>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</si>
  <si>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</si>
  <si>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</si>
  <si>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</si>
  <si>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</si>
  <si>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</si>
  <si>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</si>
  <si>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</si>
  <si>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</si>
  <si>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</si>
  <si>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</si>
  <si>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</si>
  <si>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</si>
  <si>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</si>
  <si>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</si>
  <si>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</si>
  <si>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</si>
  <si>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</si>
  <si>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</si>
  <si>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</si>
  <si>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</si>
  <si>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</si>
  <si>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</si>
  <si>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</si>
  <si>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</si>
  <si>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</si>
  <si>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</si>
  <si>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</si>
  <si>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</si>
  <si>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</si>
  <si>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</si>
  <si>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</si>
  <si>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</si>
  <si>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</si>
  <si>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</si>
  <si>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</si>
  <si>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</si>
  <si>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</si>
  <si>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</si>
  <si>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</si>
  <si>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</si>
  <si>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</si>
  <si>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</si>
  <si>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</si>
  <si>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</si>
  <si>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</si>
  <si>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</si>
  <si>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</si>
  <si>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</si>
  <si>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</si>
  <si>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</si>
  <si>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</si>
  <si>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</si>
  <si>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</si>
  <si>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</si>
  <si>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</si>
  <si>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</si>
  <si>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</si>
  <si>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</si>
  <si>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</si>
  <si>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</si>
  <si>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</si>
  <si>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</si>
  <si>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</si>
  <si>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</si>
  <si>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</si>
  <si>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</si>
  <si>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</si>
  <si>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</si>
  <si>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</si>
  <si>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</si>
  <si>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</si>
  <si>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</si>
  <si>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</si>
  <si>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</si>
  <si>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</si>
  <si>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</si>
  <si>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</si>
  <si>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</si>
  <si>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</si>
  <si>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</si>
  <si>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</si>
  <si>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</si>
  <si>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</si>
  <si>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</si>
  <si>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</si>
  <si>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</si>
  <si>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</si>
  <si>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</si>
  <si>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</si>
  <si>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</si>
  <si>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</si>
  <si>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</si>
  <si>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</si>
  <si>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</si>
  <si>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</si>
  <si>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</si>
  <si>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</si>
  <si>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</si>
  <si>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</si>
  <si>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</si>
  <si>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</si>
  <si>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</si>
  <si>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</si>
  <si>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</si>
  <si>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</si>
  <si>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</si>
  <si>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</si>
  <si>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</si>
  <si>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</si>
  <si>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</si>
  <si>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</si>
  <si>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</si>
  <si>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</si>
  <si>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</si>
  <si>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</si>
  <si>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</si>
  <si>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</si>
  <si>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</si>
  <si>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</si>
  <si>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</si>
  <si>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</si>
  <si>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</si>
  <si>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</si>
  <si>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</si>
  <si>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</si>
  <si>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</si>
  <si>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</si>
  <si>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</si>
  <si>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</si>
  <si>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</si>
  <si>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</si>
  <si>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</si>
  <si>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</si>
  <si>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</si>
  <si>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</si>
  <si>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</si>
  <si>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</si>
  <si>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</si>
  <si>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</si>
  <si>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</si>
  <si>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</si>
  <si>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</si>
  <si>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</si>
  <si>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</si>
  <si>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</si>
  <si>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</si>
  <si>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</si>
  <si>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</si>
  <si>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</si>
  <si>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</si>
  <si>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</si>
  <si>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</si>
  <si>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</si>
  <si>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</si>
  <si>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</si>
  <si>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</si>
  <si>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</si>
  <si>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</si>
  <si>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</si>
  <si>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</si>
  <si>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</si>
  <si>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</si>
  <si>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</si>
  <si>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</si>
  <si>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</si>
  <si>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</si>
  <si>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</si>
  <si>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</si>
  <si>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</si>
  <si>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</si>
  <si>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</si>
  <si>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</si>
  <si>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</si>
  <si>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</si>
  <si>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</si>
  <si>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</si>
  <si>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</si>
  <si>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</si>
  <si>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</si>
  <si>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</si>
  <si>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</si>
  <si>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</si>
  <si>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</si>
  <si>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</si>
  <si>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</si>
  <si>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</si>
  <si>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</si>
  <si>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</si>
  <si>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</si>
  <si>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</si>
  <si>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</si>
  <si>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</si>
  <si>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</si>
  <si>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</si>
  <si>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</si>
  <si>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</si>
  <si>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</si>
  <si>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</si>
  <si>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</si>
  <si>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</si>
  <si>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</si>
  <si>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</si>
  <si>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</si>
  <si>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</si>
  <si>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</si>
  <si>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</si>
  <si>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</si>
  <si>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</si>
  <si>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</si>
  <si>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</si>
  <si>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</si>
  <si>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</si>
  <si>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</si>
  <si>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</si>
  <si>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</si>
  <si>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</si>
  <si>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</si>
  <si>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</si>
  <si>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</si>
  <si>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</si>
  <si>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</si>
  <si>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</si>
  <si>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</si>
  <si>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</si>
  <si>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</si>
  <si>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</si>
  <si>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</si>
  <si>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</si>
  <si>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</si>
  <si>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</si>
  <si>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</si>
  <si>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</si>
  <si>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</si>
  <si>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</si>
  <si>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</si>
  <si>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</si>
  <si>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</si>
  <si>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</si>
  <si>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</si>
  <si>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</si>
  <si>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</si>
  <si>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</si>
  <si>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</si>
  <si>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</si>
  <si>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</si>
  <si>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</si>
  <si>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</si>
  <si>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</si>
  <si>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</si>
  <si>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</si>
  <si>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</si>
  <si>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</si>
  <si>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</si>
  <si>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</si>
  <si>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</si>
  <si>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</si>
  <si>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</si>
  <si>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</si>
  <si>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</si>
  <si>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</si>
  <si>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</si>
  <si>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</si>
  <si>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</si>
  <si>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</si>
  <si>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</si>
  <si>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</si>
  <si>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</si>
  <si>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</si>
  <si>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</si>
  <si>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</si>
  <si>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</si>
  <si>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</si>
  <si>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</si>
  <si>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</si>
  <si>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</si>
  <si>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</si>
  <si>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</si>
  <si>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</si>
  <si>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</si>
  <si>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</si>
  <si>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</si>
  <si>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</si>
  <si>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</si>
  <si>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</si>
  <si>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</si>
  <si>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</si>
  <si>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</si>
  <si>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</si>
  <si>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</si>
  <si>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</si>
  <si>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</si>
  <si>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</si>
  <si>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</si>
  <si>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</si>
  <si>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</si>
  <si>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</si>
  <si>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</si>
  <si>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</si>
  <si>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</si>
  <si>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</si>
  <si>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</si>
  <si>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</si>
  <si>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</si>
  <si>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</si>
  <si>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</si>
  <si>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</si>
  <si>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</si>
  <si>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</si>
  <si>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</si>
  <si>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</si>
  <si>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</si>
  <si>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</si>
  <si>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</si>
  <si>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</si>
  <si>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</si>
  <si>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</si>
  <si>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</si>
  <si>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</si>
  <si>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</si>
  <si>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</si>
  <si>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</si>
  <si>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</si>
  <si>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</si>
  <si>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</si>
  <si>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</si>
  <si>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</si>
  <si>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</si>
  <si>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</si>
  <si>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</si>
  <si>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</si>
  <si>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</si>
  <si>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</si>
  <si>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</si>
  <si>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</si>
  <si>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</si>
  <si>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</si>
  <si>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</si>
  <si>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</si>
  <si>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</si>
  <si>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</si>
  <si>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</si>
  <si>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</si>
  <si>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</si>
  <si>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</si>
  <si>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</si>
  <si>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</si>
  <si>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</si>
  <si>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</si>
  <si>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</si>
  <si>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</si>
  <si>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</si>
  <si>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</si>
  <si>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</si>
  <si>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</si>
  <si>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</si>
  <si>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</si>
  <si>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</si>
  <si>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</si>
  <si>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</si>
  <si>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</si>
  <si>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</si>
  <si>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</si>
  <si>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</si>
  <si>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</si>
  <si>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</si>
  <si>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</si>
  <si>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</si>
  <si>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</si>
  <si>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</si>
  <si>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</si>
  <si>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</si>
  <si>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</si>
  <si>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</si>
  <si>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</si>
  <si>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</si>
  <si>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</si>
  <si>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</si>
  <si>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</si>
  <si>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</si>
  <si>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</si>
  <si>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</si>
  <si>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</si>
  <si>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</si>
  <si>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</si>
  <si>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</si>
  <si>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</si>
  <si>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</si>
  <si>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</si>
  <si>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</si>
  <si>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</si>
  <si>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</si>
  <si>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</si>
  <si>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</si>
  <si>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</si>
  <si>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</si>
  <si>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</si>
  <si>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</si>
  <si>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</si>
  <si>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</si>
  <si>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</si>
  <si>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</si>
  <si>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</si>
  <si>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</si>
  <si>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</si>
  <si>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</si>
  <si>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</si>
  <si>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</si>
  <si>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</si>
  <si>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</si>
  <si>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</si>
  <si>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</si>
  <si>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</si>
  <si>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</si>
  <si>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</si>
  <si>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</si>
  <si>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</si>
  <si>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</si>
  <si>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</si>
  <si>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</si>
  <si>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</si>
  <si>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</si>
  <si>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</si>
  <si>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</si>
  <si>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</si>
  <si>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</si>
  <si>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</si>
  <si>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</si>
  <si>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</si>
  <si>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</si>
  <si>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</si>
  <si>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</si>
  <si>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</si>
  <si>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</si>
  <si>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</si>
  <si>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</si>
  <si>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</si>
  <si>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</si>
  <si>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</si>
  <si>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</si>
  <si>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</si>
  <si>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</si>
  <si>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</si>
  <si>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</si>
  <si>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</si>
  <si>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</si>
  <si>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</si>
  <si>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</si>
  <si>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</si>
  <si>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</si>
  <si>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</si>
  <si>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</si>
  <si>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</si>
  <si>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</si>
  <si>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</si>
  <si>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</si>
  <si>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</si>
  <si>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</si>
  <si>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</si>
  <si>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</si>
  <si>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</si>
  <si>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</si>
  <si>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</si>
  <si>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</si>
  <si>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</si>
  <si>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</si>
  <si>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</si>
  <si>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</si>
  <si>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</si>
  <si>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</si>
  <si>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</si>
  <si>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</si>
  <si>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</si>
  <si>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</si>
  <si>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</si>
  <si>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</si>
  <si>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</si>
  <si>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</si>
  <si>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</si>
  <si>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</si>
  <si>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</si>
  <si>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</si>
  <si>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</si>
  <si>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</si>
  <si>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</si>
  <si>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</si>
  <si>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</si>
  <si>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</si>
  <si>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</si>
  <si>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</si>
  <si>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</si>
  <si>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</si>
  <si>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</si>
  <si>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</si>
  <si>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</si>
  <si>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</si>
  <si>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</si>
  <si>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</si>
  <si>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</si>
  <si>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</si>
  <si>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</si>
  <si>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</si>
  <si>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</si>
  <si>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</si>
  <si>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</si>
  <si>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</si>
  <si>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</si>
  <si>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</si>
  <si>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</si>
  <si>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</si>
  <si>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</si>
  <si>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</si>
  <si>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</si>
  <si>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</si>
  <si>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</si>
  <si>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</si>
  <si>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</si>
  <si>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</si>
  <si>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</si>
  <si>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</si>
  <si>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</si>
  <si>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</si>
  <si>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</si>
  <si>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</si>
  <si>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</si>
  <si>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</si>
  <si>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</si>
  <si>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</si>
  <si>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</si>
  <si>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</si>
  <si>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</si>
  <si>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</si>
  <si>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</si>
  <si>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</si>
  <si>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</si>
  <si>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</si>
  <si>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</si>
  <si>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</si>
  <si>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</si>
  <si>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</si>
  <si>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</si>
  <si>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</si>
  <si>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</si>
  <si>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</si>
  <si>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</si>
  <si>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</si>
  <si>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</si>
  <si>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</si>
  <si>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</si>
  <si>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</si>
  <si>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</si>
  <si>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</si>
  <si>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</si>
  <si>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</si>
  <si>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</si>
  <si>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</si>
  <si>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</si>
  <si>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</si>
  <si>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</si>
  <si>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</si>
  <si>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</si>
  <si>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</si>
  <si>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</si>
  <si>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</si>
  <si>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</si>
  <si>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</si>
  <si>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</si>
  <si>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</si>
  <si>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</si>
  <si>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</si>
  <si>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</si>
  <si>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</si>
  <si>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</si>
  <si>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</si>
  <si>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</si>
  <si>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</si>
  <si>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</si>
  <si>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</si>
  <si>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</si>
  <si>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</si>
  <si>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</si>
  <si>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</si>
  <si>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</si>
  <si>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</si>
  <si>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</si>
  <si>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</si>
  <si>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</si>
  <si>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</si>
  <si>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</si>
  <si>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</si>
  <si>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</si>
  <si>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</si>
  <si>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</si>
  <si>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</si>
  <si>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</si>
  <si>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</si>
  <si>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</si>
  <si>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</si>
  <si>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</si>
  <si>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</si>
  <si>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</si>
  <si>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</si>
  <si>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</si>
  <si>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</si>
  <si>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</si>
  <si>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</si>
  <si>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</si>
  <si>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</si>
  <si>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</si>
  <si>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</si>
  <si>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</si>
  <si>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</si>
  <si>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</si>
  <si>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</si>
  <si>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</si>
  <si>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</si>
  <si>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</si>
  <si>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</si>
  <si>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</si>
  <si>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</si>
  <si>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</si>
  <si>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</si>
  <si>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</si>
  <si>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</si>
  <si>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</si>
  <si>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</si>
  <si>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</si>
  <si>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</si>
  <si>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</si>
  <si>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</si>
  <si>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</si>
  <si>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</si>
  <si>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</si>
  <si>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</si>
  <si>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</si>
  <si>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</si>
  <si>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</si>
  <si>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</si>
  <si>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</si>
  <si>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</si>
  <si>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</si>
  <si>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</si>
  <si>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</si>
  <si>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</si>
  <si>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</si>
  <si>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</si>
  <si>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</si>
  <si>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</si>
  <si>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</si>
  <si>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</si>
  <si>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</si>
  <si>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</si>
  <si>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</si>
  <si>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</si>
  <si>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</si>
  <si>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</si>
  <si>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</si>
  <si>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</si>
  <si>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</si>
  <si>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</si>
  <si>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</si>
  <si>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</si>
  <si>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</si>
  <si>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</si>
  <si>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</si>
  <si>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</si>
  <si>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</si>
  <si>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</si>
  <si>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</si>
  <si>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</si>
  <si>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</si>
  <si>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</si>
  <si>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</si>
  <si>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</si>
  <si>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</si>
  <si>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</si>
  <si>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</si>
  <si>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</si>
  <si>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</si>
  <si>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</si>
  <si>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</si>
  <si>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</si>
  <si>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</si>
  <si>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</si>
  <si>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</si>
  <si>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</si>
  <si>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</si>
  <si>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</si>
  <si>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</si>
  <si>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</si>
  <si>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</si>
  <si>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</si>
  <si>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</si>
  <si>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</si>
  <si>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</si>
  <si>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</si>
  <si>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</si>
  <si>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</si>
  <si>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</si>
  <si>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</si>
  <si>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</si>
  <si>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</si>
  <si>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</si>
  <si>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</si>
  <si>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</si>
  <si>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</si>
  <si>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</si>
  <si>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</si>
  <si>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</si>
  <si>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</si>
  <si>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</si>
  <si>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</si>
  <si>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</si>
  <si>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</si>
  <si>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</si>
  <si>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</si>
  <si>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</si>
  <si>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</si>
  <si>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</si>
  <si>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</si>
  <si>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</si>
  <si>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</si>
  <si>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</si>
  <si>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</si>
  <si>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</si>
  <si>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</si>
  <si>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</si>
  <si>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</si>
  <si>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</si>
  <si>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</si>
  <si>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</si>
  <si>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</si>
  <si>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</si>
  <si>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</si>
  <si>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</si>
  <si>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</si>
  <si>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</si>
  <si>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</si>
  <si>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</si>
  <si>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</si>
  <si>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</si>
  <si>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</si>
  <si>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</si>
  <si>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</si>
  <si>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</si>
  <si>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</si>
  <si>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</si>
  <si>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</si>
  <si>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</si>
  <si>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</si>
  <si>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</si>
  <si>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</si>
  <si>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</si>
  <si>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</si>
  <si>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</si>
  <si>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</si>
  <si>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</si>
  <si>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</si>
  <si>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</si>
  <si>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</si>
  <si>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</si>
  <si>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</si>
  <si>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</si>
  <si>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</si>
  <si>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</si>
  <si>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</si>
  <si>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</si>
  <si>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</si>
  <si>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</si>
  <si>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</si>
  <si>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</si>
  <si>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</si>
  <si>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</si>
  <si>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</si>
  <si>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</si>
  <si>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</si>
  <si>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</si>
  <si>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</si>
  <si>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</si>
  <si>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</si>
  <si>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</si>
  <si>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</si>
  <si>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</si>
  <si>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</si>
  <si>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</si>
  <si>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</si>
  <si>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</si>
  <si>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</si>
  <si>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</si>
  <si>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</si>
  <si>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</si>
  <si>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</si>
  <si>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</si>
  <si>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</si>
  <si>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</si>
  <si>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</si>
  <si>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</si>
  <si>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</si>
  <si>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</si>
  <si>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</si>
  <si>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</si>
  <si>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</si>
  <si>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</si>
  <si>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</si>
  <si>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</si>
  <si>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</si>
  <si>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</si>
  <si>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</si>
  <si>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</si>
  <si>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</si>
  <si>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</si>
  <si>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</si>
  <si>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</si>
  <si>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</si>
  <si>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</si>
  <si>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</si>
  <si>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</si>
  <si>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</si>
  <si>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</si>
  <si>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</si>
  <si>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</si>
  <si>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</si>
  <si>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</si>
  <si>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</si>
  <si>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</si>
  <si>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</si>
  <si>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</si>
  <si>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</si>
  <si>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</si>
  <si>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</si>
  <si>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</si>
  <si>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</si>
  <si>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</si>
  <si>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</si>
  <si>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</si>
  <si>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</si>
  <si>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</si>
  <si>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</si>
  <si>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</si>
  <si>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</si>
  <si>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</si>
  <si>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</si>
  <si>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</si>
  <si>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</si>
  <si>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</si>
  <si>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</si>
  <si>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</si>
  <si>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</si>
  <si>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</si>
  <si>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</si>
  <si>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</si>
  <si>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</si>
  <si>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</si>
  <si>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</si>
  <si>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</si>
  <si>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</si>
  <si>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</si>
  <si>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</si>
  <si>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</si>
  <si>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</si>
  <si>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</si>
  <si>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</si>
  <si>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</si>
  <si>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</si>
  <si>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</si>
  <si>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</si>
  <si>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</si>
  <si>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</si>
  <si>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</si>
  <si>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</si>
  <si>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</si>
  <si>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</si>
  <si>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</si>
  <si>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</si>
  <si>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</si>
  <si>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</si>
  <si>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</si>
  <si>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</si>
  <si>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</si>
  <si>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</si>
  <si>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</si>
  <si>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</si>
  <si>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</si>
  <si>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</si>
  <si>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</si>
  <si>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</si>
  <si>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</si>
  <si>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</si>
  <si>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</si>
  <si>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</si>
  <si>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</si>
  <si>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</si>
  <si>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</si>
  <si>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</si>
  <si>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</si>
  <si>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</si>
  <si>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</si>
  <si>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</si>
  <si>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</si>
  <si>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</si>
  <si>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</si>
  <si>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</si>
  <si>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</si>
  <si>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</si>
  <si>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</si>
  <si>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</si>
  <si>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</si>
  <si>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</si>
  <si>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</si>
  <si>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</si>
  <si>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</si>
  <si>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</si>
  <si>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</si>
  <si>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</si>
  <si>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</si>
  <si>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</si>
  <si>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</si>
  <si>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</si>
  <si>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</si>
  <si>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</si>
  <si>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</si>
  <si>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</si>
  <si>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</si>
  <si>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</si>
  <si>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</si>
  <si>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</si>
  <si>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</si>
  <si>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</si>
  <si>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</si>
  <si>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</si>
  <si>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</si>
  <si>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</si>
  <si>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</si>
  <si>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</si>
  <si>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</si>
  <si>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</si>
  <si>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</si>
  <si>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</si>
  <si>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</si>
  <si>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</si>
  <si>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</si>
  <si>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</si>
  <si>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</si>
  <si>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</si>
  <si>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</si>
  <si>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</si>
  <si>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</si>
  <si>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</si>
  <si>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</si>
  <si>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</si>
  <si>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</si>
  <si>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</si>
  <si>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</si>
  <si>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</si>
  <si>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</si>
  <si>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</si>
  <si>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</si>
  <si>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</si>
  <si>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</si>
  <si>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</si>
  <si>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</si>
  <si>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</si>
  <si>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</si>
  <si>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</si>
  <si>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</si>
  <si>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</si>
  <si>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</si>
  <si>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</si>
  <si>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</si>
  <si>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</si>
  <si>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</si>
  <si>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</si>
  <si>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</si>
  <si>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</si>
  <si>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</si>
  <si>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</si>
  <si>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</si>
  <si>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</si>
  <si>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</si>
  <si>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</si>
  <si>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</si>
  <si>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</si>
  <si>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</si>
  <si>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</si>
  <si>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</si>
  <si>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</si>
  <si>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</si>
  <si>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</si>
  <si>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</si>
  <si>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</si>
  <si>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</si>
  <si>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</si>
  <si>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</si>
  <si>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</si>
  <si>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</si>
  <si>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</si>
  <si>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</si>
  <si>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</si>
  <si>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</si>
  <si>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</si>
  <si>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</si>
  <si>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</si>
  <si>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</si>
  <si>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</si>
  <si>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</si>
  <si>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</si>
  <si>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</si>
  <si>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</si>
  <si>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</si>
  <si>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</si>
  <si>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</si>
  <si>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</si>
  <si>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</si>
  <si>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</si>
  <si>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</si>
  <si>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</si>
  <si>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</si>
  <si>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</si>
  <si>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</si>
  <si>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</si>
  <si>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</si>
  <si>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</si>
  <si>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</si>
  <si>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</si>
  <si>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</si>
  <si>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</si>
  <si>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</si>
  <si>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</si>
  <si>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</si>
  <si>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</si>
  <si>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</si>
  <si>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</si>
  <si>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</si>
  <si>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</si>
  <si>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</si>
  <si>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</si>
  <si>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</si>
  <si>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</si>
  <si>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</si>
  <si>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</si>
  <si>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</si>
  <si>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</si>
  <si>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</si>
  <si>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</si>
  <si>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</si>
  <si>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</si>
  <si>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</si>
  <si>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</si>
  <si>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</si>
  <si>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</si>
  <si>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</si>
  <si>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</si>
  <si>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</si>
  <si>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</si>
  <si>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</si>
  <si>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</si>
  <si>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</si>
  <si>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</si>
  <si>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</si>
  <si>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</si>
  <si>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</si>
  <si>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</si>
  <si>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</si>
  <si>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</si>
  <si>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</si>
  <si>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</si>
  <si>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</si>
  <si>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</si>
  <si>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</si>
  <si>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</si>
  <si>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</si>
  <si>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</si>
  <si>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</si>
  <si>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</si>
  <si>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</si>
  <si>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</si>
  <si>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</si>
  <si>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</si>
  <si>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</si>
  <si>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</si>
  <si>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</si>
  <si>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</si>
  <si>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</si>
  <si>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</si>
  <si>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</si>
  <si>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</si>
  <si>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</si>
  <si>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</si>
  <si>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</si>
  <si>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</si>
  <si>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</si>
  <si>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</si>
  <si>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</si>
  <si>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</si>
  <si>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</si>
  <si>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</si>
  <si>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</si>
  <si>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</si>
  <si>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</si>
  <si>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</si>
  <si>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</si>
  <si>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</si>
  <si>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</si>
  <si>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</si>
  <si>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</si>
  <si>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</si>
  <si>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</si>
  <si>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</si>
  <si>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</si>
  <si>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</si>
  <si>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</si>
  <si>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</si>
  <si>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</si>
  <si>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</si>
  <si>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</si>
  <si>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</si>
  <si>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</si>
  <si>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</si>
  <si>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</si>
  <si>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</si>
  <si>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</si>
  <si>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</si>
  <si>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</si>
  <si>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</si>
  <si>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</si>
  <si>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</si>
  <si>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</si>
  <si>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</si>
  <si>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</si>
  <si>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</si>
  <si>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</si>
  <si>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</si>
  <si>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</si>
  <si>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</si>
  <si>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</si>
  <si>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</si>
  <si>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</si>
  <si>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</si>
  <si>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</si>
  <si>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</si>
  <si>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</si>
  <si>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</si>
  <si>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</si>
  <si>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</si>
  <si>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</si>
  <si>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</si>
  <si>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</si>
  <si>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</si>
  <si>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</si>
  <si>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</si>
  <si>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</si>
  <si>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</si>
  <si>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</si>
  <si>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</si>
  <si>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</si>
  <si>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</si>
  <si>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</si>
  <si>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</si>
  <si>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</si>
  <si>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</si>
  <si>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</si>
  <si>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</si>
  <si>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</si>
  <si>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</si>
  <si>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</si>
  <si>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</si>
  <si>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</si>
  <si>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</si>
  <si>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</si>
  <si>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</si>
  <si>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</si>
  <si>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</si>
  <si>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</si>
  <si>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</si>
  <si>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</si>
  <si>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</si>
  <si>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</si>
  <si>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</si>
  <si>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</si>
  <si>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</si>
  <si>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</si>
  <si>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</si>
  <si>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</si>
  <si>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</si>
  <si>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</si>
  <si>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</si>
  <si>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</si>
  <si>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</si>
  <si>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</si>
  <si>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</si>
  <si>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</si>
  <si>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</si>
  <si>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</si>
  <si>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</si>
  <si>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</si>
  <si>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</si>
  <si>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</si>
  <si>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</si>
  <si>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</si>
  <si>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</si>
  <si>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</si>
  <si>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</si>
  <si>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</si>
  <si>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</si>
  <si>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</si>
  <si>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</si>
  <si>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</si>
  <si>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</si>
  <si>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</si>
  <si>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</si>
  <si>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</si>
  <si>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</si>
  <si>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</si>
  <si>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</si>
  <si>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</si>
  <si>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</si>
  <si>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</si>
  <si>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</si>
  <si>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</si>
  <si>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</si>
  <si>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</si>
  <si>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</si>
  <si>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</si>
  <si>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</si>
  <si>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</si>
  <si>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</si>
  <si>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</si>
  <si>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</si>
  <si>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</si>
  <si>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</si>
  <si>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</si>
  <si>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</si>
  <si>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</si>
  <si>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</si>
  <si>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</si>
  <si>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</si>
  <si>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</si>
  <si>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</si>
  <si>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</si>
  <si>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</si>
  <si>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</si>
  <si>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</si>
  <si>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</si>
  <si>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</si>
  <si>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</si>
  <si>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</si>
  <si>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</si>
  <si>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</si>
  <si>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</si>
  <si>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</si>
  <si>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</si>
  <si>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</si>
  <si>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</si>
  <si>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</si>
  <si>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</si>
  <si>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</si>
  <si>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</si>
  <si>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</si>
  <si>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</si>
  <si>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</si>
  <si>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</si>
  <si>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</si>
  <si>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</si>
  <si>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</si>
  <si>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</si>
  <si>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</si>
  <si>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</si>
  <si>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</si>
  <si>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</si>
  <si>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</si>
  <si>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</si>
  <si>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</si>
  <si>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</si>
  <si>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</si>
  <si>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</si>
  <si>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</si>
  <si>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</si>
  <si>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</si>
  <si>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</si>
  <si>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</si>
  <si>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</si>
  <si>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</si>
  <si>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</si>
  <si>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</si>
  <si>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</si>
  <si>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</si>
  <si>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</si>
  <si>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</si>
  <si>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</si>
  <si>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</si>
  <si>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</si>
  <si>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</si>
  <si>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</si>
  <si>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</si>
  <si>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</si>
  <si>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</si>
  <si>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</si>
  <si>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</si>
  <si>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</si>
  <si>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</si>
  <si>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</si>
  <si>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</si>
  <si>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</si>
  <si>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</si>
  <si>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</si>
  <si>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</si>
  <si>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</si>
  <si>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</si>
  <si>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</si>
  <si>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</si>
  <si>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</si>
  <si>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</si>
  <si>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</si>
  <si>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</si>
  <si>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</si>
  <si>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</si>
  <si>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</si>
  <si>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</si>
  <si>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</si>
  <si>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</si>
  <si>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</si>
  <si>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</si>
  <si>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</si>
  <si>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</si>
  <si>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</si>
  <si>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</si>
  <si>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</si>
  <si>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</si>
  <si>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</si>
  <si>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</si>
  <si>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</si>
  <si>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</si>
  <si>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</si>
  <si>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</si>
  <si>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</si>
  <si>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</si>
  <si>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</si>
  <si>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</si>
  <si>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</si>
  <si>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</si>
  <si>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</si>
  <si>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</si>
  <si>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</si>
  <si>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</si>
  <si>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</si>
  <si>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</si>
  <si>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</si>
  <si>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</si>
  <si>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</si>
  <si>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</si>
  <si>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</si>
  <si>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</si>
  <si>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</si>
  <si>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</si>
  <si>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</si>
  <si>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</si>
  <si>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</si>
  <si>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</si>
  <si>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</si>
  <si>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</si>
  <si>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</si>
  <si>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</si>
  <si>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</si>
  <si>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</si>
  <si>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</si>
  <si>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</si>
  <si>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</si>
  <si>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</si>
  <si>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</si>
  <si>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</si>
  <si>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</si>
  <si>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</si>
  <si>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</si>
  <si>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</si>
  <si>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</si>
  <si>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</si>
  <si>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</si>
  <si>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</si>
  <si>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</si>
  <si>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</si>
  <si>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</si>
  <si>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</si>
  <si>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</si>
  <si>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</si>
  <si>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</si>
  <si>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</si>
  <si>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</si>
  <si>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</si>
  <si>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</si>
  <si>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</si>
  <si>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</si>
  <si>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</si>
  <si>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</si>
  <si>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</si>
  <si>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</si>
  <si>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</si>
  <si>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</si>
  <si>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</si>
  <si>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</si>
  <si>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</si>
  <si>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</si>
  <si>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</si>
  <si>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</si>
  <si>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</si>
  <si>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</si>
  <si>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</si>
  <si>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</si>
  <si>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</si>
  <si>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</si>
  <si>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</si>
  <si>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</si>
  <si>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</si>
  <si>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</si>
  <si>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</si>
  <si>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</si>
  <si>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</si>
  <si>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</si>
  <si>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</si>
  <si>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</si>
  <si>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</si>
  <si>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</si>
  <si>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</si>
  <si>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</si>
  <si>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</si>
  <si>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</si>
  <si>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</si>
  <si>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</si>
  <si>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</si>
  <si>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</si>
  <si>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</si>
  <si>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</si>
  <si>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</si>
  <si>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</si>
  <si>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</si>
  <si>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</si>
  <si>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</si>
  <si>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</si>
  <si>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</si>
  <si>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</si>
  <si>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</si>
  <si>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</si>
  <si>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</si>
  <si>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</si>
  <si>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</si>
  <si>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</si>
  <si>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</si>
  <si>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</si>
  <si>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</si>
  <si>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</si>
  <si>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</si>
  <si>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</si>
  <si>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</si>
  <si>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</si>
  <si>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</si>
  <si>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</si>
  <si>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</si>
  <si>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</si>
  <si>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</si>
  <si>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</si>
  <si>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</si>
  <si>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</si>
  <si>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</si>
  <si>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</si>
  <si>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</si>
  <si>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</si>
  <si>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</si>
  <si>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</si>
  <si>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</si>
  <si>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</si>
  <si>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</si>
  <si>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</si>
  <si>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</si>
  <si>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</si>
  <si>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</si>
  <si>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</si>
  <si>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</si>
  <si>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</si>
  <si>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</si>
  <si>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</si>
  <si>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</si>
  <si>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</si>
  <si>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</si>
  <si>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</si>
  <si>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</si>
  <si>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</si>
  <si>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</si>
  <si>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</si>
  <si>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</si>
  <si>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</si>
  <si>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</si>
  <si>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</si>
  <si>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</si>
  <si>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</si>
  <si>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</si>
  <si>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</si>
  <si>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</si>
  <si>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</si>
  <si>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</si>
  <si>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</si>
  <si>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</si>
  <si>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</si>
  <si>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</si>
  <si>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</si>
  <si>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</si>
  <si>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</si>
  <si>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</si>
  <si>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</si>
  <si>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</si>
  <si>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</si>
  <si>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</si>
  <si>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</si>
  <si>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</si>
  <si>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</si>
  <si>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</si>
  <si>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</si>
  <si>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</si>
  <si>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</si>
  <si>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</si>
  <si>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</si>
  <si>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</si>
  <si>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</si>
  <si>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</si>
  <si>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</si>
  <si>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</si>
  <si>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</si>
  <si>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</si>
  <si>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</si>
  <si>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</si>
  <si>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</si>
  <si>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</si>
  <si>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</si>
  <si>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</si>
  <si>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</si>
  <si>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</si>
  <si>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</si>
  <si>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</si>
  <si>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</si>
  <si>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</si>
  <si>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</si>
  <si>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</si>
  <si>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</si>
  <si>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</si>
  <si>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</si>
  <si>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</si>
  <si>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</si>
  <si>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</si>
  <si>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</si>
  <si>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</si>
  <si>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</si>
  <si>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</si>
  <si>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</si>
  <si>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</si>
  <si>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</si>
  <si>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</si>
  <si>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</si>
  <si>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</si>
  <si>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</si>
  <si>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</si>
  <si>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</si>
  <si>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</si>
  <si>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</si>
  <si>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</si>
  <si>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</si>
  <si>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</si>
  <si>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</si>
  <si>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</si>
  <si>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</si>
  <si>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</si>
  <si>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</si>
  <si>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</si>
  <si>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</si>
  <si>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</si>
  <si>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</si>
  <si>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</si>
  <si>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</si>
  <si>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</si>
  <si>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</si>
  <si>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</si>
  <si>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</si>
  <si>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</si>
  <si>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</si>
  <si>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</si>
  <si>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</si>
  <si>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</si>
  <si>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</si>
  <si>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</si>
  <si>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</si>
  <si>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</si>
  <si>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</si>
  <si>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</si>
  <si>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</si>
  <si>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</si>
  <si>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</si>
  <si>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</si>
  <si>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</si>
  <si>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</si>
  <si>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</si>
  <si>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</si>
  <si>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</si>
  <si>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</si>
  <si>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</si>
  <si>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</si>
  <si>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</si>
  <si>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</si>
  <si>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</si>
  <si>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</si>
  <si>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</si>
  <si>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</si>
  <si>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</si>
  <si>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</si>
  <si>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</si>
  <si>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</si>
  <si>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</si>
  <si>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</si>
  <si>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</si>
  <si>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</si>
  <si>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</si>
  <si>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</si>
  <si>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</si>
  <si>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</si>
  <si>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</si>
  <si>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</si>
  <si>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</si>
  <si>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</si>
  <si>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</si>
  <si>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</si>
  <si>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</si>
  <si>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</si>
  <si>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</si>
  <si>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</si>
  <si>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</si>
  <si>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</si>
  <si>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</si>
  <si>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</si>
  <si>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</si>
  <si>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</si>
  <si>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</si>
  <si>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</si>
  <si>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</si>
  <si>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</si>
  <si>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</si>
  <si>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</si>
  <si>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</si>
  <si>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</si>
  <si>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</si>
  <si>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</si>
  <si>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</si>
  <si>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</si>
  <si>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</si>
  <si>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</si>
  <si>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</si>
  <si>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</si>
  <si>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</si>
  <si>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</si>
  <si>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</si>
  <si>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</si>
  <si>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</si>
  <si>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</si>
  <si>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</si>
  <si>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</si>
  <si>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</si>
  <si>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</si>
  <si>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</si>
  <si>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</si>
  <si>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</si>
  <si>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</si>
  <si>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</si>
  <si>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</si>
  <si>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</si>
  <si>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</si>
  <si>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</si>
  <si>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</si>
  <si>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</si>
  <si>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</si>
  <si>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</si>
  <si>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</si>
  <si>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</si>
  <si>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</si>
  <si>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</si>
  <si>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</si>
  <si>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</si>
  <si>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</si>
  <si>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</si>
  <si>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</si>
  <si>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</si>
  <si>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</si>
  <si>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</si>
  <si>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</si>
  <si>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</si>
  <si>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</si>
  <si>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</si>
  <si>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</si>
  <si>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</si>
  <si>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</si>
  <si>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</si>
  <si>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</si>
  <si>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</si>
  <si>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</si>
  <si>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</si>
  <si>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</si>
  <si>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</si>
  <si>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</si>
  <si>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</si>
  <si>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</si>
  <si>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</si>
  <si>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</si>
  <si>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</si>
  <si>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</si>
  <si>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</si>
  <si>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</si>
  <si>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</si>
  <si>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</si>
  <si>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</si>
  <si>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</si>
  <si>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</si>
  <si>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</si>
  <si>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</si>
  <si>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</si>
  <si>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</si>
  <si>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</si>
  <si>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</si>
  <si>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</si>
  <si>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</si>
  <si>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</si>
  <si>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</si>
  <si>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</si>
  <si>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</si>
  <si>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</si>
  <si>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</si>
  <si>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</si>
  <si>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</si>
  <si>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</si>
  <si>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</si>
  <si>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</si>
  <si>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</si>
  <si>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</si>
  <si>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</si>
  <si>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</si>
  <si>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</si>
  <si>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</si>
  <si>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</si>
  <si>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</si>
  <si>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</si>
  <si>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</si>
  <si>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</si>
  <si>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</si>
  <si>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</si>
  <si>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</si>
  <si>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</si>
  <si>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</si>
  <si>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</si>
  <si>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</si>
  <si>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</si>
  <si>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</si>
  <si>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</si>
  <si>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</si>
  <si>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</si>
  <si>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</si>
  <si>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</si>
  <si>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</si>
  <si>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</si>
  <si>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</si>
  <si>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</si>
  <si>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</si>
  <si>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</si>
  <si>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</si>
  <si>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</si>
  <si>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</si>
  <si>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</si>
  <si>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</si>
  <si>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</si>
  <si>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</si>
  <si>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</si>
  <si>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</si>
  <si>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</si>
  <si>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</si>
  <si>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</si>
  <si>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</si>
  <si>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</si>
  <si>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</si>
  <si>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</si>
  <si>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</si>
  <si>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</si>
  <si>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</si>
  <si>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</si>
  <si>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</si>
  <si>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</si>
  <si>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</si>
  <si>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</si>
  <si>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</si>
  <si>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</si>
  <si>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</si>
  <si>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</si>
  <si>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</si>
  <si>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</si>
  <si>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</si>
  <si>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</si>
  <si>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</si>
  <si>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</si>
  <si>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</si>
  <si>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</si>
  <si>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</si>
  <si>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</si>
  <si>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</si>
  <si>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</si>
  <si>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</si>
  <si>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</si>
  <si>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</si>
  <si>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</si>
  <si>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</si>
  <si>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</si>
  <si>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</si>
  <si>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</si>
  <si>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</si>
  <si>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</si>
  <si>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</si>
  <si>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</si>
  <si>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</si>
  <si>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</si>
  <si>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</si>
  <si>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</si>
  <si>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</si>
  <si>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</si>
  <si>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</si>
  <si>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</si>
  <si>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</si>
  <si>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</si>
  <si>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</si>
  <si>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</si>
  <si>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</si>
  <si>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</si>
  <si>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</si>
  <si>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</si>
  <si>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</si>
  <si>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</si>
  <si>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</si>
  <si>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</si>
  <si>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</si>
  <si>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</si>
  <si>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</si>
  <si>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</si>
  <si>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</si>
  <si>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</si>
  <si>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</si>
  <si>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</si>
  <si>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</si>
  <si>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</si>
  <si>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</si>
  <si>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</si>
  <si>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</si>
  <si>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</si>
  <si>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</si>
  <si>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</si>
  <si>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</si>
  <si>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</si>
  <si>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</si>
  <si>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</si>
  <si>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</si>
  <si>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</si>
  <si>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</si>
  <si>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</si>
  <si>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</si>
  <si>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</si>
  <si>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</si>
  <si>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</si>
  <si>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</si>
  <si>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</si>
  <si>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</si>
  <si>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</si>
  <si>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</si>
  <si>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</si>
  <si>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</si>
  <si>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</si>
  <si>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</si>
  <si>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</si>
  <si>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</si>
  <si>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</si>
  <si>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</si>
  <si>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</si>
  <si>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</si>
  <si>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</si>
  <si>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</si>
  <si>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</si>
  <si>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</si>
  <si>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</si>
  <si>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</si>
  <si>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</si>
  <si>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</si>
  <si>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</si>
  <si>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</si>
  <si>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</si>
  <si>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</si>
  <si>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</si>
  <si>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</si>
  <si>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</si>
  <si>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</si>
  <si>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</si>
  <si>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</si>
  <si>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</si>
  <si>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</si>
  <si>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</si>
  <si>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</si>
  <si>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</si>
  <si>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</si>
  <si>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</si>
  <si>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</si>
  <si>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</si>
  <si>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</si>
  <si>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</si>
  <si>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</si>
  <si>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</si>
  <si>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</si>
  <si>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</si>
  <si>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</si>
  <si>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</si>
  <si>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</si>
  <si>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</si>
  <si>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</si>
  <si>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</si>
  <si>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</si>
  <si>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</si>
  <si>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</si>
  <si>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</si>
  <si>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</si>
  <si>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</si>
  <si>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</si>
  <si>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</si>
  <si>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</si>
  <si>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</si>
  <si>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</si>
  <si>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</si>
  <si>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</si>
  <si>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</si>
  <si>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</si>
  <si>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</si>
  <si>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</si>
  <si>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</si>
  <si>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</si>
  <si>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</si>
  <si>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</si>
  <si>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</si>
  <si>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</si>
  <si>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</si>
  <si>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</si>
  <si>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</si>
  <si>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</si>
  <si>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</si>
  <si>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</si>
  <si>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</si>
  <si>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</si>
  <si>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</si>
  <si>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</si>
  <si>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</si>
  <si>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</si>
  <si>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</si>
  <si>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</si>
  <si>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</si>
  <si>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</si>
  <si>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</si>
  <si>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</si>
  <si>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</si>
  <si>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</si>
  <si>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</si>
  <si>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</si>
  <si>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</si>
  <si>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</si>
  <si>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</si>
  <si>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</si>
  <si>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</si>
  <si>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</si>
  <si>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</si>
  <si>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</si>
  <si>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</si>
  <si>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</si>
  <si>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</si>
  <si>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</si>
  <si>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</si>
  <si>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</si>
  <si>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</si>
  <si>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</si>
  <si>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</si>
  <si>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</si>
  <si>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</si>
  <si>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</si>
  <si>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</si>
  <si>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</si>
  <si>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</si>
  <si>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</si>
  <si>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</si>
  <si>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</si>
  <si>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</si>
  <si>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</si>
  <si>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</si>
  <si>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</si>
  <si>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</si>
  <si>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</si>
  <si>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</si>
  <si>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</si>
  <si>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</si>
  <si>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</si>
  <si>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</si>
  <si>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</si>
  <si>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</si>
  <si>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</si>
  <si>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</si>
  <si>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</si>
  <si>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</si>
  <si>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</si>
  <si>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</si>
  <si>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</si>
  <si>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</si>
  <si>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</si>
  <si>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</si>
  <si>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</si>
  <si>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</si>
  <si>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</si>
  <si>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</si>
  <si>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</si>
  <si>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</si>
  <si>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</si>
  <si>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</si>
  <si>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</si>
  <si>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</si>
  <si>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</si>
  <si>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</si>
  <si>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</si>
  <si>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</si>
  <si>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</si>
  <si>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</si>
  <si>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</si>
  <si>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</si>
  <si>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</si>
  <si>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</si>
  <si>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</si>
  <si>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</si>
  <si>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</si>
  <si>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</si>
  <si>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</si>
  <si>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</si>
  <si>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</si>
  <si>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</si>
  <si>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</si>
  <si>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</si>
  <si>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</si>
  <si>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</si>
  <si>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</si>
  <si>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</si>
  <si>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</si>
  <si>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</si>
  <si>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</si>
  <si>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</si>
  <si>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</si>
  <si>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</si>
  <si>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</si>
  <si>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</si>
  <si>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</si>
  <si>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</si>
  <si>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</si>
  <si>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</si>
  <si>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</si>
  <si>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</si>
  <si>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</si>
  <si>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</si>
  <si>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</si>
  <si>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</si>
  <si>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</si>
  <si>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</si>
  <si>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</si>
  <si>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</si>
  <si>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</si>
  <si>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</si>
  <si>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</si>
  <si>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</si>
  <si>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</si>
  <si>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</si>
  <si>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</si>
  <si>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</si>
  <si>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</si>
  <si>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</si>
  <si>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</si>
  <si>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</si>
  <si>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</si>
  <si>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</si>
  <si>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</si>
  <si>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</si>
  <si>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</si>
  <si>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</si>
  <si>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</si>
  <si>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</si>
  <si>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</si>
  <si>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</si>
  <si>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</si>
  <si>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</si>
  <si>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</si>
  <si>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</si>
  <si>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</si>
  <si>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</si>
  <si>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</si>
  <si>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</si>
  <si>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</si>
  <si>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</si>
  <si>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</si>
  <si>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</si>
  <si>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</si>
  <si>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</si>
  <si>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</si>
  <si>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</si>
  <si>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</si>
  <si>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</si>
  <si>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</si>
  <si>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</si>
  <si>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</si>
  <si>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</si>
  <si>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</si>
  <si>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</si>
  <si>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</si>
  <si>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</si>
  <si>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</si>
  <si>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</si>
  <si>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</si>
  <si>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</si>
  <si>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</si>
  <si>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</si>
  <si>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</si>
  <si>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</si>
  <si>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</si>
  <si>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</si>
  <si>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</si>
  <si>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</si>
  <si>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</si>
  <si>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</si>
  <si>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</si>
  <si>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</si>
  <si>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</si>
  <si>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</si>
  <si>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</si>
  <si>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</si>
  <si>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</si>
  <si>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</si>
  <si>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</si>
  <si>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</si>
  <si>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</si>
  <si>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</si>
  <si>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</si>
  <si>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</si>
  <si>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</si>
  <si>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</si>
  <si>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</si>
  <si>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</si>
  <si>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</si>
  <si>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</si>
  <si>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</si>
  <si>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</si>
  <si>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</si>
  <si>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</si>
  <si>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</si>
  <si>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</si>
  <si>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</si>
  <si>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</si>
  <si>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</si>
  <si>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</si>
  <si>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</si>
  <si>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</si>
  <si>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</si>
  <si>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</si>
  <si>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</si>
  <si>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</si>
  <si>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</si>
  <si>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</si>
  <si>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</si>
  <si>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</si>
  <si>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</si>
  <si>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</si>
  <si>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</si>
  <si>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</si>
  <si>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</si>
  <si>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</si>
  <si>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抵押</t>
  </si>
  <si>
    <t>房地产抵押价值</t>
  </si>
  <si>
    <t>北京市</t>
  </si>
  <si>
    <t>商业项目</t>
  </si>
  <si>
    <t>无</t>
  </si>
  <si>
    <t>否</t>
  </si>
  <si>
    <t>现房</t>
  </si>
  <si>
    <t>是</t>
  </si>
  <si>
    <t>地上</t>
  </si>
  <si>
    <t>成新度</t>
  </si>
  <si>
    <t>收益法 (元)</t>
  </si>
  <si>
    <t>自定义容积率</t>
  </si>
  <si>
    <t>不临65条商业街</t>
  </si>
  <si>
    <t>与级别开发程度不一致</t>
  </si>
  <si>
    <t>通路</t>
  </si>
  <si>
    <t>通电</t>
  </si>
  <si>
    <t>通讯</t>
  </si>
  <si>
    <t>通上水</t>
  </si>
  <si>
    <t>通下水</t>
  </si>
  <si>
    <t>燃气</t>
  </si>
  <si>
    <t>平整</t>
  </si>
  <si>
    <t>较好</t>
  </si>
  <si>
    <t>一般</t>
  </si>
  <si>
    <t>较差</t>
  </si>
  <si>
    <t>未包含在土地购买价格中</t>
  </si>
  <si>
    <t>已包含在土地取得成本中</t>
  </si>
  <si>
    <t>押一</t>
  </si>
  <si>
    <t>钢混</t>
  </si>
  <si>
    <t>非生产用房</t>
  </si>
  <si>
    <t>需求</t>
    <phoneticPr fontId="8" type="noConversion"/>
  </si>
  <si>
    <t>总价</t>
    <phoneticPr fontId="8" type="noConversion"/>
  </si>
  <si>
    <t>单价</t>
    <phoneticPr fontId="8" type="noConversion"/>
  </si>
  <si>
    <t>好</t>
  </si>
  <si>
    <t>楼层修正</t>
  </si>
  <si>
    <t>楼面单价</t>
  </si>
  <si>
    <t>商业一层</t>
  </si>
  <si>
    <t>商业一层</t>
    <phoneticPr fontId="7" type="noConversion"/>
  </si>
  <si>
    <t>商业二层</t>
  </si>
  <si>
    <t>商业二层</t>
    <phoneticPr fontId="7" type="noConversion"/>
  </si>
  <si>
    <t>企业</t>
  </si>
  <si>
    <t>商业</t>
    <phoneticPr fontId="30" type="noConversion"/>
  </si>
  <si>
    <t>正常</t>
  </si>
  <si>
    <t>临街</t>
  </si>
  <si>
    <t>临街</t>
    <phoneticPr fontId="30" type="noConversion"/>
  </si>
  <si>
    <t>不临街</t>
  </si>
  <si>
    <t>不临街</t>
    <phoneticPr fontId="30" type="noConversion"/>
  </si>
  <si>
    <t>差</t>
  </si>
  <si>
    <r>
      <t>1</t>
    </r>
    <r>
      <rPr>
        <sz val="11"/>
        <color indexed="8"/>
        <rFont val="宋体"/>
        <family val="3"/>
        <charset val="134"/>
      </rPr>
      <t>层</t>
    </r>
    <phoneticPr fontId="30" type="noConversion"/>
  </si>
  <si>
    <t>简装</t>
  </si>
  <si>
    <t>简装</t>
    <phoneticPr fontId="30" type="noConversion"/>
  </si>
  <si>
    <t>精装</t>
  </si>
  <si>
    <t>精装</t>
    <phoneticPr fontId="30" type="noConversion"/>
  </si>
  <si>
    <t>毛坯</t>
  </si>
  <si>
    <t>毛坯</t>
    <phoneticPr fontId="30" type="noConversion"/>
  </si>
  <si>
    <t>全业态</t>
  </si>
  <si>
    <t>全业态</t>
    <phoneticPr fontId="30" type="noConversion"/>
  </si>
  <si>
    <t>不可餐饮</t>
  </si>
  <si>
    <t>不可餐饮</t>
    <phoneticPr fontId="30" type="noConversion"/>
  </si>
  <si>
    <t>标准层高</t>
    <phoneticPr fontId="30" type="noConversion"/>
  </si>
  <si>
    <t>超高层高</t>
    <phoneticPr fontId="30" type="noConversion"/>
  </si>
  <si>
    <t>钢混</t>
    <phoneticPr fontId="30" type="noConversion"/>
  </si>
  <si>
    <t>独立商业</t>
  </si>
  <si>
    <t>独立商业</t>
    <phoneticPr fontId="30" type="noConversion"/>
  </si>
  <si>
    <t>配套底商</t>
  </si>
  <si>
    <t>配套底商</t>
    <phoneticPr fontId="30" type="noConversion"/>
  </si>
  <si>
    <t>挂牌</t>
  </si>
  <si>
    <t>挂牌</t>
    <phoneticPr fontId="30" type="noConversion"/>
  </si>
  <si>
    <t>七通</t>
  </si>
  <si>
    <t>1层</t>
  </si>
  <si>
    <t>比较法-商业</t>
  </si>
  <si>
    <t>单套模式</t>
  </si>
  <si>
    <t>售价</t>
  </si>
  <si>
    <t>自定义</t>
  </si>
  <si>
    <r>
      <t>1</t>
    </r>
    <r>
      <rPr>
        <sz val="10"/>
        <color indexed="8"/>
        <rFont val="宋体"/>
        <family val="3"/>
        <charset val="134"/>
      </rPr>
      <t>层</t>
    </r>
    <phoneticPr fontId="24" type="noConversion"/>
  </si>
  <si>
    <r>
      <t>2</t>
    </r>
    <r>
      <rPr>
        <sz val="10"/>
        <color indexed="8"/>
        <rFont val="宋体"/>
        <family val="3"/>
        <charset val="134"/>
      </rPr>
      <t>层</t>
    </r>
    <phoneticPr fontId="24" type="noConversion"/>
  </si>
  <si>
    <t>2层</t>
  </si>
  <si>
    <r>
      <t>1-2</t>
    </r>
    <r>
      <rPr>
        <sz val="11"/>
        <color indexed="8"/>
        <rFont val="宋体"/>
        <family val="3"/>
        <charset val="134"/>
      </rPr>
      <t>层</t>
    </r>
    <phoneticPr fontId="30" type="noConversion"/>
  </si>
  <si>
    <r>
      <rPr>
        <sz val="11"/>
        <color indexed="8"/>
        <rFont val="宋体"/>
        <family val="3"/>
        <charset val="134"/>
      </rPr>
      <t>地下</t>
    </r>
    <r>
      <rPr>
        <sz val="11"/>
        <color indexed="8"/>
        <rFont val="Arial"/>
        <family val="2"/>
      </rPr>
      <t>1</t>
    </r>
    <r>
      <rPr>
        <sz val="11"/>
        <color indexed="8"/>
        <rFont val="宋体"/>
        <family val="3"/>
        <charset val="134"/>
      </rPr>
      <t>层</t>
    </r>
    <phoneticPr fontId="30" type="noConversion"/>
  </si>
  <si>
    <t>下沉式商业</t>
    <phoneticPr fontId="30" type="noConversion"/>
  </si>
  <si>
    <t>珠江国际城一区</t>
    <phoneticPr fontId="3" type="noConversion"/>
  </si>
  <si>
    <t>富力惠美兰居</t>
    <phoneticPr fontId="3" type="noConversion"/>
  </si>
  <si>
    <t>武夷花园</t>
    <phoneticPr fontId="3" type="noConversion"/>
  </si>
  <si>
    <t>收益法-2层</t>
  </si>
  <si>
    <t>收益法-2层</t>
    <phoneticPr fontId="16" type="noConversion"/>
  </si>
  <si>
    <t>典型户型修正</t>
  </si>
  <si>
    <t>情况4</t>
  </si>
  <si>
    <t>转让取得</t>
  </si>
  <si>
    <t>非个人房产</t>
  </si>
  <si>
    <t>买卖合同</t>
  </si>
  <si>
    <t>2016年5月1日后购买</t>
  </si>
  <si>
    <t>需扣减承租人权益</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</si>
</sst>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4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0"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1"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1"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pplyProtection="1">
      <alignment horizontal="right" vertical="center"/>
    </xf>
    <xf numFmtId="1" fontId="0" fillId="5" borderId="0" xfId="0" applyNumberFormat="1" applyFill="1">
      <alignment vertical="center"/>
    </xf>
    <xf numFmtId="0" fontId="77" fillId="6" borderId="0" xfId="0" applyFont="1" applyFill="1" applyProtection="1">
      <alignment vertical="center"/>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4" fillId="6" borderId="1"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48"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67">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371000</xdr:colOff>
      <xdr:row>7</xdr:row>
      <xdr:rowOff>66517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800000" cy="1266667"/>
        </a:xfrm>
        <a:prstGeom prst="rect">
          <a:avLst/>
        </a:prstGeom>
      </xdr:spPr>
    </xdr:pic>
    <xdr:clientData/>
  </xdr:twoCellAnchor>
  <xdr:twoCellAnchor editAs="oneCell">
    <xdr:from>
      <xdr:col>0</xdr:col>
      <xdr:colOff>0</xdr:colOff>
      <xdr:row>8</xdr:row>
      <xdr:rowOff>0</xdr:rowOff>
    </xdr:from>
    <xdr:to>
      <xdr:col>5</xdr:col>
      <xdr:colOff>218619</xdr:colOff>
      <xdr:row>14</xdr:row>
      <xdr:rowOff>57014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371600"/>
          <a:ext cx="3647619" cy="1085714"/>
        </a:xfrm>
        <a:prstGeom prst="rect">
          <a:avLst/>
        </a:prstGeom>
      </xdr:spPr>
    </xdr:pic>
    <xdr:clientData/>
  </xdr:twoCellAnchor>
  <xdr:twoCellAnchor editAs="oneCell">
    <xdr:from>
      <xdr:col>0</xdr:col>
      <xdr:colOff>0</xdr:colOff>
      <xdr:row>15</xdr:row>
      <xdr:rowOff>0</xdr:rowOff>
    </xdr:from>
    <xdr:to>
      <xdr:col>5</xdr:col>
      <xdr:colOff>390048</xdr:colOff>
      <xdr:row>28</xdr:row>
      <xdr:rowOff>56864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2571750"/>
          <a:ext cx="3819048" cy="2285714"/>
        </a:xfrm>
        <a:prstGeom prst="rect">
          <a:avLst/>
        </a:prstGeom>
      </xdr:spPr>
    </xdr:pic>
    <xdr:clientData/>
  </xdr:twoCellAnchor>
  <xdr:twoCellAnchor editAs="oneCell">
    <xdr:from>
      <xdr:col>0</xdr:col>
      <xdr:colOff>0</xdr:colOff>
      <xdr:row>28</xdr:row>
      <xdr:rowOff>0</xdr:rowOff>
    </xdr:from>
    <xdr:to>
      <xdr:col>5</xdr:col>
      <xdr:colOff>351952</xdr:colOff>
      <xdr:row>34</xdr:row>
      <xdr:rowOff>104633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4800600"/>
          <a:ext cx="3780952" cy="1133333"/>
        </a:xfrm>
        <a:prstGeom prst="rect">
          <a:avLst/>
        </a:prstGeom>
      </xdr:spPr>
    </xdr:pic>
    <xdr:clientData/>
  </xdr:twoCellAnchor>
  <xdr:twoCellAnchor editAs="oneCell">
    <xdr:from>
      <xdr:col>0</xdr:col>
      <xdr:colOff>0</xdr:colOff>
      <xdr:row>35</xdr:row>
      <xdr:rowOff>0</xdr:rowOff>
    </xdr:from>
    <xdr:to>
      <xdr:col>5</xdr:col>
      <xdr:colOff>294809</xdr:colOff>
      <xdr:row>41</xdr:row>
      <xdr:rowOff>76062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6000750"/>
          <a:ext cx="3723809" cy="1104762"/>
        </a:xfrm>
        <a:prstGeom prst="rect">
          <a:avLst/>
        </a:prstGeom>
      </xdr:spPr>
    </xdr:pic>
    <xdr:clientData/>
  </xdr:twoCellAnchor>
  <xdr:twoCellAnchor editAs="oneCell">
    <xdr:from>
      <xdr:col>5</xdr:col>
      <xdr:colOff>504825</xdr:colOff>
      <xdr:row>0</xdr:row>
      <xdr:rowOff>0</xdr:rowOff>
    </xdr:from>
    <xdr:to>
      <xdr:col>11</xdr:col>
      <xdr:colOff>151930</xdr:colOff>
      <xdr:row>27</xdr:row>
      <xdr:rowOff>66088</xdr:rowOff>
    </xdr:to>
    <xdr:pic>
      <xdr:nvPicPr>
        <xdr:cNvPr id="7" name="图片 6"/>
        <xdr:cNvPicPr>
          <a:picLocks noChangeAspect="1"/>
        </xdr:cNvPicPr>
      </xdr:nvPicPr>
      <xdr:blipFill>
        <a:blip xmlns:r="http://schemas.openxmlformats.org/officeDocument/2006/relationships" r:embed="rId6"/>
        <a:stretch>
          <a:fillRect/>
        </a:stretch>
      </xdr:blipFill>
      <xdr:spPr>
        <a:xfrm>
          <a:off x="3933825" y="0"/>
          <a:ext cx="3761905" cy="4695238"/>
        </a:xfrm>
        <a:prstGeom prst="rect">
          <a:avLst/>
        </a:prstGeom>
      </xdr:spPr>
    </xdr:pic>
    <xdr:clientData/>
  </xdr:twoCellAnchor>
  <xdr:twoCellAnchor editAs="oneCell">
    <xdr:from>
      <xdr:col>5</xdr:col>
      <xdr:colOff>447675</xdr:colOff>
      <xdr:row>27</xdr:row>
      <xdr:rowOff>66675</xdr:rowOff>
    </xdr:from>
    <xdr:to>
      <xdr:col>11</xdr:col>
      <xdr:colOff>190018</xdr:colOff>
      <xdr:row>47</xdr:row>
      <xdr:rowOff>94818</xdr:rowOff>
    </xdr:to>
    <xdr:pic>
      <xdr:nvPicPr>
        <xdr:cNvPr id="8" name="图片 7"/>
        <xdr:cNvPicPr>
          <a:picLocks noChangeAspect="1"/>
        </xdr:cNvPicPr>
      </xdr:nvPicPr>
      <xdr:blipFill>
        <a:blip xmlns:r="http://schemas.openxmlformats.org/officeDocument/2006/relationships" r:embed="rId7"/>
        <a:stretch>
          <a:fillRect/>
        </a:stretch>
      </xdr:blipFill>
      <xdr:spPr>
        <a:xfrm>
          <a:off x="3876675" y="4695825"/>
          <a:ext cx="3857143" cy="3457143"/>
        </a:xfrm>
        <a:prstGeom prst="rect">
          <a:avLst/>
        </a:prstGeom>
      </xdr:spPr>
    </xdr:pic>
    <xdr:clientData/>
  </xdr:twoCellAnchor>
  <xdr:twoCellAnchor editAs="oneCell">
    <xdr:from>
      <xdr:col>11</xdr:col>
      <xdr:colOff>66675</xdr:colOff>
      <xdr:row>0</xdr:row>
      <xdr:rowOff>0</xdr:rowOff>
    </xdr:from>
    <xdr:to>
      <xdr:col>16</xdr:col>
      <xdr:colOff>504342</xdr:colOff>
      <xdr:row>7</xdr:row>
      <xdr:rowOff>18898</xdr:rowOff>
    </xdr:to>
    <xdr:pic>
      <xdr:nvPicPr>
        <xdr:cNvPr id="9" name="图片 8"/>
        <xdr:cNvPicPr>
          <a:picLocks noChangeAspect="1"/>
        </xdr:cNvPicPr>
      </xdr:nvPicPr>
      <xdr:blipFill>
        <a:blip xmlns:r="http://schemas.openxmlformats.org/officeDocument/2006/relationships" r:embed="rId8"/>
        <a:stretch>
          <a:fillRect/>
        </a:stretch>
      </xdr:blipFill>
      <xdr:spPr>
        <a:xfrm>
          <a:off x="7610475" y="0"/>
          <a:ext cx="3866667" cy="1219048"/>
        </a:xfrm>
        <a:prstGeom prst="rect">
          <a:avLst/>
        </a:prstGeom>
      </xdr:spPr>
    </xdr:pic>
    <xdr:clientData/>
  </xdr:twoCellAnchor>
  <xdr:twoCellAnchor editAs="oneCell">
    <xdr:from>
      <xdr:col>11</xdr:col>
      <xdr:colOff>104775</xdr:colOff>
      <xdr:row>7</xdr:row>
      <xdr:rowOff>28575</xdr:rowOff>
    </xdr:from>
    <xdr:to>
      <xdr:col>16</xdr:col>
      <xdr:colOff>513870</xdr:colOff>
      <xdr:row>14</xdr:row>
      <xdr:rowOff>9377</xdr:rowOff>
    </xdr:to>
    <xdr:pic>
      <xdr:nvPicPr>
        <xdr:cNvPr id="10" name="图片 9"/>
        <xdr:cNvPicPr>
          <a:picLocks noChangeAspect="1"/>
        </xdr:cNvPicPr>
      </xdr:nvPicPr>
      <xdr:blipFill>
        <a:blip xmlns:r="http://schemas.openxmlformats.org/officeDocument/2006/relationships" r:embed="rId9"/>
        <a:stretch>
          <a:fillRect/>
        </a:stretch>
      </xdr:blipFill>
      <xdr:spPr>
        <a:xfrm>
          <a:off x="7648575" y="1228725"/>
          <a:ext cx="3838095" cy="1180952"/>
        </a:xfrm>
        <a:prstGeom prst="rect">
          <a:avLst/>
        </a:prstGeom>
      </xdr:spPr>
    </xdr:pic>
    <xdr:clientData/>
  </xdr:twoCellAnchor>
  <xdr:twoCellAnchor editAs="oneCell">
    <xdr:from>
      <xdr:col>11</xdr:col>
      <xdr:colOff>523875</xdr:colOff>
      <xdr:row>25</xdr:row>
      <xdr:rowOff>11916</xdr:rowOff>
    </xdr:from>
    <xdr:to>
      <xdr:col>20</xdr:col>
      <xdr:colOff>284298</xdr:colOff>
      <xdr:row>47</xdr:row>
      <xdr:rowOff>84783</xdr:rowOff>
    </xdr:to>
    <xdr:pic>
      <xdr:nvPicPr>
        <xdr:cNvPr id="11" name="图片 10"/>
        <xdr:cNvPicPr>
          <a:picLocks noChangeAspect="1"/>
        </xdr:cNvPicPr>
      </xdr:nvPicPr>
      <xdr:blipFill>
        <a:blip xmlns:r="http://schemas.openxmlformats.org/officeDocument/2006/relationships" r:embed="rId10"/>
        <a:stretch>
          <a:fillRect/>
        </a:stretch>
      </xdr:blipFill>
      <xdr:spPr>
        <a:xfrm>
          <a:off x="8067675" y="4298166"/>
          <a:ext cx="5932623" cy="3844767"/>
        </a:xfrm>
        <a:prstGeom prst="rect">
          <a:avLst/>
        </a:prstGeom>
      </xdr:spPr>
    </xdr:pic>
    <xdr:clientData/>
  </xdr:twoCellAnchor>
  <xdr:twoCellAnchor editAs="oneCell">
    <xdr:from>
      <xdr:col>0</xdr:col>
      <xdr:colOff>0</xdr:colOff>
      <xdr:row>49</xdr:row>
      <xdr:rowOff>76200</xdr:rowOff>
    </xdr:from>
    <xdr:to>
      <xdr:col>9</xdr:col>
      <xdr:colOff>229859</xdr:colOff>
      <xdr:row>76</xdr:row>
      <xdr:rowOff>151420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8477250"/>
          <a:ext cx="6402059" cy="470437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4.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北京市房地产抵押价值预评估</v>
      </c>
    </row>
    <row r="3" spans="1:2" s="1202" customFormat="1">
      <c r="A3" s="1200" t="s">
        <v>523</v>
      </c>
      <c r="B3" s="1201">
        <f>'预评函-封皮'!B40</f>
        <v>0</v>
      </c>
    </row>
    <row r="4" spans="1:2" s="1202" customFormat="1">
      <c r="A4" s="1200" t="s">
        <v>524</v>
      </c>
      <c r="B4" s="1201" t="str">
        <f>'预评函-封皮'!B46</f>
        <v>（注册号：0)、（注册号：0)</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受贵公司委托，我公司对北京市房地产抵押价值进行了预评估。</v>
      </c>
    </row>
    <row r="7" spans="1:2" s="1202" customFormat="1">
      <c r="A7" s="1200" t="s">
        <v>566</v>
      </c>
      <c r="B7" s="1201" t="str">
        <f>'预评函-1'!A7</f>
        <v>估价对象为北京市房地产，为所有。根据《国有土地使用证》[]，估价对象（分摊）出让国有建设用地使用权面积为0平方米，建筑面积为557.98平方米。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估价对象为北京市房地产,属开发建设的商业项目，该项目尚在开发建设中。根据《国有土地使用证》[]，估价对象（分摊）出让国有建设用地使用权面积为0平方米，规划建筑面积为557.98平方米。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2025年5月28日（评估专业人员实地查勘之日）</v>
      </c>
    </row>
    <row r="13" spans="1:2" s="1202" customFormat="1">
      <c r="A13" s="1200" t="s">
        <v>529</v>
      </c>
      <c r="B13" s="1201" t="str">
        <f>'预评函-1'!A18</f>
        <v>本次估价的“房地产价值”是指在正常市场情况下，在价值时点2025年5月28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本次评估采用的主估价方法为比较法和收益法。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403</v>
      </c>
    </row>
    <row r="21" spans="1:2" s="1202" customFormat="1">
      <c r="A21" s="1200" t="s">
        <v>537</v>
      </c>
      <c r="B21" s="1201">
        <f ca="1">'预评函-2'!D7</f>
        <v>33055</v>
      </c>
    </row>
    <row r="22" spans="1:2" s="1202" customFormat="1">
      <c r="A22" s="1200" t="s">
        <v>538</v>
      </c>
      <c r="B22" s="1201" t="str">
        <f ca="1">'预评函-2'!D6</f>
        <v>肆佰零叁万元整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403</v>
      </c>
    </row>
    <row r="31" spans="1:2" s="1202" customFormat="1">
      <c r="A31" s="1200" t="s">
        <v>576</v>
      </c>
      <c r="B31" s="1201">
        <f ca="1">'预评函-2'!D15</f>
        <v>33055</v>
      </c>
    </row>
    <row r="32" spans="1:2" s="1202" customFormat="1">
      <c r="A32" s="1200" t="s">
        <v>543</v>
      </c>
      <c r="B32" s="1201" t="str">
        <f ca="1">'预评函-2'!D14</f>
        <v>肆佰零叁万元整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403</v>
      </c>
    </row>
    <row r="39" spans="1:2" s="1202" customFormat="1">
      <c r="A39" s="1200" t="s">
        <v>545</v>
      </c>
      <c r="B39" s="1201">
        <f ca="1">'预评函-2'!D21</f>
        <v>7222</v>
      </c>
    </row>
    <row r="40" spans="1:2" s="1202" customFormat="1">
      <c r="A40" s="1200" t="s">
        <v>546</v>
      </c>
      <c r="B40" s="1201" t="str">
        <f ca="1">'预评函-2'!D20</f>
        <v>肆佰零叁万元整</v>
      </c>
    </row>
    <row r="41" spans="1:2" s="1202" customFormat="1">
      <c r="A41" s="1200" t="s">
        <v>592</v>
      </c>
      <c r="B41" s="1201" t="str">
        <f>'预评函-3'!A4</f>
        <v>北京市房地产</v>
      </c>
    </row>
    <row r="42" spans="1:2" s="1202" customFormat="1">
      <c r="A42" s="1200" t="s">
        <v>590</v>
      </c>
      <c r="B42" s="1201" t="str">
        <f>'预评函-3'!B2</f>
        <v>建筑面积</v>
      </c>
    </row>
    <row r="43" spans="1:2" s="1202" customFormat="1">
      <c r="A43" s="1200" t="s">
        <v>591</v>
      </c>
      <c r="B43" s="1201">
        <f>'预评函-3'!B4</f>
        <v>557.98</v>
      </c>
    </row>
    <row r="44" spans="1:2" s="1202" customFormat="1">
      <c r="A44" s="1200" t="s">
        <v>575</v>
      </c>
      <c r="B44" s="1201" t="str">
        <f>'预评函-3'!C2</f>
        <v>(分摊)土地面积</v>
      </c>
    </row>
    <row r="45" spans="1:2" s="1202" customFormat="1">
      <c r="A45" s="1200" t="s">
        <v>547</v>
      </c>
      <c r="B45" s="1201">
        <f>'预评函-3'!C4</f>
        <v>0</v>
      </c>
    </row>
    <row r="46" spans="1:2" s="1202" customFormat="1">
      <c r="A46" s="1200" t="s">
        <v>573</v>
      </c>
      <c r="B46" s="1201" t="str">
        <f>'预评函-3'!D2</f>
        <v>出让国有建设用地使用权价值</v>
      </c>
    </row>
    <row r="47" spans="1:2" s="1202" customFormat="1">
      <c r="A47" s="1200" t="s">
        <v>548</v>
      </c>
      <c r="B47" s="1201">
        <f>'预评函-3'!D4</f>
        <v>0</v>
      </c>
    </row>
    <row r="48" spans="1:2" s="1202" customFormat="1">
      <c r="A48" s="1200" t="s">
        <v>549</v>
      </c>
      <c r="B48" s="1201">
        <f>'预评函-3'!E4</f>
        <v>0</v>
      </c>
    </row>
    <row r="49" spans="1:2" s="1202" customFormat="1">
      <c r="A49" s="1200" t="s">
        <v>550</v>
      </c>
      <c r="B49" s="1201" t="str">
        <f>'预评函-3'!D5</f>
        <v>零元整</v>
      </c>
    </row>
    <row r="50" spans="1:2" s="1202" customFormat="1">
      <c r="A50" s="1200" t="s">
        <v>574</v>
      </c>
      <c r="B50" s="1201" t="str">
        <f>'预评函-3'!F2</f>
        <v>在建建筑物价值</v>
      </c>
    </row>
    <row r="51" spans="1:2" s="1202" customFormat="1">
      <c r="A51" s="1200" t="s">
        <v>551</v>
      </c>
      <c r="B51" s="1201">
        <f>'预评函-3'!F4</f>
        <v>0</v>
      </c>
    </row>
    <row r="52" spans="1:2" s="1202" customFormat="1">
      <c r="A52" s="1200" t="s">
        <v>552</v>
      </c>
      <c r="B52" s="1201">
        <f>'预评函-3'!G4</f>
        <v>0</v>
      </c>
    </row>
    <row r="53" spans="1:2" s="1202" customFormat="1">
      <c r="A53" s="1200" t="s">
        <v>580</v>
      </c>
      <c r="B53" s="1201" t="str">
        <f>'预评函-3'!F5</f>
        <v>零元整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f>'预评函-4'!A4</f>
        <v>0</v>
      </c>
    </row>
    <row r="71" spans="1:2">
      <c r="A71" s="1200" t="s">
        <v>563</v>
      </c>
      <c r="B71" s="1201">
        <f>'预评函-4'!B4</f>
        <v>0</v>
      </c>
    </row>
    <row r="72" spans="1:2">
      <c r="A72" s="1200" t="s">
        <v>564</v>
      </c>
      <c r="B72" s="1209">
        <f>'预评函-4'!A5</f>
        <v>0</v>
      </c>
    </row>
    <row r="73" spans="1:2" s="1196" customFormat="1" ht="15" thickBot="1">
      <c r="A73" s="1203" t="s">
        <v>565</v>
      </c>
      <c r="B73" s="1204">
        <f>'预评函-4'!B5</f>
        <v>0</v>
      </c>
    </row>
    <row r="74" spans="1:2" ht="15"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98" t="str">
        <f>项目基本情况!B1</f>
        <v>北京市房地产抵押价值预评估</v>
      </c>
      <c r="C37" s="3498"/>
      <c r="D37" s="3498"/>
      <c r="E37" s="3498"/>
      <c r="F37" s="3498"/>
      <c r="G37" s="3498"/>
      <c r="H37" s="3498"/>
      <c r="I37" s="3498"/>
    </row>
    <row r="38" spans="1:9">
      <c r="A38" s="843"/>
      <c r="B38" s="843"/>
    </row>
    <row r="39" spans="1:9">
      <c r="A39" s="841" t="s">
        <v>371</v>
      </c>
      <c r="B39" s="841" t="s">
        <v>373</v>
      </c>
    </row>
    <row r="40" spans="1:9">
      <c r="A40" s="841"/>
      <c r="B40" s="1473">
        <f>项目基本情况!B5</f>
        <v>0</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ht="12.75">
      <c r="B46" s="1473" t="str">
        <f>项目基本情况!K4</f>
        <v>（注册号：0)、（注册号：0)</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v>
      </c>
    </row>
    <row r="4" spans="1:1" ht="18">
      <c r="A4" s="1479" t="str">
        <f>"受贵公司委托，我公司对"&amp;项目基本情况!S1&amp;"进行了预评估。"</f>
        <v>受贵公司委托，我公司对北京市房地产抵押价值进行了预评估。</v>
      </c>
    </row>
    <row r="5" spans="1:1" ht="18.75">
      <c r="A5" s="1480" t="s">
        <v>899</v>
      </c>
    </row>
    <row r="6" spans="1:1" ht="18.75">
      <c r="A6" s="1481" t="s">
        <v>900</v>
      </c>
    </row>
    <row r="7" spans="1:1" ht="36">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估价对象为北京市房地产，为所有。根据《国有土地使用证》[]，估价对象（分摊）出让国有建设用地使用权面积为0平方米，建筑面积为557.98平方米。</v>
      </c>
    </row>
    <row r="8" spans="1:1" ht="57.75">
      <c r="A8" s="1482" t="s">
        <v>901</v>
      </c>
    </row>
    <row r="9" spans="1:1" ht="18.75">
      <c r="A9" s="1481" t="s">
        <v>902</v>
      </c>
    </row>
    <row r="10" spans="1:1" ht="54">
      <c r="A10" s="1479" t="str">
        <f>"估价对象为"&amp;项目基本情况!S2&amp;IF('结果表-1层'!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估价对象为北京市房地产,属开发建设的商业项目，该项目尚在开发建设中。根据《国有土地使用证》[]，估价对象（分摊）出让国有建设用地使用权面积为0平方米，规划建筑面积为557.98平方米。</v>
      </c>
    </row>
    <row r="11" spans="1:1" ht="76.5">
      <c r="A11" s="1482" t="s">
        <v>903</v>
      </c>
    </row>
    <row r="12" spans="1:1" ht="18.75">
      <c r="A12" s="1480" t="s">
        <v>904</v>
      </c>
    </row>
    <row r="13" spans="1:1" ht="38.25" customHeight="1">
      <c r="A13" s="1483"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2025年5月28日（评估专业人员实地查勘之日）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5月28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"本次评估采用的主估价方法为"&amp;'结果表-1层'!K4&amp;"和"&amp;'结果表-1层'!L4&amp;"。"</f>
        <v>本次评估采用的主估价方法为比较法和收益法。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50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3"/>
      <c r="C2" s="3503"/>
      <c r="D2" s="3503"/>
      <c r="E2" s="3503"/>
    </row>
    <row r="3" spans="1:5" ht="18">
      <c r="A3" s="3504" t="str">
        <f>IF(项目基本情况!B9="房地产市场价值","估价结果一览表（市场价值不需“结果表-1”）","估价结果一览表")</f>
        <v>估价结果一览表</v>
      </c>
      <c r="B3" s="3504"/>
      <c r="C3" s="3504"/>
      <c r="D3" s="3504"/>
      <c r="E3" s="3504"/>
    </row>
    <row r="4" spans="1:5" ht="19.5" thickBot="1">
      <c r="A4" s="1492"/>
      <c r="B4" s="3502" t="s">
        <v>917</v>
      </c>
      <c r="C4" s="3502"/>
      <c r="D4" s="3502"/>
      <c r="E4" s="1492"/>
    </row>
    <row r="5" spans="1:5" ht="16.5" thickTop="1">
      <c r="A5" s="1490"/>
      <c r="B5" s="3500" t="s">
        <v>909</v>
      </c>
      <c r="C5" s="1493" t="s">
        <v>910</v>
      </c>
      <c r="D5" s="849">
        <f ca="1">'结果表-1层'!H101</f>
        <v>403</v>
      </c>
      <c r="E5" s="1490"/>
    </row>
    <row r="6" spans="1:5" ht="15.75">
      <c r="A6" s="1490"/>
      <c r="B6" s="3500"/>
      <c r="C6" s="1493" t="s">
        <v>911</v>
      </c>
      <c r="D6" s="849" t="str">
        <f ca="1">NUMBERSTRING(INT(D5*10000),2)&amp;"元整"</f>
        <v>肆佰零叁万元整</v>
      </c>
      <c r="E6" s="1490"/>
    </row>
    <row r="7" spans="1:5" ht="15.75">
      <c r="A7" s="1490"/>
      <c r="B7" s="3505"/>
      <c r="C7" s="1494" t="s">
        <v>912</v>
      </c>
      <c r="D7" s="850">
        <f ca="1">'结果表-1层'!H102</f>
        <v>33055</v>
      </c>
      <c r="E7" s="1490"/>
    </row>
    <row r="8" spans="1:5" ht="15.75">
      <c r="A8" s="1490"/>
      <c r="B8" s="3506" t="str">
        <f>'结果表-1层'!E103</f>
        <v>2.估价师知悉的法定优先受偿款</v>
      </c>
      <c r="C8" s="1495" t="s">
        <v>913</v>
      </c>
      <c r="D8" s="850">
        <f>'结果表-1层'!H103</f>
        <v>0</v>
      </c>
      <c r="E8" s="1490"/>
    </row>
    <row r="9" spans="1:5" ht="15.75">
      <c r="A9" s="1490"/>
      <c r="B9" s="3508"/>
      <c r="C9" s="1493" t="s">
        <v>911</v>
      </c>
      <c r="D9" s="849" t="str">
        <f>NUMBERSTRING(INT(D8*10000),2)&amp;"元整"</f>
        <v>零元整</v>
      </c>
      <c r="E9" s="1490"/>
    </row>
    <row r="10" spans="1:5" ht="15">
      <c r="A10" s="1490"/>
      <c r="B10" s="1496" t="s">
        <v>916</v>
      </c>
      <c r="C10" s="1497" t="s">
        <v>914</v>
      </c>
      <c r="D10" s="851">
        <f>'结果表-1层'!H104</f>
        <v>0</v>
      </c>
      <c r="E10" s="1490"/>
    </row>
    <row r="11" spans="1:5" ht="15">
      <c r="A11" s="1490"/>
      <c r="B11" s="1496" t="s">
        <v>918</v>
      </c>
      <c r="C11" s="1497" t="s">
        <v>919</v>
      </c>
      <c r="D11" s="851">
        <f>'结果表-1层'!H105</f>
        <v>0</v>
      </c>
      <c r="E11" s="1490"/>
    </row>
    <row r="12" spans="1:5" ht="15">
      <c r="A12" s="1490"/>
      <c r="B12" s="1496" t="s">
        <v>920</v>
      </c>
      <c r="C12" s="1497" t="s">
        <v>919</v>
      </c>
      <c r="D12" s="851">
        <f>'结果表-1层'!H106</f>
        <v>0</v>
      </c>
      <c r="E12" s="1490"/>
    </row>
    <row r="13" spans="1:5" ht="15.75">
      <c r="A13" s="1490"/>
      <c r="B13" s="3499" t="str">
        <f>'结果表-1层'!E107</f>
        <v>3.房地产抵押价值</v>
      </c>
      <c r="C13" s="1498" t="s">
        <v>910</v>
      </c>
      <c r="D13" s="852">
        <f ca="1">'结果表-1层'!H107</f>
        <v>403</v>
      </c>
      <c r="E13" s="1490"/>
    </row>
    <row r="14" spans="1:5" ht="15.75">
      <c r="A14" s="1490"/>
      <c r="B14" s="3500"/>
      <c r="C14" s="1493" t="s">
        <v>911</v>
      </c>
      <c r="D14" s="849" t="str">
        <f ca="1">NUMBERSTRING(INT(D13*10000),2)&amp;"元整"</f>
        <v>肆佰零叁万元整</v>
      </c>
      <c r="E14" s="1490"/>
    </row>
    <row r="15" spans="1:5" ht="15">
      <c r="A15" s="1490"/>
      <c r="B15" s="3505"/>
      <c r="C15" s="1494" t="s">
        <v>921</v>
      </c>
      <c r="D15" s="858">
        <f ca="1">'结果表-1层'!H108</f>
        <v>33055</v>
      </c>
      <c r="E15" s="1490"/>
    </row>
    <row r="16" spans="1:5" ht="15">
      <c r="A16" s="1490"/>
      <c r="B16" s="3506" t="str">
        <f>'结果表-1层'!E109</f>
        <v>——</v>
      </c>
      <c r="C16" s="1498" t="s">
        <v>922</v>
      </c>
      <c r="D16" s="1499" t="str">
        <f>'结果表-1层'!H109</f>
        <v>——</v>
      </c>
      <c r="E16" s="1490"/>
    </row>
    <row r="17" spans="1:5" ht="15.75">
      <c r="A17" s="1490"/>
      <c r="B17" s="3507"/>
      <c r="C17" s="1493" t="s">
        <v>923</v>
      </c>
      <c r="D17" s="849" t="e">
        <f>NUMBERSTRING(INT(D16*10000),2)&amp;"元整"</f>
        <v>#VALUE!</v>
      </c>
      <c r="E17" s="1490"/>
    </row>
    <row r="18" spans="1:5" ht="15">
      <c r="A18" s="1490"/>
      <c r="B18" s="3508"/>
      <c r="C18" s="1494" t="s">
        <v>912</v>
      </c>
      <c r="D18" s="858" t="str">
        <f>'结果表-1层'!H110</f>
        <v>——</v>
      </c>
      <c r="E18" s="1490"/>
    </row>
    <row r="19" spans="1:5" ht="15.75">
      <c r="A19" s="1490"/>
      <c r="B19" s="3499" t="str">
        <f>'结果表-1层'!E111</f>
        <v>4.抵押净值</v>
      </c>
      <c r="C19" s="1498" t="s">
        <v>910</v>
      </c>
      <c r="D19" s="850">
        <f ca="1">'结果表-1层'!H111</f>
        <v>403</v>
      </c>
      <c r="E19" s="1490"/>
    </row>
    <row r="20" spans="1:5" ht="15.75">
      <c r="A20" s="1490"/>
      <c r="B20" s="3500"/>
      <c r="C20" s="1493" t="s">
        <v>923</v>
      </c>
      <c r="D20" s="849" t="str">
        <f ca="1">NUMBERSTRING(INT(D19*10000),2)&amp;"元整"</f>
        <v>肆佰零叁万元整</v>
      </c>
      <c r="E20" s="1490"/>
    </row>
    <row r="21" spans="1:5" ht="15.75" thickBot="1">
      <c r="A21" s="1490"/>
      <c r="B21" s="3501"/>
      <c r="C21" s="1500" t="s">
        <v>921</v>
      </c>
      <c r="D21" s="859">
        <f ca="1">'结果表-1层'!H112</f>
        <v>7222</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509" t="str">
        <f>IF(项目基本情况!B9="房地产市场价值","估价结果一览表","结果表-2")</f>
        <v>结果表-2</v>
      </c>
      <c r="B1" s="3509"/>
      <c r="C1" s="3509"/>
      <c r="D1" s="3509"/>
      <c r="E1" s="3509"/>
      <c r="F1" s="3509"/>
      <c r="G1" s="3509"/>
      <c r="H1" s="3509"/>
      <c r="I1" s="3509"/>
    </row>
    <row r="2" spans="1:9" ht="30" customHeight="1" thickTop="1">
      <c r="A2" s="3510" t="s">
        <v>928</v>
      </c>
      <c r="B2" s="3510" t="s">
        <v>929</v>
      </c>
      <c r="C2" s="3510" t="s">
        <v>930</v>
      </c>
      <c r="D2" s="3510" t="str">
        <f>'结果表-1层'!D116</f>
        <v>出让国有建设用地使用权价值</v>
      </c>
      <c r="E2" s="3510"/>
      <c r="F2" s="3510" t="str">
        <f>'结果表-1层'!F116</f>
        <v>在建建筑物价值</v>
      </c>
      <c r="G2" s="3510"/>
      <c r="H2" s="3510" t="str">
        <f>IF(项目基本情况!B9="房地产市场价值","房地产市场价值","房地产价值")</f>
        <v>房地产价值</v>
      </c>
      <c r="I2" s="3510"/>
    </row>
    <row r="3" spans="1:9" ht="15">
      <c r="A3" s="3511"/>
      <c r="B3" s="3511"/>
      <c r="C3" s="3511"/>
      <c r="D3" s="853" t="s">
        <v>925</v>
      </c>
      <c r="E3" s="853" t="s">
        <v>931</v>
      </c>
      <c r="F3" s="853" t="s">
        <v>925</v>
      </c>
      <c r="G3" s="853" t="s">
        <v>926</v>
      </c>
      <c r="H3" s="853" t="s">
        <v>925</v>
      </c>
      <c r="I3" s="853" t="s">
        <v>926</v>
      </c>
    </row>
    <row r="4" spans="1:9" ht="15">
      <c r="A4" s="1504" t="str">
        <f>项目基本情况!S2</f>
        <v>北京市房地产</v>
      </c>
      <c r="B4" s="853">
        <f>项目基本情况!C17</f>
        <v>557.98</v>
      </c>
      <c r="C4" s="853">
        <f>项目基本情况!C18</f>
        <v>0</v>
      </c>
      <c r="D4" s="853">
        <f>'结果表-1层'!D118</f>
        <v>0</v>
      </c>
      <c r="E4" s="853">
        <f>'结果表-1层'!E118</f>
        <v>0</v>
      </c>
      <c r="F4" s="853">
        <f>'结果表-1层'!F118</f>
        <v>0</v>
      </c>
      <c r="G4" s="853">
        <f>'结果表-1层'!G118</f>
        <v>0</v>
      </c>
      <c r="H4" s="853">
        <f ca="1">'结果表-1层'!H118</f>
        <v>403</v>
      </c>
      <c r="I4" s="853">
        <f ca="1">'结果表-1层'!I118</f>
        <v>33055</v>
      </c>
    </row>
    <row r="5" spans="1:9" ht="30" customHeight="1">
      <c r="A5" s="3511" t="s">
        <v>927</v>
      </c>
      <c r="B5" s="3511"/>
      <c r="C5" s="3511"/>
      <c r="D5" s="3511" t="str">
        <f>'结果表-1层'!D119</f>
        <v>零元整</v>
      </c>
      <c r="E5" s="3511"/>
      <c r="F5" s="3511" t="str">
        <f>'结果表-1层'!F119</f>
        <v>零元整</v>
      </c>
      <c r="G5" s="3511"/>
      <c r="H5" s="3511" t="str">
        <f ca="1">'结果表-1层'!H119</f>
        <v>肆佰零叁万元整</v>
      </c>
      <c r="I5" s="3511"/>
    </row>
    <row r="6" spans="1:9" ht="15.75">
      <c r="A6" s="3512" t="str">
        <f>'结果表-1层'!A120</f>
        <v>估价师知悉的法定优先受偿款</v>
      </c>
      <c r="B6" s="3512"/>
      <c r="C6" s="3512"/>
      <c r="D6" s="3512">
        <f>'结果表-1层'!D120</f>
        <v>0</v>
      </c>
      <c r="E6" s="3512"/>
      <c r="F6" s="3512"/>
      <c r="G6" s="3512"/>
      <c r="H6" s="3512"/>
      <c r="I6" s="3512"/>
    </row>
    <row r="7" spans="1:9" ht="15">
      <c r="A7" s="3511" t="s">
        <v>927</v>
      </c>
      <c r="B7" s="3511"/>
      <c r="C7" s="3511"/>
      <c r="D7" s="3513" t="str">
        <f>'结果表-1层'!D121</f>
        <v>零元整</v>
      </c>
      <c r="E7" s="3514"/>
      <c r="F7" s="3514"/>
      <c r="G7" s="3514"/>
      <c r="H7" s="3514"/>
      <c r="I7" s="3515"/>
    </row>
    <row r="8" spans="1:9" ht="15.75">
      <c r="A8" s="3512" t="str">
        <f>'结果表-1层'!A122</f>
        <v>房地产抵押价值</v>
      </c>
      <c r="B8" s="3512"/>
      <c r="C8" s="3512"/>
      <c r="D8" s="3512">
        <f ca="1">'结果表-1层'!D122</f>
        <v>403</v>
      </c>
      <c r="E8" s="3512"/>
      <c r="F8" s="3512"/>
      <c r="G8" s="3512"/>
      <c r="H8" s="3512"/>
      <c r="I8" s="3512"/>
    </row>
    <row r="9" spans="1:9" ht="15">
      <c r="A9" s="3511" t="s">
        <v>927</v>
      </c>
      <c r="B9" s="3511"/>
      <c r="C9" s="3511"/>
      <c r="D9" s="3511" t="str">
        <f ca="1">'结果表-1层'!D123</f>
        <v>肆佰零叁万元整</v>
      </c>
      <c r="E9" s="3511"/>
      <c r="F9" s="3511"/>
      <c r="G9" s="3511"/>
      <c r="H9" s="3511"/>
      <c r="I9" s="3511"/>
    </row>
    <row r="10" spans="1:9" ht="15.75">
      <c r="A10" s="3512" t="str">
        <f>'结果表-1层'!A124</f>
        <v/>
      </c>
      <c r="B10" s="3512"/>
      <c r="C10" s="3512"/>
      <c r="D10" s="3512" t="str">
        <f>'结果表-1层'!D124</f>
        <v>——</v>
      </c>
      <c r="E10" s="3512"/>
      <c r="F10" s="3512"/>
      <c r="G10" s="3512"/>
      <c r="H10" s="3512"/>
      <c r="I10" s="3512"/>
    </row>
    <row r="11" spans="1:9" ht="15">
      <c r="A11" s="3511" t="s">
        <v>927</v>
      </c>
      <c r="B11" s="3511"/>
      <c r="C11" s="3511"/>
      <c r="D11" s="3511" t="e">
        <f>'结果表-1层'!D125</f>
        <v>#VALUE!</v>
      </c>
      <c r="E11" s="3511"/>
      <c r="F11" s="3511"/>
      <c r="G11" s="3511"/>
      <c r="H11" s="3511"/>
      <c r="I11" s="3511"/>
    </row>
    <row r="12" spans="1:9" ht="15.75">
      <c r="A12" s="3512" t="str">
        <f>'结果表-1层'!A126</f>
        <v>抵押净值</v>
      </c>
      <c r="B12" s="3512"/>
      <c r="C12" s="3512"/>
      <c r="D12" s="3512">
        <f ca="1">'结果表-1层'!D126</f>
        <v>403</v>
      </c>
      <c r="E12" s="3512"/>
      <c r="F12" s="3512"/>
      <c r="G12" s="3512"/>
      <c r="H12" s="3512"/>
      <c r="I12" s="3512"/>
    </row>
    <row r="13" spans="1:9" ht="15.75" thickBot="1">
      <c r="A13" s="3516" t="s">
        <v>927</v>
      </c>
      <c r="B13" s="3516"/>
      <c r="C13" s="3516"/>
      <c r="D13" s="3516" t="str">
        <f ca="1">'结果表-1层'!D127</f>
        <v>肆佰零叁万元整</v>
      </c>
      <c r="E13" s="3516"/>
      <c r="F13" s="3516"/>
      <c r="G13" s="3516"/>
      <c r="H13" s="3516"/>
      <c r="I13" s="3516"/>
    </row>
    <row r="14" spans="1:9" ht="15" thickTop="1">
      <c r="A14" s="3517" t="s">
        <v>932</v>
      </c>
      <c r="B14" s="3517"/>
      <c r="C14" s="3517"/>
      <c r="D14" s="3517"/>
      <c r="E14" s="3517"/>
      <c r="F14" s="3517"/>
      <c r="G14" s="3517"/>
      <c r="H14" s="3517"/>
      <c r="I14" s="3517"/>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18" t="s">
        <v>949</v>
      </c>
      <c r="B1" s="3518"/>
      <c r="C1" s="3518"/>
      <c r="D1" s="3518"/>
    </row>
    <row r="2" spans="1:4" ht="18">
      <c r="A2" s="3519" t="s">
        <v>933</v>
      </c>
      <c r="B2" s="3519"/>
      <c r="C2" s="3519"/>
      <c r="D2" s="3519"/>
    </row>
    <row r="3" spans="1:4" ht="18.75">
      <c r="A3" s="1508" t="s">
        <v>934</v>
      </c>
      <c r="B3" s="1508" t="s">
        <v>935</v>
      </c>
      <c r="C3" s="1508" t="s">
        <v>936</v>
      </c>
      <c r="D3" s="1508" t="s">
        <v>937</v>
      </c>
    </row>
    <row r="4" spans="1:4" ht="56.25" customHeight="1">
      <c r="A4" s="1509">
        <f>项目基本情况!B4</f>
        <v>0</v>
      </c>
      <c r="B4" s="1510">
        <f>项目基本情况!C4</f>
        <v>0</v>
      </c>
      <c r="C4" s="1511"/>
      <c r="D4" s="1512" t="s">
        <v>938</v>
      </c>
    </row>
    <row r="5" spans="1:4" ht="56.25" customHeight="1">
      <c r="A5" s="1509">
        <f>项目基本情况!D4</f>
        <v>0</v>
      </c>
      <c r="B5" s="1510">
        <f>项目基本情况!E4</f>
        <v>0</v>
      </c>
      <c r="C5" s="1513"/>
      <c r="D5" s="1512" t="s">
        <v>938</v>
      </c>
    </row>
    <row r="6" spans="1:4" ht="18">
      <c r="A6" s="3519" t="s">
        <v>939</v>
      </c>
      <c r="B6" s="3519"/>
      <c r="C6" s="3519"/>
      <c r="D6" s="3519"/>
    </row>
    <row r="7" spans="1:4" ht="18.75">
      <c r="A7" s="1508" t="s">
        <v>934</v>
      </c>
      <c r="B7" s="1510" t="s">
        <v>940</v>
      </c>
      <c r="C7" s="1508" t="s">
        <v>936</v>
      </c>
      <c r="D7" s="1508" t="s">
        <v>937</v>
      </c>
    </row>
    <row r="8" spans="1:4" ht="56.25" customHeight="1">
      <c r="A8" s="1514" t="s">
        <v>390</v>
      </c>
      <c r="B8" s="1514" t="s">
        <v>0</v>
      </c>
      <c r="C8" s="1511"/>
      <c r="D8" s="1512" t="s">
        <v>938</v>
      </c>
    </row>
    <row r="9" spans="1:4">
      <c r="A9" s="674"/>
      <c r="B9" s="674"/>
      <c r="C9" s="674"/>
      <c r="D9" s="674"/>
    </row>
    <row r="10" spans="1:4" ht="18.75">
      <c r="A10" s="1515" t="s">
        <v>941</v>
      </c>
      <c r="B10" s="674"/>
      <c r="C10" s="674"/>
      <c r="D10" s="674"/>
    </row>
    <row r="11" spans="1:4" ht="30" customHeight="1">
      <c r="A11" s="3520" t="s">
        <v>942</v>
      </c>
      <c r="B11" s="3521"/>
      <c r="C11" s="3521"/>
      <c r="D11" s="3521"/>
    </row>
    <row r="12" spans="1:4" ht="15.75">
      <c r="A12" s="352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2"/>
      <c r="C12" s="3522"/>
      <c r="D12" s="3522"/>
    </row>
    <row r="13" spans="1:4" ht="30" customHeight="1">
      <c r="A13" s="352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2"/>
      <c r="C13" s="3522"/>
      <c r="D13" s="3522"/>
    </row>
    <row r="14" spans="1:4" ht="15.75" customHeight="1">
      <c r="A14" s="3521" t="str">
        <f>IF(项目基本情况!B8="抵押","4.本次评估估价师所知悉的法定优先受偿款情况说明如下：","——")</f>
        <v>4.本次评估估价师所知悉的法定优先受偿款情况说明如下：</v>
      </c>
      <c r="B14" s="3522"/>
      <c r="C14" s="3522"/>
      <c r="D14" s="3522"/>
    </row>
    <row r="15" spans="1:4" ht="42" customHeight="1">
      <c r="A15" s="352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1"/>
      <c r="C15" s="3521"/>
      <c r="D15" s="3521"/>
    </row>
    <row r="16" spans="1:4" ht="30" customHeight="1">
      <c r="A16" s="3524" t="s">
        <v>943</v>
      </c>
      <c r="B16" s="3524"/>
      <c r="C16" s="3524"/>
      <c r="D16" s="3524"/>
    </row>
    <row r="17" spans="1:4" ht="144" customHeight="1">
      <c r="A17" s="3524" t="s">
        <v>944</v>
      </c>
      <c r="B17" s="3524"/>
      <c r="C17" s="3524"/>
      <c r="D17" s="3524"/>
    </row>
    <row r="18" spans="1:4" ht="15.75" customHeight="1">
      <c r="A18" s="3521" t="str">
        <f>IF(项目基本情况!B8="抵押",'结果表-1层'!K120,"——")</f>
        <v>故，本次评估不存在估价师知悉的法定优先受偿款</v>
      </c>
      <c r="B18" s="3521"/>
      <c r="C18" s="3521"/>
      <c r="D18" s="3521"/>
    </row>
    <row r="19" spans="1:4" ht="46.5" customHeight="1">
      <c r="A19" s="352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1"/>
      <c r="C19" s="3521"/>
      <c r="D19" s="3521"/>
    </row>
    <row r="20" spans="1:4" ht="57.75" customHeight="1">
      <c r="A20" s="3521" t="str">
        <f>IF('结果表-1层'!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1"/>
      <c r="C20" s="3521"/>
      <c r="D20" s="3521"/>
    </row>
    <row r="21" spans="1:4" ht="57.75" customHeight="1">
      <c r="A21" s="3525" t="str">
        <f>IF('结果表-1层'!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5"/>
      <c r="C21" s="3525"/>
      <c r="D21" s="3525"/>
    </row>
    <row r="22" spans="1:4" ht="18.75" customHeight="1">
      <c r="A22" s="3526" t="s">
        <v>945</v>
      </c>
      <c r="B22" s="3526"/>
      <c r="C22" s="3526"/>
      <c r="D22" s="3526"/>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523">
        <v>42551</v>
      </c>
      <c r="D31" s="352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32" t="s">
        <v>956</v>
      </c>
      <c r="B15" s="3527" t="s">
        <v>109</v>
      </c>
      <c r="C15" s="3528"/>
    </row>
    <row r="16" spans="1:7" ht="13.5">
      <c r="A16" s="3533"/>
      <c r="B16" s="3527" t="s">
        <v>42</v>
      </c>
      <c r="C16" s="3528"/>
    </row>
    <row r="17" spans="1:3" ht="13.5">
      <c r="A17" s="3533"/>
      <c r="B17" s="3530" t="s">
        <v>957</v>
      </c>
      <c r="C17" s="1531" t="s">
        <v>956</v>
      </c>
    </row>
    <row r="18" spans="1:3" ht="13.5">
      <c r="A18" s="3533"/>
      <c r="B18" s="3530"/>
      <c r="C18" s="1531" t="s">
        <v>958</v>
      </c>
    </row>
    <row r="19" spans="1:3" ht="13.5">
      <c r="A19" s="3533"/>
      <c r="B19" s="3530"/>
      <c r="C19" s="1531" t="s">
        <v>959</v>
      </c>
    </row>
    <row r="20" spans="1:3" ht="13.5">
      <c r="A20" s="3534"/>
      <c r="B20" s="3529" t="s">
        <v>960</v>
      </c>
      <c r="C20" s="3528"/>
    </row>
    <row r="21" spans="1:3" ht="13.5">
      <c r="A21" s="1532" t="s">
        <v>961</v>
      </c>
      <c r="B21" s="1533"/>
      <c r="C21" s="1534"/>
    </row>
    <row r="22" spans="1:3" ht="13.5">
      <c r="A22" s="3531" t="s">
        <v>962</v>
      </c>
      <c r="B22" s="3529" t="s">
        <v>963</v>
      </c>
      <c r="C22" s="3528"/>
    </row>
    <row r="23" spans="1:3" ht="13.5">
      <c r="A23" s="3531"/>
      <c r="B23" s="3529" t="s">
        <v>964</v>
      </c>
      <c r="C23" s="3528"/>
    </row>
    <row r="24" spans="1:3" ht="13.5">
      <c r="A24" s="3531"/>
      <c r="B24" s="3529" t="s">
        <v>965</v>
      </c>
      <c r="C24" s="3528"/>
    </row>
    <row r="25" spans="1:3" ht="13.5">
      <c r="A25" s="3531"/>
      <c r="B25" s="3530" t="s">
        <v>966</v>
      </c>
      <c r="C25" s="1531" t="s">
        <v>967</v>
      </c>
    </row>
    <row r="26" spans="1:3" ht="13.5">
      <c r="A26" s="3531"/>
      <c r="B26" s="3530"/>
      <c r="C26" s="1531" t="s">
        <v>968</v>
      </c>
    </row>
    <row r="27" spans="1:3" ht="13.5">
      <c r="A27" s="3531"/>
      <c r="B27" s="3530"/>
      <c r="C27" s="1531" t="s">
        <v>969</v>
      </c>
    </row>
    <row r="28" spans="1:3" ht="13.5">
      <c r="A28" s="3531"/>
      <c r="B28" s="3530"/>
      <c r="C28" s="1531" t="s">
        <v>970</v>
      </c>
    </row>
    <row r="29" spans="1:3" ht="13.5">
      <c r="A29" s="3531"/>
      <c r="B29" s="3530"/>
      <c r="C29" s="1531" t="s">
        <v>971</v>
      </c>
    </row>
    <row r="30" spans="1:3" ht="13.5">
      <c r="A30" s="3531"/>
      <c r="B30" s="3530"/>
      <c r="C30" s="1531" t="s">
        <v>972</v>
      </c>
    </row>
    <row r="31" spans="1:3" ht="13.5">
      <c r="A31" s="3531"/>
      <c r="B31" s="3530"/>
      <c r="C31" s="1531" t="s">
        <v>973</v>
      </c>
    </row>
    <row r="32" spans="1:3" ht="13.5">
      <c r="A32" s="3531"/>
      <c r="B32" s="3530"/>
      <c r="C32" s="1531" t="s">
        <v>974</v>
      </c>
    </row>
    <row r="33" spans="1:3" ht="13.5">
      <c r="A33" s="3531"/>
      <c r="B33" s="3530"/>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2139</v>
      </c>
      <c r="B2" s="2338">
        <f ca="1">TODAY()</f>
        <v>45806</v>
      </c>
      <c r="C2" s="2339" t="s">
        <v>2140</v>
      </c>
      <c r="D2" s="2339"/>
      <c r="E2" s="2339"/>
      <c r="F2" s="2335"/>
      <c r="G2" s="2335"/>
      <c r="H2" s="2335"/>
    </row>
    <row r="3" spans="1:8" ht="24" customHeight="1">
      <c r="A3" s="2340" t="s">
        <v>2141</v>
      </c>
      <c r="B3" s="2341" t="s">
        <v>2142</v>
      </c>
      <c r="C3" s="2341" t="s">
        <v>2143</v>
      </c>
      <c r="D3" s="2342" t="s">
        <v>2144</v>
      </c>
      <c r="E3" s="2343" t="s">
        <v>2145</v>
      </c>
      <c r="F3" s="1303" t="s">
        <v>2146</v>
      </c>
      <c r="G3" s="2341" t="s">
        <v>2143</v>
      </c>
      <c r="H3" s="2342" t="s">
        <v>2147</v>
      </c>
    </row>
    <row r="4" spans="1:8" ht="24" customHeight="1">
      <c r="A4" s="1303" t="s">
        <v>2148</v>
      </c>
      <c r="B4" s="1303">
        <f ca="1">IF(C4&lt;B2,"已过期",1119970066)</f>
        <v>1119970066</v>
      </c>
      <c r="C4" s="2344">
        <v>45937</v>
      </c>
      <c r="D4" s="2345" t="str">
        <f ca="1">A4&amp;"（注册号："&amp;B4&amp;"）"</f>
        <v>梁津（注册号：1119970066）</v>
      </c>
      <c r="E4" s="2346" t="s">
        <v>2148</v>
      </c>
      <c r="F4" s="1303">
        <f ca="1">IF(G4&lt;B2,"已过期",96010014)</f>
        <v>96010014</v>
      </c>
      <c r="G4" s="2347">
        <v>47118</v>
      </c>
      <c r="H4" s="2348" t="str">
        <f ca="1">E4&amp;"（注册号："&amp;F4&amp;"）"</f>
        <v>梁津（注册号：96010014）</v>
      </c>
    </row>
    <row r="5" spans="1:8" ht="24" customHeight="1">
      <c r="A5" s="1303" t="s">
        <v>2149</v>
      </c>
      <c r="B5" s="1303">
        <f ca="1">IF(C5&lt;B2,"已过期",1119970111)</f>
        <v>1119970111</v>
      </c>
      <c r="C5" s="2344">
        <v>45937</v>
      </c>
      <c r="D5" s="2345" t="str">
        <f t="shared" ref="D5:D15" ca="1" si="0">A5&amp;"（注册号："&amp;B5&amp;"）"</f>
        <v>叶凌（注册号：1119970111）</v>
      </c>
      <c r="E5" s="2346" t="s">
        <v>2149</v>
      </c>
      <c r="F5" s="1303">
        <f ca="1">IF(G5&lt;B2,"已过期",94010078)</f>
        <v>94010078</v>
      </c>
      <c r="G5" s="2347">
        <v>46387</v>
      </c>
      <c r="H5" s="2348" t="str">
        <f t="shared" ref="H5:H16" ca="1" si="1">E5&amp;"（注册号："&amp;F5&amp;"）"</f>
        <v>叶凌（注册号：94010078）</v>
      </c>
    </row>
    <row r="6" spans="1:8" ht="24" customHeight="1">
      <c r="A6" s="1303" t="s">
        <v>2150</v>
      </c>
      <c r="B6" s="1303" t="str">
        <f ca="1">IF(C6&lt;B2,"已过期",1120050019)</f>
        <v>已过期</v>
      </c>
      <c r="C6" s="2344">
        <v>45410</v>
      </c>
      <c r="D6" s="2345" t="str">
        <f t="shared" ca="1" si="0"/>
        <v>王鹏（注册号：已过期）</v>
      </c>
      <c r="E6" s="2346" t="s">
        <v>2150</v>
      </c>
      <c r="F6" s="1303">
        <f ca="1">IF(G6&lt;B2,"已过期",2002110030)</f>
        <v>2002110030</v>
      </c>
      <c r="G6" s="2347">
        <v>46387</v>
      </c>
      <c r="H6" s="2348" t="str">
        <f t="shared" ca="1" si="1"/>
        <v>王鹏（注册号：2002110030）</v>
      </c>
    </row>
    <row r="7" spans="1:8" ht="24" customHeight="1">
      <c r="A7" s="1303" t="s">
        <v>2151</v>
      </c>
      <c r="B7" s="1303">
        <f ca="1">IF(C7&lt;B2,"已过期",1120000080)</f>
        <v>1120000080</v>
      </c>
      <c r="C7" s="2344">
        <v>45937</v>
      </c>
      <c r="D7" s="2345" t="str">
        <f t="shared" ca="1" si="0"/>
        <v>欧红伟（注册号：1120000080）</v>
      </c>
      <c r="E7" s="2346" t="s">
        <v>2151</v>
      </c>
      <c r="F7" s="1303">
        <f ca="1">IF(G7&lt;B2,"已过期",2000110082)</f>
        <v>2000110082</v>
      </c>
      <c r="G7" s="2347">
        <v>46387</v>
      </c>
      <c r="H7" s="2348" t="str">
        <f t="shared" ca="1" si="1"/>
        <v>欧红伟（注册号：2000110082）</v>
      </c>
    </row>
    <row r="8" spans="1:8" ht="24" customHeight="1">
      <c r="A8" s="1303" t="s">
        <v>2152</v>
      </c>
      <c r="B8" s="1303">
        <f ca="1">IF(C8&lt;B2,"已过期",1419970001)</f>
        <v>1419970001</v>
      </c>
      <c r="C8" s="2344">
        <v>45937</v>
      </c>
      <c r="D8" s="2345" t="str">
        <f t="shared" ca="1" si="0"/>
        <v>吴薇（注册号：1419970001）</v>
      </c>
      <c r="E8" s="2346" t="s">
        <v>2152</v>
      </c>
      <c r="F8" s="1303">
        <f ca="1">IF(G8&lt;B2,"已过期",2002110125)</f>
        <v>2002110125</v>
      </c>
      <c r="G8" s="2347">
        <v>47118</v>
      </c>
      <c r="H8" s="2348" t="str">
        <f t="shared" ca="1" si="1"/>
        <v>吴薇（注册号：2002110125）</v>
      </c>
    </row>
    <row r="9" spans="1:8" ht="24" customHeight="1">
      <c r="A9" s="1303" t="s">
        <v>2153</v>
      </c>
      <c r="B9" s="1303" t="str">
        <f ca="1">IF(C9&lt;B2,"已过期",1120060040)</f>
        <v>已过期</v>
      </c>
      <c r="C9" s="2349">
        <v>45592</v>
      </c>
      <c r="D9" s="2345" t="str">
        <f t="shared" ca="1" si="0"/>
        <v>陈颖（注册号：已过期）</v>
      </c>
      <c r="E9" s="2346" t="s">
        <v>2153</v>
      </c>
      <c r="F9" s="1303">
        <f ca="1">IF(G9&lt;B2,"已过期",2004110096)</f>
        <v>2004110096</v>
      </c>
      <c r="G9" s="2347">
        <v>47118</v>
      </c>
      <c r="H9" s="2348" t="str">
        <f t="shared" ca="1" si="1"/>
        <v>陈颖（注册号：2004110096）</v>
      </c>
    </row>
    <row r="10" spans="1:8" ht="24" customHeight="1">
      <c r="A10" s="1303" t="s">
        <v>2154</v>
      </c>
      <c r="B10" s="1303" t="str">
        <f ca="1">IF(C10&lt;B2,"已过期",1120100036)</f>
        <v>已过期</v>
      </c>
      <c r="C10" s="2349">
        <v>45752</v>
      </c>
      <c r="D10" s="2345" t="str">
        <f t="shared" ca="1" si="0"/>
        <v>崔锴（注册号：已过期）</v>
      </c>
      <c r="E10" s="2346" t="s">
        <v>2154</v>
      </c>
      <c r="F10" s="1303">
        <f ca="1">IF(G10&lt;B2,"已过期",2010110070)</f>
        <v>2010110070</v>
      </c>
      <c r="G10" s="2347">
        <v>47907</v>
      </c>
      <c r="H10" s="2348" t="str">
        <f t="shared" ca="1" si="1"/>
        <v>崔锴（注册号：2010110070）</v>
      </c>
    </row>
    <row r="11" spans="1:8" ht="24" customHeight="1">
      <c r="A11" s="1303" t="s">
        <v>2155</v>
      </c>
      <c r="B11" s="1303">
        <f ca="1">IF(C11&lt;B2,"已过期",1120070131)</f>
        <v>1120070131</v>
      </c>
      <c r="C11" s="2344">
        <v>45937</v>
      </c>
      <c r="D11" s="2345" t="str">
        <f t="shared" ca="1" si="0"/>
        <v>郑燚（注册号：1120070131）</v>
      </c>
      <c r="E11" s="2346" t="s">
        <v>2155</v>
      </c>
      <c r="F11" s="1303">
        <f ca="1">IF(G11&lt;B2,"已过期",2014110011)</f>
        <v>2014110011</v>
      </c>
      <c r="G11" s="2347">
        <v>49302</v>
      </c>
      <c r="H11" s="2348" t="str">
        <f t="shared" ca="1" si="1"/>
        <v>郑燚（注册号：2014110011）</v>
      </c>
    </row>
    <row r="12" spans="1:8" ht="24" customHeight="1">
      <c r="A12" s="1303" t="s">
        <v>2156</v>
      </c>
      <c r="B12" s="1303">
        <f ca="1">IF(C12&lt;B2,"已过期",1120040230)</f>
        <v>1120040230</v>
      </c>
      <c r="C12" s="2349">
        <v>45937</v>
      </c>
      <c r="D12" s="2345" t="str">
        <f t="shared" ca="1" si="0"/>
        <v>苏海（注册号：1120040230）</v>
      </c>
      <c r="E12" s="2346" t="s">
        <v>2156</v>
      </c>
      <c r="F12" s="1303">
        <f ca="1">IF(G12&lt;B2,"已过期",98030020)</f>
        <v>98030020</v>
      </c>
      <c r="G12" s="2347">
        <v>47118</v>
      </c>
      <c r="H12" s="2348" t="str">
        <f t="shared" ca="1" si="1"/>
        <v>苏海（注册号：98030020）</v>
      </c>
    </row>
    <row r="13" spans="1:8" ht="24" customHeight="1">
      <c r="A13" s="1303" t="s">
        <v>2157</v>
      </c>
      <c r="B13" s="1303" t="str">
        <f ca="1">IF(C13&lt;B2,"已过期",1120020033)</f>
        <v>已过期</v>
      </c>
      <c r="C13" s="2344">
        <v>45375</v>
      </c>
      <c r="D13" s="2345" t="str">
        <f t="shared" ca="1" si="0"/>
        <v>刘敬东（注册号：已过期）</v>
      </c>
      <c r="E13" s="2346" t="s">
        <v>2157</v>
      </c>
      <c r="F13" s="1303">
        <f ca="1">IF(G13&lt;B2,"已过期",2000110137)</f>
        <v>2000110137</v>
      </c>
      <c r="G13" s="2347">
        <v>46387</v>
      </c>
      <c r="H13" s="2348" t="str">
        <f t="shared" ca="1" si="1"/>
        <v>刘敬东（注册号：2000110137）</v>
      </c>
    </row>
    <row r="14" spans="1:8" ht="24" customHeight="1">
      <c r="A14" s="1303" t="s">
        <v>2158</v>
      </c>
      <c r="B14" s="1303" t="str">
        <f ca="1">IF(C14&lt;B2,"已过期",1119980106)</f>
        <v>已过期</v>
      </c>
      <c r="C14" s="2349">
        <v>44969</v>
      </c>
      <c r="D14" s="2345" t="str">
        <f t="shared" ca="1" si="0"/>
        <v>刘俊财（注册号：已过期）</v>
      </c>
      <c r="E14" s="2346" t="s">
        <v>2158</v>
      </c>
      <c r="F14" s="1303">
        <f ca="1">IF(G14&lt;B2,"已过期",96010063)</f>
        <v>96010063</v>
      </c>
      <c r="G14" s="2347">
        <v>47483</v>
      </c>
      <c r="H14" s="2348" t="str">
        <f t="shared" ca="1" si="1"/>
        <v>刘俊财（注册号：96010063）</v>
      </c>
    </row>
    <row r="15" spans="1:8" ht="24" customHeight="1">
      <c r="A15" s="1303" t="s">
        <v>2437</v>
      </c>
      <c r="B15" s="1303">
        <v>1120210056</v>
      </c>
      <c r="C15" s="2349">
        <v>45410</v>
      </c>
      <c r="D15" s="2345" t="str">
        <f t="shared" si="0"/>
        <v>宁小鳗（注册号：1120210056）</v>
      </c>
      <c r="E15" s="2346" t="s">
        <v>2159</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35" t="s">
        <v>2160</v>
      </c>
      <c r="B17" s="3535"/>
      <c r="C17" s="3535"/>
      <c r="D17" s="3535"/>
      <c r="E17" s="3535"/>
      <c r="F17" s="3535"/>
      <c r="G17" s="3535"/>
      <c r="H17" s="3535"/>
    </row>
    <row r="18" spans="1:8" ht="24" customHeight="1">
      <c r="A18" s="3536" t="s">
        <v>2161</v>
      </c>
      <c r="B18" s="3536"/>
      <c r="C18" s="3536"/>
      <c r="D18" s="2342"/>
      <c r="E18" s="3537" t="s">
        <v>2162</v>
      </c>
      <c r="F18" s="3536"/>
      <c r="G18" s="3536"/>
    </row>
    <row r="19" spans="1:8" s="2353" customFormat="1" ht="24" customHeight="1">
      <c r="A19" s="2352" t="s">
        <v>2163</v>
      </c>
      <c r="B19" s="2341" t="s">
        <v>2164</v>
      </c>
      <c r="C19" s="2341" t="s">
        <v>2143</v>
      </c>
      <c r="D19" s="2342"/>
      <c r="E19" s="2346" t="s">
        <v>2163</v>
      </c>
      <c r="F19" s="2341" t="s">
        <v>2164</v>
      </c>
      <c r="G19" s="2341" t="s">
        <v>2143</v>
      </c>
    </row>
    <row r="20" spans="1:8" s="2353" customFormat="1" ht="24" customHeight="1">
      <c r="A20" s="2354" t="s">
        <v>2165</v>
      </c>
      <c r="B20" s="2354" t="s">
        <v>2166</v>
      </c>
      <c r="C20" s="2347">
        <v>45898</v>
      </c>
      <c r="D20" s="2355"/>
      <c r="E20" s="2356" t="s">
        <v>2167</v>
      </c>
      <c r="F20" s="2359" t="s">
        <v>2438</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66" priority="53">
      <formula>AND($C4-TODAY()&lt;30,TODAY()&lt;$C4)</formula>
    </cfRule>
  </conditionalFormatting>
  <conditionalFormatting sqref="C20:D20">
    <cfRule type="expression" dxfId="265" priority="52">
      <formula>AND($C20-TODAY()&lt;30,TODAY()&lt;$C20)</formula>
    </cfRule>
  </conditionalFormatting>
  <conditionalFormatting sqref="C20:D20 G4 C4:D5 C13:D13">
    <cfRule type="cellIs" dxfId="264" priority="54" stopIfTrue="1" operator="lessThan">
      <formula>$B$2</formula>
    </cfRule>
  </conditionalFormatting>
  <conditionalFormatting sqref="G5 G7 G9">
    <cfRule type="cellIs" dxfId="263" priority="51" stopIfTrue="1" operator="lessThan">
      <formula>$B$2</formula>
    </cfRule>
  </conditionalFormatting>
  <conditionalFormatting sqref="C6:D6 D14 D16">
    <cfRule type="expression" dxfId="262" priority="49">
      <formula>AND($C6-TODAY()&lt;30,TODAY()&lt;$C6)</formula>
    </cfRule>
  </conditionalFormatting>
  <conditionalFormatting sqref="G6 G8 G10 C6:D6 D7:D12 D14 D16">
    <cfRule type="cellIs" dxfId="261" priority="50" stopIfTrue="1" operator="lessThan">
      <formula>$B$2</formula>
    </cfRule>
  </conditionalFormatting>
  <conditionalFormatting sqref="D12">
    <cfRule type="expression" dxfId="260" priority="47">
      <formula>AND($C12-TODAY()&lt;30,TODAY()&lt;$C12)</formula>
    </cfRule>
  </conditionalFormatting>
  <conditionalFormatting sqref="D12">
    <cfRule type="cellIs" dxfId="259" priority="48" stopIfTrue="1" operator="lessThan">
      <formula>$B$2</formula>
    </cfRule>
  </conditionalFormatting>
  <conditionalFormatting sqref="C13:D13">
    <cfRule type="expression" dxfId="258" priority="45">
      <formula>AND($C13-TODAY()&lt;30,TODAY()&lt;$C13)</formula>
    </cfRule>
  </conditionalFormatting>
  <conditionalFormatting sqref="C13:D13">
    <cfRule type="cellIs" dxfId="257" priority="46" stopIfTrue="1" operator="lessThan">
      <formula>$B$2</formula>
    </cfRule>
  </conditionalFormatting>
  <conditionalFormatting sqref="D14">
    <cfRule type="expression" dxfId="256" priority="43">
      <formula>AND($C14-TODAY()&lt;30,TODAY()&lt;$C14)</formula>
    </cfRule>
  </conditionalFormatting>
  <conditionalFormatting sqref="D14">
    <cfRule type="cellIs" dxfId="255" priority="44" stopIfTrue="1" operator="lessThan">
      <formula>$B$2</formula>
    </cfRule>
  </conditionalFormatting>
  <conditionalFormatting sqref="G13">
    <cfRule type="cellIs" dxfId="254" priority="42" stopIfTrue="1" operator="lessThan">
      <formula>$B$2</formula>
    </cfRule>
  </conditionalFormatting>
  <conditionalFormatting sqref="B4:B11 F4:F11 B13 F13:F14">
    <cfRule type="cellIs" dxfId="253" priority="41" stopIfTrue="1" operator="equal">
      <formula>"已过期"</formula>
    </cfRule>
  </conditionalFormatting>
  <conditionalFormatting sqref="C7">
    <cfRule type="cellIs" dxfId="252" priority="38" stopIfTrue="1" operator="lessThan">
      <formula>$B$2</formula>
    </cfRule>
  </conditionalFormatting>
  <conditionalFormatting sqref="C7">
    <cfRule type="expression" dxfId="251" priority="37">
      <formula>AND($C7-TODAY()&lt;30,TODAY()&lt;$C7)</formula>
    </cfRule>
  </conditionalFormatting>
  <conditionalFormatting sqref="C8">
    <cfRule type="expression" dxfId="250" priority="35">
      <formula>AND($C8-TODAY()&lt;30,TODAY()&lt;$C8)</formula>
    </cfRule>
  </conditionalFormatting>
  <conditionalFormatting sqref="C8">
    <cfRule type="cellIs" dxfId="249" priority="36" stopIfTrue="1" operator="lessThan">
      <formula>$B$2</formula>
    </cfRule>
  </conditionalFormatting>
  <conditionalFormatting sqref="C11">
    <cfRule type="expression" dxfId="248" priority="33">
      <formula>AND($C11-TODAY()&lt;30,TODAY()&lt;$C11)</formula>
    </cfRule>
  </conditionalFormatting>
  <conditionalFormatting sqref="C11">
    <cfRule type="cellIs" dxfId="247" priority="34" stopIfTrue="1" operator="lessThan">
      <formula>$B$2</formula>
    </cfRule>
  </conditionalFormatting>
  <conditionalFormatting sqref="A16:C16">
    <cfRule type="cellIs" dxfId="246" priority="32" stopIfTrue="1" operator="equal">
      <formula>"已过期"</formula>
    </cfRule>
  </conditionalFormatting>
  <conditionalFormatting sqref="E16:G16">
    <cfRule type="cellIs" dxfId="245" priority="31" stopIfTrue="1" operator="equal">
      <formula>"已过期"</formula>
    </cfRule>
  </conditionalFormatting>
  <conditionalFormatting sqref="G11">
    <cfRule type="cellIs" dxfId="244" priority="30" stopIfTrue="1" operator="lessThan">
      <formula>$B$2</formula>
    </cfRule>
  </conditionalFormatting>
  <conditionalFormatting sqref="F12">
    <cfRule type="cellIs" dxfId="243" priority="29" stopIfTrue="1" operator="equal">
      <formula>"已过期"</formula>
    </cfRule>
  </conditionalFormatting>
  <conditionalFormatting sqref="G12">
    <cfRule type="cellIs" dxfId="242" priority="28" stopIfTrue="1" operator="lessThan">
      <formula>$B$2</formula>
    </cfRule>
  </conditionalFormatting>
  <conditionalFormatting sqref="C12">
    <cfRule type="cellIs" dxfId="241" priority="27" stopIfTrue="1" operator="lessThan">
      <formula>$B$2</formula>
    </cfRule>
  </conditionalFormatting>
  <conditionalFormatting sqref="C12">
    <cfRule type="expression" dxfId="240" priority="25">
      <formula>AND($C12-TODAY()&lt;30,TODAY()&lt;$C12)</formula>
    </cfRule>
  </conditionalFormatting>
  <conditionalFormatting sqref="C12">
    <cfRule type="cellIs" dxfId="239" priority="26" stopIfTrue="1" operator="lessThan">
      <formula>$B$2</formula>
    </cfRule>
  </conditionalFormatting>
  <conditionalFormatting sqref="B12">
    <cfRule type="cellIs" dxfId="238" priority="24" stopIfTrue="1" operator="equal">
      <formula>"已过期"</formula>
    </cfRule>
  </conditionalFormatting>
  <conditionalFormatting sqref="C9:C10">
    <cfRule type="expression" dxfId="237" priority="22">
      <formula>AND($C9-TODAY()&lt;30,TODAY()&lt;$C9)</formula>
    </cfRule>
  </conditionalFormatting>
  <conditionalFormatting sqref="C9:C10">
    <cfRule type="cellIs" dxfId="236" priority="23" stopIfTrue="1" operator="lessThan">
      <formula>$B$2</formula>
    </cfRule>
  </conditionalFormatting>
  <conditionalFormatting sqref="G21">
    <cfRule type="expression" dxfId="235" priority="20" stopIfTrue="1">
      <formula>AND(#REF!-TODAY()&lt;30,TODAY()&lt;#REF!)</formula>
    </cfRule>
  </conditionalFormatting>
  <conditionalFormatting sqref="G21">
    <cfRule type="cellIs" dxfId="234" priority="21" stopIfTrue="1" operator="lessThan">
      <formula>$B$2</formula>
    </cfRule>
  </conditionalFormatting>
  <conditionalFormatting sqref="C14">
    <cfRule type="expression" dxfId="233" priority="18">
      <formula>AND($C14-TODAY()&lt;30,TODAY()&lt;$C14)</formula>
    </cfRule>
  </conditionalFormatting>
  <conditionalFormatting sqref="C14">
    <cfRule type="cellIs" dxfId="232" priority="19" stopIfTrue="1" operator="lessThan">
      <formula>$B$2</formula>
    </cfRule>
  </conditionalFormatting>
  <conditionalFormatting sqref="C14">
    <cfRule type="expression" dxfId="231" priority="16">
      <formula>AND($C14-TODAY()&lt;30,TODAY()&lt;$C14)</formula>
    </cfRule>
  </conditionalFormatting>
  <conditionalFormatting sqref="C14">
    <cfRule type="cellIs" dxfId="230" priority="17" stopIfTrue="1" operator="lessThan">
      <formula>$B$2</formula>
    </cfRule>
  </conditionalFormatting>
  <conditionalFormatting sqref="B14">
    <cfRule type="cellIs" dxfId="229" priority="15" stopIfTrue="1" operator="equal">
      <formula>"已过期"</formula>
    </cfRule>
  </conditionalFormatting>
  <conditionalFormatting sqref="G14">
    <cfRule type="cellIs" dxfId="228" priority="14" stopIfTrue="1" operator="lessThan">
      <formula>$B$2</formula>
    </cfRule>
  </conditionalFormatting>
  <conditionalFormatting sqref="D15">
    <cfRule type="expression" dxfId="227" priority="12">
      <formula>AND($C15-TODAY()&lt;30,TODAY()&lt;$C15)</formula>
    </cfRule>
  </conditionalFormatting>
  <conditionalFormatting sqref="D15">
    <cfRule type="cellIs" dxfId="226" priority="13" stopIfTrue="1" operator="lessThan">
      <formula>$B$2</formula>
    </cfRule>
  </conditionalFormatting>
  <conditionalFormatting sqref="D15">
    <cfRule type="expression" dxfId="225" priority="10">
      <formula>AND($C15-TODAY()&lt;30,TODAY()&lt;$C15)</formula>
    </cfRule>
  </conditionalFormatting>
  <conditionalFormatting sqref="D15">
    <cfRule type="cellIs" dxfId="224" priority="11" stopIfTrue="1" operator="lessThan">
      <formula>$B$2</formula>
    </cfRule>
  </conditionalFormatting>
  <conditionalFormatting sqref="F15">
    <cfRule type="cellIs" dxfId="223" priority="9" stopIfTrue="1" operator="equal">
      <formula>"已过期"</formula>
    </cfRule>
  </conditionalFormatting>
  <conditionalFormatting sqref="C15">
    <cfRule type="expression" dxfId="222" priority="7">
      <formula>AND($C15-TODAY()&lt;30,TODAY()&lt;$C15)</formula>
    </cfRule>
  </conditionalFormatting>
  <conditionalFormatting sqref="C15">
    <cfRule type="cellIs" dxfId="221" priority="8" stopIfTrue="1" operator="lessThan">
      <formula>$B$2</formula>
    </cfRule>
  </conditionalFormatting>
  <conditionalFormatting sqref="C15">
    <cfRule type="expression" dxfId="220" priority="5">
      <formula>AND($C15-TODAY()&lt;30,TODAY()&lt;$C15)</formula>
    </cfRule>
  </conditionalFormatting>
  <conditionalFormatting sqref="C15">
    <cfRule type="cellIs" dxfId="219" priority="6" stopIfTrue="1" operator="lessThan">
      <formula>$B$2</formula>
    </cfRule>
  </conditionalFormatting>
  <conditionalFormatting sqref="B15">
    <cfRule type="cellIs" dxfId="218" priority="4" stopIfTrue="1" operator="equal">
      <formula>"已过期"</formula>
    </cfRule>
  </conditionalFormatting>
  <conditionalFormatting sqref="G15">
    <cfRule type="cellIs" dxfId="217" priority="3" stopIfTrue="1" operator="lessThan">
      <formula>$B$2</formula>
    </cfRule>
  </conditionalFormatting>
  <conditionalFormatting sqref="G20">
    <cfRule type="expression" dxfId="216" priority="1" stopIfTrue="1">
      <formula>AND(#REF!-TODAY()&lt;30,TODAY()&lt;#REF!)</formula>
    </cfRule>
  </conditionalFormatting>
  <conditionalFormatting sqref="G20">
    <cfRule type="cellIs" dxfId="21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25" sqref="B2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3350</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3336</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3337</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3338</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3339</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3340</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3341</v>
      </c>
    </row>
    <row r="8" spans="1:23">
      <c r="A8" s="1545" t="s">
        <v>1026</v>
      </c>
      <c r="B8" s="1545" t="s">
        <v>1027</v>
      </c>
      <c r="C8" s="1546" t="s">
        <v>319</v>
      </c>
      <c r="F8" s="1547" t="s">
        <v>1028</v>
      </c>
      <c r="H8" s="1547" t="s">
        <v>2577</v>
      </c>
      <c r="I8" s="1547" t="s">
        <v>3342</v>
      </c>
    </row>
    <row r="9" spans="1:23">
      <c r="A9" s="1545" t="s">
        <v>1029</v>
      </c>
      <c r="B9" s="1545" t="s">
        <v>1030</v>
      </c>
      <c r="C9" s="1546" t="s">
        <v>320</v>
      </c>
      <c r="F9" s="1547" t="s">
        <v>1031</v>
      </c>
      <c r="H9" s="1547"/>
      <c r="I9" s="1550" t="s">
        <v>3343</v>
      </c>
    </row>
    <row r="10" spans="1:23">
      <c r="A10" s="1545" t="s">
        <v>1032</v>
      </c>
      <c r="B10" s="1545" t="s">
        <v>1033</v>
      </c>
      <c r="C10" s="1546" t="s">
        <v>321</v>
      </c>
      <c r="F10" s="1547" t="s">
        <v>2578</v>
      </c>
      <c r="I10" s="1550" t="s">
        <v>3344</v>
      </c>
    </row>
    <row r="11" spans="1:23">
      <c r="A11" s="1545" t="s">
        <v>1034</v>
      </c>
      <c r="B11" s="1545" t="s">
        <v>1035</v>
      </c>
      <c r="C11" s="1546" t="s">
        <v>322</v>
      </c>
      <c r="F11" s="1547" t="s">
        <v>13</v>
      </c>
      <c r="I11" s="1550" t="s">
        <v>3345</v>
      </c>
    </row>
    <row r="12" spans="1:23">
      <c r="A12" s="1545" t="s">
        <v>1036</v>
      </c>
      <c r="B12" s="1545" t="s">
        <v>1037</v>
      </c>
      <c r="C12" s="1546" t="s">
        <v>323</v>
      </c>
      <c r="I12" s="1550" t="s">
        <v>3346</v>
      </c>
    </row>
    <row r="13" spans="1:23">
      <c r="A13" s="1545" t="s">
        <v>1038</v>
      </c>
      <c r="B13" s="1545" t="s">
        <v>1039</v>
      </c>
      <c r="C13" s="1546" t="s">
        <v>324</v>
      </c>
      <c r="I13" s="1550" t="s">
        <v>3347</v>
      </c>
    </row>
    <row r="14" spans="1:23">
      <c r="A14" s="1545" t="s">
        <v>1040</v>
      </c>
      <c r="B14" s="1545" t="s">
        <v>1041</v>
      </c>
      <c r="C14" s="1547" t="s">
        <v>13</v>
      </c>
      <c r="I14" s="1550" t="s">
        <v>3348</v>
      </c>
    </row>
    <row r="15" spans="1:23">
      <c r="A15" s="1545" t="s">
        <v>1042</v>
      </c>
      <c r="B15" s="1545" t="s">
        <v>1043</v>
      </c>
      <c r="C15" s="1546"/>
      <c r="I15" s="1550" t="s">
        <v>3349</v>
      </c>
    </row>
    <row r="16" spans="1:23">
      <c r="A16" s="1545" t="s">
        <v>1044</v>
      </c>
      <c r="B16" s="1545" t="s">
        <v>312</v>
      </c>
      <c r="C16" s="1546"/>
    </row>
    <row r="17" spans="1:3">
      <c r="A17" s="1545" t="s">
        <v>1045</v>
      </c>
      <c r="B17" s="1545" t="s">
        <v>2293</v>
      </c>
      <c r="C17" s="1546"/>
    </row>
    <row r="18" spans="1:3">
      <c r="A18" s="1545" t="s">
        <v>1046</v>
      </c>
      <c r="B18" s="1545" t="s">
        <v>2433</v>
      </c>
      <c r="C18" s="1546"/>
    </row>
    <row r="19" spans="1:3">
      <c r="A19" s="1545" t="s">
        <v>1047</v>
      </c>
      <c r="B19" s="1545" t="s">
        <v>3494</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38"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5月28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8"/>
      <c r="B54" s="1553" t="s">
        <v>385</v>
      </c>
      <c r="C54" s="1550" t="s">
        <v>583</v>
      </c>
    </row>
    <row r="55" spans="1:4">
      <c r="A55" s="3538"/>
      <c r="B55" s="1553" t="s">
        <v>386</v>
      </c>
      <c r="C55" s="1550" t="s">
        <v>584</v>
      </c>
    </row>
    <row r="56" spans="1:4">
      <c r="A56" s="3538"/>
      <c r="B56" s="1553" t="s">
        <v>387</v>
      </c>
      <c r="C56" s="1550" t="s">
        <v>588</v>
      </c>
    </row>
    <row r="57" spans="1:4">
      <c r="A57" s="3538"/>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2500</v>
      </c>
      <c r="B1" s="3013"/>
      <c r="C1" s="3013"/>
      <c r="D1" s="3013"/>
      <c r="E1" s="3013"/>
      <c r="F1" s="3014"/>
      <c r="I1" s="3436" t="s">
        <v>2593</v>
      </c>
      <c r="J1" s="3225"/>
      <c r="K1" s="3225"/>
      <c r="L1" s="3225"/>
      <c r="M1" s="3225"/>
      <c r="N1" s="3437"/>
      <c r="O1" s="3437"/>
      <c r="P1" s="3437"/>
      <c r="Q1" s="3437"/>
      <c r="R1" s="3437"/>
    </row>
    <row r="2" spans="1:18">
      <c r="A2" s="3016"/>
      <c r="B2" s="3017"/>
      <c r="C2" s="3017"/>
      <c r="D2" s="3017"/>
      <c r="E2" s="3017"/>
      <c r="F2" s="3018"/>
      <c r="I2" s="3539" t="s">
        <v>2580</v>
      </c>
      <c r="J2" s="3539"/>
      <c r="K2" s="3539"/>
      <c r="L2" s="3539"/>
      <c r="M2" s="3539"/>
      <c r="N2" s="3539"/>
      <c r="O2" s="3539"/>
      <c r="P2" s="3539"/>
      <c r="Q2" s="3539"/>
      <c r="R2" s="3539"/>
    </row>
    <row r="3" spans="1:18">
      <c r="A3" s="3019" t="s">
        <v>2501</v>
      </c>
      <c r="B3" s="3020">
        <f>项目基本情况!D3</f>
        <v>45805</v>
      </c>
      <c r="C3" s="3022"/>
      <c r="D3" s="3022"/>
      <c r="E3" s="3022"/>
      <c r="F3" s="3018"/>
      <c r="I3" s="3438"/>
      <c r="J3" s="3438" t="s">
        <v>2584</v>
      </c>
      <c r="K3" s="3438" t="s">
        <v>2585</v>
      </c>
      <c r="L3" s="3438" t="s">
        <v>2586</v>
      </c>
      <c r="M3" s="3438" t="s">
        <v>2587</v>
      </c>
      <c r="N3" s="3439" t="s">
        <v>2588</v>
      </c>
      <c r="O3" s="3439" t="s">
        <v>2589</v>
      </c>
      <c r="P3" s="3439" t="s">
        <v>2590</v>
      </c>
      <c r="Q3" s="3439" t="s">
        <v>2591</v>
      </c>
      <c r="R3" s="3439" t="s">
        <v>2592</v>
      </c>
    </row>
    <row r="4" spans="1:18">
      <c r="A4" s="3019" t="s">
        <v>2502</v>
      </c>
      <c r="B4" s="3022" t="s">
        <v>2503</v>
      </c>
      <c r="C4" s="3022" t="s">
        <v>2504</v>
      </c>
      <c r="D4" s="3022" t="s">
        <v>2505</v>
      </c>
      <c r="E4" s="3022" t="s">
        <v>2506</v>
      </c>
      <c r="F4" s="3018"/>
      <c r="I4" s="3438" t="s">
        <v>2581</v>
      </c>
      <c r="J4" s="3438">
        <v>80</v>
      </c>
      <c r="K4" s="3438">
        <v>70</v>
      </c>
      <c r="L4" s="3438">
        <v>20</v>
      </c>
      <c r="M4" s="3438">
        <v>30</v>
      </c>
      <c r="N4" s="3022">
        <v>45</v>
      </c>
      <c r="O4" s="3022">
        <v>60</v>
      </c>
      <c r="P4" s="3022">
        <v>50</v>
      </c>
      <c r="Q4" s="3022">
        <v>20</v>
      </c>
      <c r="R4" s="3022">
        <v>375</v>
      </c>
    </row>
    <row r="5" spans="1:18">
      <c r="A5" s="3023">
        <v>40</v>
      </c>
      <c r="B5" s="3020">
        <v>46375</v>
      </c>
      <c r="C5" s="3022">
        <f>ROUNDDOWN(MIN((B5-B3)/365,A5),2)</f>
        <v>1.56</v>
      </c>
      <c r="D5" s="3024">
        <f>IF(ISERROR(ROUND(POWER(1+E5,A5-C5)*(POWER(1+E5,C5)-1)/(POWER(1+E5,A5)-1),3)),0,ROUND(POWER(1+E5,A5-C5)*(POWER(1+E5,C5)-1)/(POWER(1+E5,A5)-1),4))</f>
        <v>7.4999999999999997E-2</v>
      </c>
      <c r="E5" s="3025">
        <v>0.04</v>
      </c>
      <c r="F5" s="3018"/>
      <c r="I5" s="3438" t="s">
        <v>2582</v>
      </c>
      <c r="J5" s="3438">
        <v>70</v>
      </c>
      <c r="K5" s="3438">
        <v>60</v>
      </c>
      <c r="L5" s="3438">
        <v>15</v>
      </c>
      <c r="M5" s="3438">
        <v>25</v>
      </c>
      <c r="N5" s="3022">
        <v>40</v>
      </c>
      <c r="O5" s="3022">
        <v>50</v>
      </c>
      <c r="P5" s="3022">
        <v>40</v>
      </c>
      <c r="Q5" s="3022">
        <v>15</v>
      </c>
      <c r="R5" s="3022">
        <v>315</v>
      </c>
    </row>
    <row r="6" spans="1:18">
      <c r="A6" s="3023">
        <v>50</v>
      </c>
      <c r="B6" s="3020">
        <v>50028</v>
      </c>
      <c r="C6" s="3022">
        <f>ROUNDDOWN(MIN((B6-B3)/365,A6),2)</f>
        <v>11.56</v>
      </c>
      <c r="D6" s="3024">
        <f>IF(ISERROR(ROUND(POWER(1+E6,A6-C6)*(POWER(1+E6,C6)-1)/(POWER(1+E6,A6)-1),3)),0,ROUND(POWER(1+E6,A6-C6)*(POWER(1+E6,C6)-1)/(POWER(1+E6,A6)-1),4))</f>
        <v>0.42420000000000002</v>
      </c>
      <c r="E6" s="3025">
        <v>0.04</v>
      </c>
      <c r="F6" s="3018"/>
      <c r="I6" s="3438" t="s">
        <v>2583</v>
      </c>
      <c r="J6" s="3438">
        <v>60</v>
      </c>
      <c r="K6" s="3438">
        <v>50</v>
      </c>
      <c r="L6" s="3438">
        <v>10</v>
      </c>
      <c r="M6" s="3438">
        <v>20</v>
      </c>
      <c r="N6" s="3022">
        <v>35</v>
      </c>
      <c r="O6" s="3022">
        <v>40</v>
      </c>
      <c r="P6" s="3022">
        <v>30</v>
      </c>
      <c r="Q6" s="3022">
        <v>10</v>
      </c>
      <c r="R6" s="3022">
        <v>255</v>
      </c>
    </row>
    <row r="7" spans="1:18">
      <c r="A7" s="3023">
        <v>70</v>
      </c>
      <c r="B7" s="3020">
        <v>57333</v>
      </c>
      <c r="C7" s="3022">
        <f>ROUNDDOWN(MIN((B7-B3)/365,A7),2)</f>
        <v>31.58</v>
      </c>
      <c r="D7" s="3024">
        <f>IF(ISERROR(ROUND(POWER(1+E7,A7-C7)*(POWER(1+E7,C7)-1)/(POWER(1+E7,A7)-1),3)),0,ROUND(POWER(1+E7,A7-C7)*(POWER(1+E7,C7)-1)/(POWER(1+E7,A7)-1),4))</f>
        <v>0.75890000000000002</v>
      </c>
      <c r="E7" s="3025">
        <v>0.04</v>
      </c>
      <c r="F7" s="3018"/>
    </row>
    <row r="8" spans="1:18">
      <c r="A8" s="3016"/>
      <c r="B8" s="3017"/>
      <c r="C8" s="3017"/>
      <c r="D8" s="3017"/>
      <c r="E8" s="3017"/>
      <c r="F8" s="3018"/>
    </row>
    <row r="9" spans="1:18">
      <c r="A9" s="3019" t="s">
        <v>2507</v>
      </c>
      <c r="B9" s="3022"/>
      <c r="C9" s="3022"/>
      <c r="D9" s="3022"/>
      <c r="E9" s="3022"/>
      <c r="F9" s="3026"/>
    </row>
    <row r="10" spans="1:18">
      <c r="A10" s="3019" t="s">
        <v>2508</v>
      </c>
      <c r="B10" s="3022"/>
      <c r="C10" s="3022"/>
      <c r="D10" s="3022" t="s">
        <v>2506</v>
      </c>
      <c r="E10" s="3022"/>
      <c r="F10" s="3026" t="s">
        <v>2505</v>
      </c>
    </row>
    <row r="11" spans="1:18">
      <c r="A11" s="3019" t="s">
        <v>2509</v>
      </c>
      <c r="B11" s="3027">
        <v>70</v>
      </c>
      <c r="C11" s="3022" t="s">
        <v>2510</v>
      </c>
      <c r="D11" s="3028">
        <v>4.4999999999999998E-2</v>
      </c>
      <c r="E11" s="3022" t="s">
        <v>2511</v>
      </c>
      <c r="F11" s="3029">
        <f>ROUND(1-(1/(POWER(1+D11,B11))),4)</f>
        <v>0.95409999999999995</v>
      </c>
    </row>
    <row r="12" spans="1:18">
      <c r="A12" s="3019" t="s">
        <v>2512</v>
      </c>
      <c r="B12" s="3027">
        <v>40</v>
      </c>
      <c r="C12" s="3022" t="s">
        <v>2513</v>
      </c>
      <c r="D12" s="3028">
        <v>4.4999999999999998E-2</v>
      </c>
      <c r="E12" s="3022" t="s">
        <v>2514</v>
      </c>
      <c r="F12" s="3029">
        <f>ROUND(1-(1/(POWER(1+D12,B12))),4)</f>
        <v>0.82809999999999995</v>
      </c>
    </row>
    <row r="13" spans="1:18">
      <c r="A13" s="3019" t="s">
        <v>2515</v>
      </c>
      <c r="B13" s="3022"/>
      <c r="C13" s="3022"/>
      <c r="D13" s="3017"/>
      <c r="E13" s="3017"/>
      <c r="F13" s="3018"/>
    </row>
    <row r="14" spans="1:18">
      <c r="A14" s="3019" t="s">
        <v>2516</v>
      </c>
      <c r="B14" s="3027">
        <v>5000</v>
      </c>
      <c r="C14" s="3021"/>
      <c r="D14" s="3017"/>
      <c r="E14" s="3017"/>
      <c r="F14" s="3018"/>
    </row>
    <row r="15" spans="1:18">
      <c r="A15" s="3019" t="s">
        <v>2517</v>
      </c>
      <c r="B15" s="3022">
        <f>ROUND(B14*F12/F11,2)</f>
        <v>4339.6899999999996</v>
      </c>
      <c r="C15" s="3022">
        <f>ROUND(F12/F11,4)</f>
        <v>0.8679</v>
      </c>
      <c r="D15" s="3017"/>
      <c r="E15" s="3017"/>
      <c r="F15" s="3018"/>
    </row>
    <row r="16" spans="1:18">
      <c r="A16" s="3019" t="s">
        <v>2518</v>
      </c>
      <c r="B16" s="3022"/>
      <c r="C16" s="3022"/>
      <c r="D16" s="3017"/>
      <c r="E16" s="3017"/>
      <c r="F16" s="3018"/>
    </row>
    <row r="17" spans="1:14">
      <c r="A17" s="3019" t="s">
        <v>2517</v>
      </c>
      <c r="B17" s="3028">
        <v>4810</v>
      </c>
      <c r="C17" s="3021"/>
      <c r="D17" s="3017"/>
      <c r="E17" s="3017"/>
      <c r="F17" s="3018"/>
    </row>
    <row r="18" spans="1:14" ht="14.25" thickBot="1">
      <c r="A18" s="3030" t="s">
        <v>2516</v>
      </c>
      <c r="B18" s="3031">
        <f>ROUND(B17*F11/F12,2)</f>
        <v>5541.87</v>
      </c>
      <c r="C18" s="3031">
        <f>ROUND(F11/F12,4)</f>
        <v>1.1521999999999999</v>
      </c>
      <c r="D18" s="3032"/>
      <c r="E18" s="3032"/>
      <c r="F18" s="3033"/>
    </row>
    <row r="19" spans="1:14" ht="14.25" thickBot="1"/>
    <row r="20" spans="1:14" s="3068" customFormat="1" ht="14.25" thickTop="1">
      <c r="A20" s="3065" t="s">
        <v>2519</v>
      </c>
      <c r="B20" s="3066"/>
      <c r="C20" s="3066"/>
      <c r="D20" s="3066"/>
      <c r="E20" s="3066"/>
      <c r="F20" s="3066"/>
      <c r="G20" s="3067"/>
      <c r="I20" s="3069" t="s">
        <v>2564</v>
      </c>
      <c r="J20" s="3069" t="s">
        <v>2569</v>
      </c>
      <c r="K20" s="3069"/>
      <c r="L20" s="3069"/>
      <c r="M20" s="3069"/>
    </row>
    <row r="21" spans="1:14">
      <c r="A21" s="3034"/>
      <c r="B21" s="3035" t="s">
        <v>2520</v>
      </c>
      <c r="C21" s="3035" t="s">
        <v>2521</v>
      </c>
      <c r="D21" s="3035" t="s">
        <v>2522</v>
      </c>
      <c r="E21" s="3035" t="s">
        <v>2523</v>
      </c>
      <c r="F21" s="3035" t="s">
        <v>2524</v>
      </c>
      <c r="G21" s="3036" t="s">
        <v>2525</v>
      </c>
      <c r="I21" s="3057">
        <v>5</v>
      </c>
      <c r="J21" s="3057">
        <v>54.2</v>
      </c>
    </row>
    <row r="22" spans="1:14">
      <c r="A22" s="3034" t="s">
        <v>2526</v>
      </c>
      <c r="B22" s="3037">
        <v>70</v>
      </c>
      <c r="C22" s="3037">
        <v>30</v>
      </c>
      <c r="D22" s="3038">
        <v>0.04</v>
      </c>
      <c r="E22" s="3035">
        <f>ROUND(POWER(1+D22,B22-C22)*(POWER(1+D22,C22)-1)/(POWER(1+D22,B22)-1),3)</f>
        <v>0.73899999999999999</v>
      </c>
      <c r="F22" s="3038">
        <v>0.7</v>
      </c>
      <c r="G22" s="3036">
        <f>ROUND(100*(1-(1-E22)*F22),1)</f>
        <v>81.7</v>
      </c>
      <c r="I22" s="3057">
        <v>10</v>
      </c>
      <c r="J22" s="3057">
        <v>65.400000000000006</v>
      </c>
      <c r="K22" s="3057">
        <f>J22-J21</f>
        <v>11.200000000000003</v>
      </c>
    </row>
    <row r="23" spans="1:14">
      <c r="A23" s="3034" t="s">
        <v>2527</v>
      </c>
      <c r="B23" s="3037">
        <v>70</v>
      </c>
      <c r="C23" s="3037">
        <v>40</v>
      </c>
      <c r="D23" s="3038">
        <v>0.04</v>
      </c>
      <c r="E23" s="3035">
        <f t="shared" ref="E23:E25" si="0">ROUND(POWER(1+D23,B23-C23)*(POWER(1+D23,C23)-1)/(POWER(1+D23,B23)-1),3)</f>
        <v>0.84599999999999997</v>
      </c>
      <c r="F23" s="3038">
        <f>F22</f>
        <v>0.7</v>
      </c>
      <c r="G23" s="3036">
        <f t="shared" ref="G23:G25" si="1">ROUND(100*(1-(1-E23)*F23),1)</f>
        <v>89.2</v>
      </c>
      <c r="I23" s="3057">
        <v>15</v>
      </c>
      <c r="J23" s="3057">
        <v>74.099999999999994</v>
      </c>
      <c r="K23" s="3057">
        <f t="shared" ref="K23:K30" si="2">J23-J22</f>
        <v>8.6999999999999886</v>
      </c>
      <c r="L23" s="3057" t="s">
        <v>2567</v>
      </c>
      <c r="N23" s="3456" t="s">
        <v>2568</v>
      </c>
    </row>
    <row r="24" spans="1:14">
      <c r="A24" s="3034" t="s">
        <v>2528</v>
      </c>
      <c r="B24" s="3037">
        <v>70</v>
      </c>
      <c r="C24" s="3037">
        <v>50</v>
      </c>
      <c r="D24" s="3038">
        <v>0.04</v>
      </c>
      <c r="E24" s="3035">
        <f t="shared" si="0"/>
        <v>0.91800000000000004</v>
      </c>
      <c r="F24" s="3038">
        <f>F23</f>
        <v>0.7</v>
      </c>
      <c r="G24" s="3036">
        <f t="shared" si="1"/>
        <v>94.3</v>
      </c>
      <c r="I24" s="3057">
        <v>20</v>
      </c>
      <c r="J24" s="3057">
        <v>81</v>
      </c>
      <c r="K24" s="3057">
        <f t="shared" si="2"/>
        <v>6.9000000000000057</v>
      </c>
      <c r="L24" s="3057" t="s">
        <v>2566</v>
      </c>
      <c r="N24" s="3456">
        <v>10</v>
      </c>
    </row>
    <row r="25" spans="1:14">
      <c r="A25" s="3034" t="s">
        <v>2529</v>
      </c>
      <c r="B25" s="3037">
        <v>70</v>
      </c>
      <c r="C25" s="3037">
        <v>60</v>
      </c>
      <c r="D25" s="3038">
        <v>0.04</v>
      </c>
      <c r="E25" s="3035">
        <f t="shared" si="0"/>
        <v>0.96699999999999997</v>
      </c>
      <c r="F25" s="3038">
        <f>F24</f>
        <v>0.7</v>
      </c>
      <c r="G25" s="3036">
        <f t="shared" si="1"/>
        <v>97.7</v>
      </c>
      <c r="I25" s="3057">
        <v>25</v>
      </c>
      <c r="J25" s="3057">
        <v>86.3</v>
      </c>
      <c r="K25" s="3057">
        <f t="shared" si="2"/>
        <v>5.2999999999999972</v>
      </c>
      <c r="L25" s="3057" t="s">
        <v>2570</v>
      </c>
      <c r="N25" s="3456">
        <v>8</v>
      </c>
    </row>
    <row r="26" spans="1:14">
      <c r="A26" s="3039"/>
      <c r="B26" s="3040"/>
      <c r="C26" s="3040"/>
      <c r="D26" s="3040"/>
      <c r="E26" s="3040"/>
      <c r="F26" s="3040"/>
      <c r="G26" s="3041"/>
      <c r="I26" s="3057">
        <v>30</v>
      </c>
      <c r="J26" s="3057">
        <v>90.5</v>
      </c>
      <c r="K26" s="3057">
        <f t="shared" si="2"/>
        <v>4.2000000000000028</v>
      </c>
      <c r="L26" s="3057" t="s">
        <v>2571</v>
      </c>
      <c r="N26" s="3456">
        <v>5</v>
      </c>
    </row>
    <row r="27" spans="1:14">
      <c r="A27" s="3039" t="s">
        <v>2530</v>
      </c>
      <c r="B27" s="3040"/>
      <c r="C27" s="3040"/>
      <c r="D27" s="3040"/>
      <c r="E27" s="3040"/>
      <c r="F27" s="3040"/>
      <c r="G27" s="3041"/>
      <c r="I27" s="3057">
        <v>35</v>
      </c>
      <c r="J27" s="3057">
        <v>93.8</v>
      </c>
      <c r="K27" s="3057">
        <f t="shared" si="2"/>
        <v>3.2999999999999972</v>
      </c>
      <c r="L27" s="3057" t="s">
        <v>2572</v>
      </c>
      <c r="N27" s="3456">
        <v>3</v>
      </c>
    </row>
    <row r="28" spans="1:14">
      <c r="A28" s="3039" t="s">
        <v>2531</v>
      </c>
      <c r="B28" s="3040"/>
      <c r="C28" s="3040"/>
      <c r="D28" s="3040"/>
      <c r="E28" s="3040"/>
      <c r="F28" s="3040"/>
      <c r="G28" s="3041"/>
      <c r="I28" s="3057">
        <v>40</v>
      </c>
      <c r="J28" s="3057">
        <v>96.4</v>
      </c>
      <c r="K28" s="3057">
        <f t="shared" si="2"/>
        <v>2.6000000000000085</v>
      </c>
      <c r="L28" s="3057" t="s">
        <v>2573</v>
      </c>
      <c r="N28" s="3456">
        <v>2</v>
      </c>
    </row>
    <row r="29" spans="1:14">
      <c r="A29" s="3039" t="s">
        <v>2532</v>
      </c>
      <c r="B29" s="3040"/>
      <c r="C29" s="3040"/>
      <c r="D29" s="3040"/>
      <c r="E29" s="3040"/>
      <c r="F29" s="3040"/>
      <c r="G29" s="3041"/>
      <c r="I29" s="3057">
        <v>45</v>
      </c>
      <c r="J29" s="3057">
        <v>98.4</v>
      </c>
      <c r="K29" s="3057">
        <f t="shared" si="2"/>
        <v>2</v>
      </c>
    </row>
    <row r="30" spans="1:14">
      <c r="A30" s="3039" t="s">
        <v>2533</v>
      </c>
      <c r="B30" s="3040"/>
      <c r="C30" s="3040"/>
      <c r="D30" s="3040"/>
      <c r="E30" s="3040"/>
      <c r="F30" s="3040"/>
      <c r="G30" s="3041"/>
      <c r="I30" s="3057">
        <v>50</v>
      </c>
      <c r="J30" s="3057">
        <v>100</v>
      </c>
      <c r="K30" s="3057">
        <f t="shared" si="2"/>
        <v>1.5999999999999943</v>
      </c>
    </row>
    <row r="31" spans="1:14">
      <c r="A31" s="3039" t="s">
        <v>2534</v>
      </c>
      <c r="B31" s="3040"/>
      <c r="C31" s="3040"/>
      <c r="D31" s="3040"/>
      <c r="E31" s="3040"/>
      <c r="F31" s="3040"/>
      <c r="G31" s="3041"/>
      <c r="I31" s="3057" t="s">
        <v>2565</v>
      </c>
    </row>
    <row r="32" spans="1:14">
      <c r="A32" s="3039" t="s">
        <v>2535</v>
      </c>
      <c r="B32" s="3040"/>
      <c r="C32" s="3040"/>
      <c r="D32" s="3040"/>
      <c r="E32" s="3040"/>
      <c r="F32" s="3040"/>
      <c r="G32" s="3041"/>
    </row>
    <row r="33" spans="1:14">
      <c r="A33" s="3039" t="s">
        <v>2536</v>
      </c>
      <c r="B33" s="3040"/>
      <c r="C33" s="3040"/>
      <c r="D33" s="3040"/>
      <c r="E33" s="3040"/>
      <c r="F33" s="3040"/>
      <c r="G33" s="3041"/>
      <c r="I33" s="3057" t="s">
        <v>2564</v>
      </c>
      <c r="J33" s="3057" t="s">
        <v>2574</v>
      </c>
    </row>
    <row r="34" spans="1:14">
      <c r="A34" s="3039" t="s">
        <v>2537</v>
      </c>
      <c r="B34" s="3040"/>
      <c r="C34" s="3040"/>
      <c r="D34" s="3040"/>
      <c r="E34" s="3040"/>
      <c r="F34" s="3040"/>
      <c r="G34" s="3041"/>
      <c r="I34" s="3057">
        <v>5</v>
      </c>
      <c r="J34" s="3057">
        <v>55.1</v>
      </c>
    </row>
    <row r="35" spans="1:14">
      <c r="A35" s="3039" t="s">
        <v>2538</v>
      </c>
      <c r="B35" s="3040"/>
      <c r="C35" s="3040"/>
      <c r="D35" s="3040"/>
      <c r="E35" s="3040"/>
      <c r="F35" s="3040"/>
      <c r="G35" s="3041"/>
      <c r="I35" s="3057">
        <v>10</v>
      </c>
      <c r="J35" s="3057">
        <v>67</v>
      </c>
      <c r="K35" s="3057">
        <f>J35-J34</f>
        <v>11.899999999999999</v>
      </c>
    </row>
    <row r="36" spans="1:14">
      <c r="A36" s="3039" t="s">
        <v>2539</v>
      </c>
      <c r="B36" s="3040"/>
      <c r="C36" s="3040"/>
      <c r="D36" s="3040"/>
      <c r="E36" s="3040"/>
      <c r="F36" s="3040"/>
      <c r="G36" s="3041"/>
      <c r="I36" s="3057">
        <v>15</v>
      </c>
      <c r="J36" s="3057">
        <v>76.3</v>
      </c>
      <c r="K36" s="3057">
        <f t="shared" ref="K36:K41" si="3">J36-J35</f>
        <v>9.2999999999999972</v>
      </c>
      <c r="L36" s="3057" t="s">
        <v>2567</v>
      </c>
      <c r="N36" s="3456" t="s">
        <v>2568</v>
      </c>
    </row>
    <row r="37" spans="1:14">
      <c r="A37" s="3039" t="s">
        <v>2540</v>
      </c>
      <c r="B37" s="3040"/>
      <c r="C37" s="3040"/>
      <c r="D37" s="3040"/>
      <c r="E37" s="3040"/>
      <c r="F37" s="3040"/>
      <c r="G37" s="3041"/>
      <c r="I37" s="3057">
        <v>20</v>
      </c>
      <c r="J37" s="3057">
        <v>83.6</v>
      </c>
      <c r="K37" s="3057">
        <f t="shared" si="3"/>
        <v>7.2999999999999972</v>
      </c>
      <c r="L37" s="3057" t="s">
        <v>2566</v>
      </c>
      <c r="N37" s="3456">
        <v>10</v>
      </c>
    </row>
    <row r="38" spans="1:14">
      <c r="A38" s="3039" t="s">
        <v>2541</v>
      </c>
      <c r="B38" s="3040"/>
      <c r="C38" s="3040"/>
      <c r="D38" s="3040"/>
      <c r="E38" s="3040"/>
      <c r="F38" s="3040"/>
      <c r="G38" s="3041"/>
      <c r="I38" s="3057">
        <v>25</v>
      </c>
      <c r="J38" s="3057">
        <v>89.3</v>
      </c>
      <c r="K38" s="3057">
        <f t="shared" si="3"/>
        <v>5.7000000000000028</v>
      </c>
      <c r="L38" s="3057" t="s">
        <v>2570</v>
      </c>
      <c r="N38" s="3456">
        <v>8</v>
      </c>
    </row>
    <row r="39" spans="1:14">
      <c r="A39" s="3039"/>
      <c r="B39" s="3040"/>
      <c r="C39" s="3040"/>
      <c r="D39" s="3040"/>
      <c r="E39" s="3040"/>
      <c r="F39" s="3040"/>
      <c r="G39" s="3041"/>
      <c r="I39" s="3057">
        <v>30</v>
      </c>
      <c r="J39" s="3057">
        <v>93.8</v>
      </c>
      <c r="K39" s="3057">
        <f t="shared" si="3"/>
        <v>4.5</v>
      </c>
      <c r="L39" s="3057" t="s">
        <v>2571</v>
      </c>
      <c r="N39" s="3456">
        <v>6</v>
      </c>
    </row>
    <row r="40" spans="1:14">
      <c r="A40" s="3042" t="s">
        <v>2542</v>
      </c>
      <c r="B40" s="3043"/>
      <c r="C40" s="3043"/>
      <c r="D40" s="3043"/>
      <c r="E40" s="3043"/>
      <c r="F40" s="3043"/>
      <c r="G40" s="3044"/>
      <c r="I40" s="3057">
        <v>35</v>
      </c>
      <c r="J40" s="3057">
        <v>97.2</v>
      </c>
      <c r="K40" s="3057">
        <f t="shared" si="3"/>
        <v>3.4000000000000057</v>
      </c>
      <c r="L40" s="3057" t="s">
        <v>2572</v>
      </c>
      <c r="N40" s="3456">
        <v>3</v>
      </c>
    </row>
    <row r="41" spans="1:14">
      <c r="A41" s="3045" t="s">
        <v>2543</v>
      </c>
      <c r="B41" s="3046" t="s">
        <v>2544</v>
      </c>
      <c r="C41" s="3047" t="s">
        <v>2545</v>
      </c>
      <c r="D41" s="3047" t="s">
        <v>2546</v>
      </c>
      <c r="E41" s="3048"/>
      <c r="F41" s="3049"/>
      <c r="G41" s="3050"/>
      <c r="I41" s="3057">
        <v>40</v>
      </c>
      <c r="J41" s="3057">
        <v>100</v>
      </c>
      <c r="K41" s="3057">
        <f t="shared" si="3"/>
        <v>2.7999999999999972</v>
      </c>
    </row>
    <row r="42" spans="1:14">
      <c r="A42" s="3045" t="s">
        <v>2547</v>
      </c>
      <c r="B42" s="3046" t="s">
        <v>2548</v>
      </c>
      <c r="C42" s="3047" t="s">
        <v>2549</v>
      </c>
      <c r="D42" s="3051" t="s">
        <v>2550</v>
      </c>
      <c r="E42" s="3043" t="s">
        <v>2551</v>
      </c>
      <c r="F42" s="3043"/>
      <c r="G42" s="3044"/>
    </row>
    <row r="43" spans="1:14">
      <c r="A43" s="3045" t="s">
        <v>2552</v>
      </c>
      <c r="B43" s="3046" t="s">
        <v>2553</v>
      </c>
      <c r="C43" s="3047" t="s">
        <v>2554</v>
      </c>
      <c r="D43" s="3047" t="s">
        <v>2555</v>
      </c>
      <c r="E43" s="3048" t="s">
        <v>2556</v>
      </c>
      <c r="F43" s="3049"/>
      <c r="G43" s="3050"/>
      <c r="I43" s="3057" t="s">
        <v>2564</v>
      </c>
      <c r="J43" s="3057" t="s">
        <v>2575</v>
      </c>
    </row>
    <row r="44" spans="1:14">
      <c r="A44" s="3045" t="s">
        <v>2557</v>
      </c>
      <c r="B44" s="3046" t="s">
        <v>2558</v>
      </c>
      <c r="C44" s="3047" t="s">
        <v>2559</v>
      </c>
      <c r="D44" s="3051">
        <v>0.5</v>
      </c>
      <c r="E44" s="3048" t="s">
        <v>2560</v>
      </c>
      <c r="F44" s="3049"/>
      <c r="G44" s="3050"/>
      <c r="I44" s="3057">
        <v>30</v>
      </c>
      <c r="J44" s="3057">
        <v>81.7</v>
      </c>
    </row>
    <row r="45" spans="1:14" ht="14.25" thickBot="1">
      <c r="A45" s="3052" t="s">
        <v>2561</v>
      </c>
      <c r="B45" s="3053" t="s">
        <v>2548</v>
      </c>
      <c r="C45" s="3054" t="s">
        <v>2548</v>
      </c>
      <c r="D45" s="3054" t="s">
        <v>2562</v>
      </c>
      <c r="E45" s="3055" t="s">
        <v>2563</v>
      </c>
      <c r="F45" s="3055"/>
      <c r="G45" s="3056"/>
      <c r="I45" s="3057">
        <v>40</v>
      </c>
      <c r="J45" s="3057">
        <v>89.2</v>
      </c>
      <c r="K45" s="3057">
        <f>J45-J44</f>
        <v>7.5</v>
      </c>
    </row>
    <row r="46" spans="1:14">
      <c r="I46" s="3057">
        <v>50</v>
      </c>
      <c r="J46" s="3057">
        <v>94.3</v>
      </c>
      <c r="K46" s="3057">
        <f t="shared" ref="K46:K47" si="4">J46-J45</f>
        <v>5.0999999999999943</v>
      </c>
    </row>
    <row r="47" spans="1:14">
      <c r="I47" s="3057">
        <v>60</v>
      </c>
      <c r="J47" s="3057">
        <v>97.7</v>
      </c>
      <c r="K47" s="3057">
        <f t="shared" si="4"/>
        <v>3.4000000000000057</v>
      </c>
    </row>
    <row r="48" spans="1:14" ht="14.25" thickBot="1"/>
    <row r="49" spans="1:4">
      <c r="A49" s="3012" t="s">
        <v>3386</v>
      </c>
    </row>
    <row r="50" spans="1:4">
      <c r="A50" s="3448" t="s">
        <v>3387</v>
      </c>
      <c r="B50" s="3448" t="s">
        <v>3388</v>
      </c>
      <c r="C50" s="3448" t="s">
        <v>3389</v>
      </c>
      <c r="D50" s="3448" t="s">
        <v>3390</v>
      </c>
    </row>
    <row r="51" spans="1:4">
      <c r="A51" s="3448" t="s">
        <v>3391</v>
      </c>
      <c r="B51" s="3021">
        <f>B52+B53</f>
        <v>15000</v>
      </c>
      <c r="C51" s="3449">
        <f>D51/B51</f>
        <v>2666.6666666666665</v>
      </c>
      <c r="D51" s="3021">
        <f>D52+D53</f>
        <v>40000000</v>
      </c>
    </row>
    <row r="52" spans="1:4">
      <c r="A52" s="3450" t="s">
        <v>3392</v>
      </c>
      <c r="B52" s="3451">
        <v>10000</v>
      </c>
      <c r="C52" s="3451">
        <v>1500</v>
      </c>
      <c r="D52" s="3452">
        <f>C52*B52</f>
        <v>15000000</v>
      </c>
    </row>
    <row r="53" spans="1:4">
      <c r="A53" s="3450" t="s">
        <v>3393</v>
      </c>
      <c r="B53" s="3451">
        <v>5000</v>
      </c>
      <c r="C53" s="3451">
        <v>5000</v>
      </c>
      <c r="D53" s="3452">
        <f>C53*B53</f>
        <v>25000000</v>
      </c>
    </row>
    <row r="54" spans="1:4">
      <c r="A54" s="3448" t="s">
        <v>3394</v>
      </c>
      <c r="B54" s="3021">
        <f>B51</f>
        <v>15000</v>
      </c>
      <c r="C54" s="3028">
        <v>700</v>
      </c>
      <c r="D54" s="3021">
        <f t="shared" ref="D54:D55" si="5">C54*B54</f>
        <v>10500000</v>
      </c>
    </row>
    <row r="55" spans="1:4">
      <c r="A55" s="3448" t="s">
        <v>3395</v>
      </c>
      <c r="B55" s="3021">
        <f>B51</f>
        <v>15000</v>
      </c>
      <c r="C55" s="3028">
        <v>1500</v>
      </c>
      <c r="D55" s="3021">
        <f t="shared" si="5"/>
        <v>22500000</v>
      </c>
    </row>
    <row r="56" spans="1:4">
      <c r="A56" s="3448" t="s">
        <v>3396</v>
      </c>
      <c r="B56" s="3021">
        <f>B51</f>
        <v>15000</v>
      </c>
      <c r="C56" s="3453">
        <f>C51+C54+C55</f>
        <v>4866.6666666666661</v>
      </c>
      <c r="D56" s="3021">
        <f>D51+D54+D55</f>
        <v>73000000</v>
      </c>
    </row>
    <row r="58" spans="1:4">
      <c r="A58" s="3448" t="s">
        <v>3397</v>
      </c>
      <c r="B58" s="3454">
        <v>0.05</v>
      </c>
      <c r="C58" s="3021">
        <f>C56*(1+B58)</f>
        <v>5110</v>
      </c>
      <c r="D58" s="3021">
        <f>D56*B58</f>
        <v>3650000</v>
      </c>
    </row>
    <row r="60" spans="1:4">
      <c r="A60" s="3448" t="s">
        <v>3398</v>
      </c>
      <c r="B60" s="3028">
        <v>3500</v>
      </c>
      <c r="C60" s="3028">
        <f>C53</f>
        <v>5000</v>
      </c>
      <c r="D60" s="3021">
        <f>C60*B60</f>
        <v>17500000</v>
      </c>
    </row>
    <row r="62" spans="1:4">
      <c r="A62" s="3448" t="s">
        <v>3399</v>
      </c>
      <c r="B62" s="3028">
        <f>B51</f>
        <v>15000</v>
      </c>
      <c r="C62" s="3455">
        <f>D62/B62</f>
        <v>6276.666666666667</v>
      </c>
      <c r="D62" s="3028">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9" sqref="E9"/>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7" customWidth="1"/>
    <col min="12" max="13" width="10" style="2628"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2168</v>
      </c>
      <c r="B1" s="3540" t="str">
        <f>IF(B10="北京市","北京市",C10)&amp;F10&amp;IF('结果表-1层'!G1="在建","出让国有建设用地使用权及在建建筑物",IF('结果表-1层'!G1="土地","出让国有建设用地使用权",))&amp;B9&amp;"预评估"</f>
        <v>北京市房地产抵押价值预评估</v>
      </c>
      <c r="C1" s="3541"/>
      <c r="D1" s="3541"/>
      <c r="E1" s="3541"/>
      <c r="F1" s="3541"/>
      <c r="G1" s="3541"/>
      <c r="H1" s="3541"/>
      <c r="I1" s="3542"/>
      <c r="J1" s="2470"/>
      <c r="K1" s="2367"/>
      <c r="L1" s="2368"/>
      <c r="M1" s="2368"/>
      <c r="N1" s="2369"/>
      <c r="O1" s="1575"/>
      <c r="P1" s="2369"/>
      <c r="Q1" s="2369"/>
      <c r="R1" s="2369"/>
      <c r="S1" s="1681" t="str">
        <f>IF(B10="北京市","北京市",C10)&amp;F10&amp;IF('结果表-1层'!G1="在建","出让国有建设用地使用权及在建建筑物房地产抵押价值",IF('结果表-1层'!G1="土地","出让国有建设用地使用权抵押价值",B9))</f>
        <v>北京市房地产抵押价值</v>
      </c>
      <c r="T1" s="1744"/>
      <c r="U1" s="1744"/>
      <c r="V1" s="1744"/>
      <c r="W1" s="1744"/>
      <c r="X1" s="1744"/>
      <c r="Y1" s="1744"/>
      <c r="Z1" s="1744"/>
      <c r="AA1" s="1744"/>
      <c r="AB1" s="1744"/>
    </row>
    <row r="2" spans="1:30">
      <c r="A2" s="2366" t="s">
        <v>2169</v>
      </c>
      <c r="B2" s="2370"/>
      <c r="C2" s="2371"/>
      <c r="D2" s="2669"/>
      <c r="E2" s="2661"/>
      <c r="F2" s="2661"/>
      <c r="G2" s="2662"/>
      <c r="H2" s="2662"/>
      <c r="I2" s="2662"/>
      <c r="J2" s="2470"/>
      <c r="K2" s="2367"/>
      <c r="L2" s="2368"/>
      <c r="M2" s="2368"/>
      <c r="N2" s="2369"/>
      <c r="O2" s="1575"/>
      <c r="P2" s="2369"/>
      <c r="Q2" s="2369"/>
      <c r="R2" s="2369"/>
      <c r="S2" s="1681" t="str">
        <f>IF(B10="北京市","北京市",C10)&amp;F10&amp;IF('结果表-1层'!G1="在建","出让国有建设用地使用权及在建建筑物房地产",IF('结果表-1层'!G1="土地","出让国有建设用地使用权","房地产"))</f>
        <v>北京市房地产</v>
      </c>
      <c r="T2" s="1744"/>
      <c r="U2" s="1744"/>
      <c r="V2" s="1744"/>
      <c r="W2" s="1744"/>
      <c r="X2" s="1744"/>
      <c r="Y2" s="1744"/>
      <c r="Z2" s="1744"/>
      <c r="AA2" s="1744"/>
      <c r="AB2" s="1744"/>
    </row>
    <row r="3" spans="1:30">
      <c r="A3" s="302" t="s">
        <v>2170</v>
      </c>
      <c r="B3" s="2372">
        <v>45805</v>
      </c>
      <c r="C3" s="2373" t="s">
        <v>2171</v>
      </c>
      <c r="D3" s="2372">
        <f>B3</f>
        <v>45805</v>
      </c>
      <c r="E3" s="2662"/>
      <c r="F3" s="2662"/>
      <c r="G3" s="2662"/>
      <c r="H3" s="2662"/>
      <c r="I3" s="2662"/>
      <c r="J3" s="2470"/>
      <c r="K3" s="2367"/>
      <c r="L3" s="2368"/>
      <c r="M3" s="2368"/>
      <c r="N3" s="2369"/>
      <c r="O3" s="1575"/>
      <c r="P3" s="2369"/>
      <c r="Q3" s="2369"/>
      <c r="R3" s="2369"/>
      <c r="S3" s="1681"/>
      <c r="T3" s="1744"/>
      <c r="U3" s="1744"/>
      <c r="V3" s="1744"/>
      <c r="W3" s="1744"/>
      <c r="X3" s="1744"/>
      <c r="Y3" s="1744"/>
      <c r="Z3" s="1744"/>
      <c r="AA3" s="1744"/>
      <c r="AB3" s="1744"/>
    </row>
    <row r="4" spans="1:30" ht="13.5" thickBot="1">
      <c r="A4" s="1089" t="s">
        <v>2172</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8"/>
      <c r="K4" s="2377" t="str">
        <f>CONCATENATE(B4,"（注册号：",C4,")、",D4,"（注册号：",E4,")")</f>
        <v>（注册号：0)、（注册号：0)</v>
      </c>
      <c r="L4" s="2368"/>
      <c r="M4" s="2368"/>
      <c r="N4" s="2369"/>
      <c r="O4" s="1575"/>
      <c r="P4" s="2369"/>
      <c r="Q4" s="2369"/>
      <c r="R4" s="2369"/>
      <c r="S4" s="1681"/>
      <c r="T4" s="1744"/>
      <c r="U4" s="1744"/>
      <c r="V4" s="1744"/>
      <c r="W4" s="1744"/>
      <c r="X4" s="1744"/>
      <c r="Y4" s="1744"/>
      <c r="Z4" s="1744"/>
      <c r="AA4" s="1744"/>
      <c r="AB4" s="1744"/>
    </row>
    <row r="5" spans="1:30" ht="13.5" thickTop="1">
      <c r="A5" s="2378" t="s">
        <v>2173</v>
      </c>
      <c r="B5" s="2379"/>
      <c r="C5" s="2380"/>
      <c r="D5" s="2381"/>
      <c r="E5" s="2663"/>
      <c r="F5" s="2663"/>
      <c r="G5" s="2663"/>
      <c r="H5" s="2663"/>
      <c r="I5" s="2663"/>
      <c r="J5" s="2438"/>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2" t="s">
        <v>2174</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2175</v>
      </c>
      <c r="B7" s="2386"/>
      <c r="C7" s="2384"/>
      <c r="D7" s="2385"/>
      <c r="E7" s="2661"/>
      <c r="F7" s="2663"/>
      <c r="G7" s="2663"/>
      <c r="H7" s="2663"/>
      <c r="I7" s="2663"/>
      <c r="J7" s="2438"/>
      <c r="K7" s="2615"/>
      <c r="L7" s="2612"/>
      <c r="M7" s="2612"/>
      <c r="N7" s="2438"/>
      <c r="O7" s="2449"/>
      <c r="P7" s="2438"/>
      <c r="Q7" s="2438"/>
      <c r="R7" s="2438"/>
    </row>
    <row r="8" spans="1:30">
      <c r="A8" s="2387" t="s">
        <v>2176</v>
      </c>
      <c r="B8" s="2388" t="s">
        <v>3411</v>
      </c>
      <c r="C8" s="2389"/>
      <c r="D8" s="3543" t="s">
        <v>2177</v>
      </c>
      <c r="E8" s="2390" t="s">
        <v>3412</v>
      </c>
      <c r="F8" s="2391"/>
      <c r="G8" s="2662"/>
      <c r="H8" s="2662"/>
      <c r="I8" s="2662"/>
      <c r="J8" s="2438"/>
      <c r="K8" s="2613"/>
      <c r="L8" s="2612"/>
      <c r="M8" s="2612"/>
      <c r="N8" s="2438"/>
      <c r="O8" s="2449"/>
      <c r="P8" s="2438"/>
      <c r="Q8" s="2438"/>
      <c r="R8" s="2438"/>
    </row>
    <row r="9" spans="1:30" ht="13.5" thickBot="1">
      <c r="A9" s="2392" t="s">
        <v>2178</v>
      </c>
      <c r="B9" s="2393" t="s">
        <v>3412</v>
      </c>
      <c r="C9" s="2394"/>
      <c r="D9" s="3544"/>
      <c r="E9" s="2393" t="s">
        <v>587</v>
      </c>
      <c r="F9" s="2395"/>
      <c r="G9" s="2664"/>
      <c r="H9" s="2664"/>
      <c r="I9" s="2664"/>
      <c r="J9" s="2438"/>
      <c r="K9" s="2615"/>
      <c r="L9" s="2612"/>
      <c r="M9" s="2612"/>
      <c r="N9" s="2438"/>
      <c r="O9" s="2449"/>
      <c r="P9" s="2438"/>
      <c r="Q9" s="2438"/>
      <c r="R9" s="2438"/>
    </row>
    <row r="10" spans="1:30" ht="13.5" thickTop="1">
      <c r="A10" s="2396" t="s">
        <v>2179</v>
      </c>
      <c r="B10" s="2397" t="s">
        <v>3413</v>
      </c>
      <c r="C10" s="2398"/>
      <c r="D10" s="2381"/>
      <c r="E10" s="2399" t="s">
        <v>2180</v>
      </c>
      <c r="F10" s="2665"/>
      <c r="G10" s="2666"/>
      <c r="H10" s="2667"/>
      <c r="I10" s="2668"/>
      <c r="J10" s="2438"/>
      <c r="K10" s="2615"/>
      <c r="L10" s="2612"/>
      <c r="M10" s="2612"/>
      <c r="N10" s="2438"/>
      <c r="O10" s="2449"/>
      <c r="P10" s="2438"/>
      <c r="Q10" s="2438"/>
      <c r="R10" s="2438"/>
    </row>
    <row r="11" spans="1:30">
      <c r="A11" s="2400" t="s">
        <v>2181</v>
      </c>
      <c r="B11" s="2401" t="s">
        <v>3450</v>
      </c>
      <c r="C11" s="2402"/>
      <c r="D11" s="2403"/>
      <c r="E11" s="2369"/>
      <c r="F11" s="2369"/>
      <c r="G11" s="2369"/>
      <c r="H11" s="2369"/>
      <c r="I11" s="2369"/>
      <c r="J11" s="3060"/>
      <c r="K11" s="3059"/>
      <c r="L11" s="2612"/>
      <c r="M11" s="2612"/>
      <c r="N11" s="2438"/>
      <c r="O11" s="2449"/>
      <c r="P11" s="2438"/>
      <c r="Q11" s="2438"/>
      <c r="R11" s="2438"/>
    </row>
    <row r="12" spans="1:30">
      <c r="A12" s="2404" t="s">
        <v>2182</v>
      </c>
      <c r="B12" s="323" t="s">
        <v>2183</v>
      </c>
      <c r="C12" s="2405" t="s">
        <v>2184</v>
      </c>
      <c r="D12" s="2405" t="s">
        <v>2185</v>
      </c>
      <c r="E12" s="2405" t="s">
        <v>2186</v>
      </c>
      <c r="F12" s="2405" t="s">
        <v>2187</v>
      </c>
      <c r="G12" s="2405" t="s">
        <v>2188</v>
      </c>
      <c r="H12" s="2405" t="s">
        <v>2189</v>
      </c>
      <c r="I12" s="3058" t="s">
        <v>2576</v>
      </c>
      <c r="J12" s="3061"/>
      <c r="K12" s="2612"/>
      <c r="L12" s="2612"/>
      <c r="M12" s="2438"/>
      <c r="N12" s="2449"/>
      <c r="O12" s="2438"/>
      <c r="P12" s="2438"/>
      <c r="Q12" s="2438"/>
      <c r="AD12" s="1744"/>
    </row>
    <row r="13" spans="1:30">
      <c r="A13" s="3422" t="s">
        <v>3332</v>
      </c>
      <c r="B13" s="2406" t="s">
        <v>2190</v>
      </c>
      <c r="C13" s="855"/>
      <c r="D13" s="855">
        <v>56510</v>
      </c>
      <c r="E13" s="855"/>
      <c r="F13" s="855"/>
      <c r="G13" s="855"/>
      <c r="H13" s="855"/>
      <c r="I13" s="855">
        <v>47679</v>
      </c>
      <c r="J13" s="3061"/>
      <c r="K13" s="2612"/>
      <c r="L13" s="2612"/>
      <c r="M13" s="2438"/>
      <c r="N13" s="2449"/>
      <c r="O13" s="2438"/>
      <c r="P13" s="2438"/>
      <c r="Q13" s="2438"/>
      <c r="AD13" s="1744"/>
    </row>
    <row r="14" spans="1:30">
      <c r="A14" s="1080"/>
      <c r="B14" s="2406" t="s">
        <v>2191</v>
      </c>
      <c r="C14" s="2407"/>
      <c r="D14" s="2407">
        <v>40</v>
      </c>
      <c r="E14" s="2407"/>
      <c r="F14" s="2407"/>
      <c r="G14" s="2407"/>
      <c r="H14" s="2407"/>
      <c r="I14" s="2407"/>
      <c r="J14" s="3062"/>
      <c r="K14" s="2612"/>
      <c r="L14" s="2612"/>
      <c r="M14" s="2438"/>
      <c r="N14" s="2449"/>
      <c r="O14" s="2438"/>
      <c r="P14" s="2438"/>
      <c r="Q14" s="2438"/>
      <c r="AD14" s="1744"/>
    </row>
    <row r="15" spans="1:30">
      <c r="A15" s="320"/>
      <c r="B15" s="2408" t="s">
        <v>2192</v>
      </c>
      <c r="C15" s="2409" t="str">
        <f>IF(A13="出让",IF(C13="","",ROUNDDOWN(MIN((C13-$D$3)/365,C14),2)),C14)</f>
        <v/>
      </c>
      <c r="D15" s="2409">
        <f>IF(A13="出让",IF(D13="","",ROUNDDOWN(MIN((D13-$D$3)/365,D14),2)),D14)</f>
        <v>29.32</v>
      </c>
      <c r="E15" s="2409" t="str">
        <f>IF(A13="出让",IF(E13="","",ROUNDDOWN(MIN((E13-$D$3)/365,E14),2)),E14)</f>
        <v/>
      </c>
      <c r="F15" s="2409" t="str">
        <f>IF(A13="出让",IF(F13="","",ROUNDDOWN(MIN((F13-$D$3)/365,F14),2)),F14)</f>
        <v/>
      </c>
      <c r="G15" s="2409" t="str">
        <f>IF(A13="出让",IF(G13="","",ROUNDDOWN(MIN((G13-$D$3)/365,G14),2)),G14)</f>
        <v/>
      </c>
      <c r="H15" s="2409" t="str">
        <f>IF(A13="出让",IF(H13="","",ROUNDDOWN(MIN((H13-$D$3)/365,H14),2)),H14)</f>
        <v/>
      </c>
      <c r="I15" s="2409">
        <f>IF(A13="出让",IF(I13="","",ROUNDDOWN(MIN((I13-$D$3)/365,I14),2)),I14)</f>
        <v>5.13</v>
      </c>
      <c r="J15" s="3063"/>
      <c r="K15" s="2450"/>
      <c r="L15" s="2450"/>
      <c r="M15" s="2508"/>
      <c r="N15" s="2450"/>
      <c r="O15" s="2508"/>
      <c r="P15" s="2438"/>
      <c r="Q15" s="2438"/>
      <c r="AD15" s="1744"/>
    </row>
    <row r="16" spans="1:30">
      <c r="A16" s="2399" t="s">
        <v>2193</v>
      </c>
      <c r="B16" s="3550"/>
      <c r="C16" s="3551"/>
      <c r="D16" s="3552"/>
      <c r="E16" s="2412" t="s">
        <v>2194</v>
      </c>
      <c r="F16" s="3553"/>
      <c r="G16" s="3554"/>
      <c r="H16" s="3554"/>
      <c r="I16" s="3555"/>
      <c r="J16" s="2438"/>
      <c r="K16" s="2616"/>
      <c r="L16" s="2450"/>
      <c r="M16" s="2450"/>
      <c r="N16" s="2508"/>
      <c r="O16" s="2450"/>
      <c r="P16" s="2508"/>
      <c r="Q16" s="2438"/>
      <c r="R16" s="2438"/>
    </row>
    <row r="17" spans="1:28">
      <c r="A17" s="313" t="s">
        <v>2195</v>
      </c>
      <c r="B17" s="302" t="s">
        <v>2196</v>
      </c>
      <c r="C17" s="8">
        <f>'数据-汇总表'!E3</f>
        <v>557.98</v>
      </c>
      <c r="D17" s="2321" t="s">
        <v>2197</v>
      </c>
      <c r="E17" s="3556" t="s">
        <v>2198</v>
      </c>
      <c r="F17" s="3557"/>
      <c r="G17" s="3557"/>
      <c r="H17" s="3557"/>
      <c r="I17" s="3558"/>
      <c r="J17" s="2438"/>
      <c r="K17" s="2617"/>
      <c r="L17" s="2450"/>
      <c r="M17" s="2450"/>
      <c r="N17" s="2508"/>
      <c r="O17" s="2450"/>
      <c r="P17" s="2508"/>
      <c r="Q17" s="2438"/>
      <c r="R17" s="2438"/>
      <c r="S17" s="2438"/>
      <c r="T17" s="2438"/>
      <c r="U17" s="2438"/>
      <c r="V17" s="2438"/>
    </row>
    <row r="18" spans="1:28" ht="24.75" thickBot="1">
      <c r="A18" s="2413" t="s">
        <v>2199</v>
      </c>
      <c r="B18" s="1089" t="s">
        <v>2200</v>
      </c>
      <c r="C18" s="2414">
        <f>'数据-汇总表'!D3</f>
        <v>0</v>
      </c>
      <c r="D18" s="1091" t="s">
        <v>2201</v>
      </c>
      <c r="E18" s="3559" t="s">
        <v>2202</v>
      </c>
      <c r="F18" s="3560"/>
      <c r="G18" s="3560"/>
      <c r="H18" s="3560"/>
      <c r="I18" s="3561"/>
      <c r="J18" s="2438"/>
      <c r="K18" s="2617"/>
      <c r="L18" s="2450"/>
      <c r="M18" s="2450"/>
      <c r="N18" s="2508"/>
      <c r="O18" s="2450"/>
      <c r="P18" s="2508"/>
      <c r="Q18" s="2438"/>
      <c r="R18" s="2438"/>
      <c r="S18" s="2438"/>
      <c r="T18" s="2438"/>
      <c r="U18" s="2438"/>
      <c r="V18" s="2438"/>
    </row>
    <row r="19" spans="1:28" ht="37.5" thickTop="1" thickBot="1">
      <c r="A19" s="327" t="s">
        <v>1055</v>
      </c>
      <c r="B19" s="307" t="s">
        <v>2203</v>
      </c>
      <c r="C19" s="1562"/>
      <c r="D19" s="1563" t="s">
        <v>2204</v>
      </c>
      <c r="E19" s="1564"/>
      <c r="F19" s="1565" t="str">
        <f>IF(AND(C19="是",E19="否"),"是否提供他项权证或相关说明","")</f>
        <v/>
      </c>
      <c r="G19" s="1566"/>
      <c r="H19" s="2663"/>
      <c r="I19" s="2663"/>
      <c r="J19" s="2438"/>
      <c r="K19" s="2615"/>
      <c r="L19" s="2612"/>
      <c r="M19" s="2612"/>
      <c r="N19" s="2508"/>
      <c r="O19" s="2450"/>
      <c r="P19" s="2508"/>
      <c r="Q19" s="2438"/>
      <c r="R19" s="2438"/>
      <c r="S19" s="2438"/>
      <c r="T19" s="2438"/>
      <c r="U19" s="2438"/>
      <c r="V19" s="2438"/>
    </row>
    <row r="20" spans="1:28">
      <c r="A20" s="2631" t="s">
        <v>2205</v>
      </c>
      <c r="B20" s="3546" t="s">
        <v>2206</v>
      </c>
      <c r="C20" s="3547"/>
      <c r="D20" s="3548" t="s">
        <v>2207</v>
      </c>
      <c r="E20" s="3549"/>
      <c r="F20" s="2646" t="s">
        <v>1056</v>
      </c>
      <c r="G20" s="2663"/>
      <c r="H20" s="2663"/>
      <c r="I20" s="2663"/>
      <c r="J20" s="2438"/>
      <c r="K20" s="3545" t="s">
        <v>2208</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11"/>
      <c r="O20" s="2410"/>
      <c r="P20" s="2411"/>
      <c r="Q20" s="2369"/>
      <c r="R20" s="2369"/>
      <c r="S20" s="2369"/>
      <c r="T20" s="2369"/>
      <c r="U20" s="2369"/>
      <c r="V20" s="2369"/>
      <c r="W20" s="1744"/>
      <c r="X20" s="1744"/>
      <c r="Y20" s="1744"/>
      <c r="Z20" s="1744"/>
      <c r="AA20" s="1744"/>
      <c r="AB20" s="1744"/>
    </row>
    <row r="21" spans="1:28" ht="24.75" thickBot="1">
      <c r="A21" s="2631"/>
      <c r="B21" s="2632" t="s">
        <v>2209</v>
      </c>
      <c r="C21" s="2633" t="s">
        <v>1057</v>
      </c>
      <c r="D21" s="1567" t="s">
        <v>2210</v>
      </c>
      <c r="E21" s="2634" t="s">
        <v>1057</v>
      </c>
      <c r="F21" s="2647"/>
      <c r="G21" s="2663"/>
      <c r="H21" s="2663"/>
      <c r="I21" s="2663"/>
      <c r="J21" s="2438"/>
      <c r="K21" s="3545"/>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11"/>
      <c r="O21" s="2410"/>
      <c r="P21" s="2411"/>
      <c r="Q21" s="2369"/>
      <c r="R21" s="2369"/>
      <c r="S21" s="2369"/>
      <c r="T21" s="2369"/>
      <c r="U21" s="2369"/>
      <c r="V21" s="2369"/>
      <c r="W21" s="1744"/>
      <c r="X21" s="1744"/>
      <c r="Y21" s="1744"/>
      <c r="Z21" s="1744"/>
      <c r="AA21" s="1744"/>
      <c r="AB21" s="1744"/>
    </row>
    <row r="22" spans="1:28" ht="24.75" thickBot="1">
      <c r="A22" s="2631"/>
      <c r="B22" s="2635" t="s">
        <v>2211</v>
      </c>
      <c r="C22" s="2633" t="s">
        <v>1058</v>
      </c>
      <c r="D22" s="2662"/>
      <c r="E22" s="2662"/>
      <c r="F22" s="2662"/>
      <c r="G22" s="2663"/>
      <c r="H22" s="2663"/>
      <c r="I22" s="2663"/>
      <c r="J22" s="2438"/>
      <c r="K22" s="3545"/>
      <c r="L22" s="683" t="str">
        <f>IF(E19="否","",IF('结果表-1层'!D36="同一抵押权人同一抵押物续贷","由于本次评估为同一抵押权人的续贷房地产抵押估价，故未将已抵押担保的债权数额（"&amp;C26&amp;"）作为法定优先受偿款予以扣减。",IF('结果表-1层'!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11"/>
      <c r="O22" s="2410"/>
      <c r="P22" s="2411"/>
      <c r="Q22" s="2369"/>
      <c r="R22" s="2369"/>
      <c r="S22" s="2369"/>
      <c r="T22" s="2369"/>
      <c r="U22" s="2369"/>
      <c r="V22" s="2369"/>
      <c r="W22" s="1744"/>
      <c r="X22" s="1744"/>
      <c r="Y22" s="1744"/>
      <c r="Z22" s="1744"/>
      <c r="AA22" s="1744"/>
      <c r="AB22" s="1744"/>
    </row>
    <row r="23" spans="1:28">
      <c r="A23" s="2636" t="s">
        <v>2212</v>
      </c>
      <c r="B23" s="2501" t="s">
        <v>2213</v>
      </c>
      <c r="C23" s="2637"/>
      <c r="D23" s="2638" t="s">
        <v>2213</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563" t="s">
        <v>2214</v>
      </c>
      <c r="B27" s="320" t="s">
        <v>2215</v>
      </c>
      <c r="C27" s="2415" t="s">
        <v>3414</v>
      </c>
      <c r="D27" s="2416"/>
      <c r="E27" s="2663"/>
      <c r="F27" s="2663"/>
      <c r="G27" s="2663"/>
      <c r="H27" s="2663"/>
      <c r="I27" s="2663"/>
      <c r="J27" s="2438"/>
      <c r="K27" s="2616"/>
      <c r="L27" s="2450"/>
      <c r="M27" s="2450"/>
      <c r="N27" s="2508"/>
      <c r="O27" s="2450"/>
      <c r="P27" s="2508"/>
      <c r="Q27" s="2438"/>
      <c r="R27" s="2438"/>
      <c r="S27" s="2438"/>
      <c r="T27" s="2438"/>
      <c r="U27" s="2438"/>
      <c r="V27" s="2438"/>
    </row>
    <row r="28" spans="1:28">
      <c r="A28" s="3563"/>
      <c r="B28" s="302" t="s">
        <v>2216</v>
      </c>
      <c r="C28" s="2417" t="s">
        <v>3415</v>
      </c>
      <c r="D28" s="2418"/>
      <c r="E28" s="2663"/>
      <c r="F28" s="2663"/>
      <c r="G28" s="2663"/>
      <c r="H28" s="2663"/>
      <c r="I28" s="2663"/>
      <c r="J28" s="2438"/>
      <c r="K28" s="2615"/>
      <c r="L28" s="2612"/>
      <c r="M28" s="2612"/>
      <c r="N28" s="2438"/>
      <c r="O28" s="2449"/>
      <c r="P28" s="2438"/>
      <c r="Q28" s="2438"/>
      <c r="R28" s="2438"/>
      <c r="S28" s="2438"/>
      <c r="T28" s="2438"/>
      <c r="U28" s="2438"/>
      <c r="V28" s="2438"/>
    </row>
    <row r="29" spans="1:28">
      <c r="A29" s="3563"/>
      <c r="B29" s="302" t="s">
        <v>2217</v>
      </c>
      <c r="C29" s="2419" t="s">
        <v>3416</v>
      </c>
      <c r="D29" s="2420"/>
      <c r="E29" s="2663"/>
      <c r="F29" s="2663"/>
      <c r="G29" s="2663"/>
      <c r="H29" s="2663"/>
      <c r="I29" s="2663"/>
      <c r="J29" s="2438"/>
      <c r="K29" s="2615"/>
      <c r="L29" s="2612"/>
      <c r="M29" s="2612"/>
      <c r="N29" s="2438"/>
      <c r="O29" s="2449"/>
      <c r="P29" s="2438"/>
      <c r="Q29" s="2438"/>
      <c r="R29" s="2438"/>
      <c r="S29" s="2438"/>
      <c r="T29" s="2438"/>
      <c r="U29" s="2438"/>
      <c r="V29" s="2438"/>
    </row>
    <row r="30" spans="1:28">
      <c r="A30" s="3564"/>
      <c r="B30" s="302" t="s">
        <v>2218</v>
      </c>
      <c r="C30" s="3565"/>
      <c r="D30" s="3566"/>
      <c r="E30" s="2663"/>
      <c r="F30" s="2663"/>
      <c r="G30" s="2663"/>
      <c r="H30" s="2663"/>
      <c r="I30" s="2663"/>
      <c r="J30" s="2438"/>
      <c r="K30" s="2615"/>
      <c r="L30" s="2612"/>
      <c r="M30" s="2612"/>
      <c r="N30" s="2438"/>
      <c r="O30" s="2449"/>
      <c r="P30" s="2438"/>
      <c r="Q30" s="2438"/>
      <c r="R30" s="2438"/>
      <c r="S30" s="2438"/>
      <c r="T30" s="2438"/>
      <c r="U30" s="2438"/>
      <c r="V30" s="2438"/>
    </row>
    <row r="31" spans="1:28">
      <c r="A31" s="3567" t="s">
        <v>2219</v>
      </c>
      <c r="B31" s="2421" t="s">
        <v>3417</v>
      </c>
      <c r="C31" s="2322" t="str">
        <f>IF(B31="现房","成新及维护状况正常否",IF(B31="在建","工程状态是否正常",IF(B31="土地","是否闲置","-")))</f>
        <v>成新及维护状况正常否</v>
      </c>
      <c r="D31" s="1372"/>
      <c r="E31" s="2422"/>
      <c r="F31" s="2663"/>
      <c r="G31" s="2663"/>
      <c r="H31" s="2663"/>
      <c r="I31" s="2663"/>
      <c r="J31" s="2438"/>
      <c r="K31" s="2614"/>
      <c r="L31" s="2612"/>
      <c r="M31" s="2612"/>
      <c r="N31" s="2438"/>
      <c r="O31" s="2449"/>
      <c r="P31" s="2438"/>
      <c r="Q31" s="2438"/>
      <c r="R31" s="2438"/>
      <c r="S31" s="2438"/>
      <c r="T31" s="2438"/>
      <c r="U31" s="2438"/>
      <c r="V31" s="2438"/>
    </row>
    <row r="32" spans="1:28">
      <c r="A32" s="3568"/>
      <c r="B32" s="2421"/>
      <c r="C32" s="2322" t="str">
        <f>IF(B32="现房","成新及维护状况是否正常",IF(B32="在建","工程状态是否正常",IF(B32="土地","是否闲置","-")))</f>
        <v>-</v>
      </c>
      <c r="D32" s="1372"/>
      <c r="E32" s="2422"/>
      <c r="F32" s="2663"/>
      <c r="G32" s="2663"/>
      <c r="H32" s="2663"/>
      <c r="I32" s="2663"/>
      <c r="J32" s="2438"/>
      <c r="K32" s="2615"/>
      <c r="L32" s="2612"/>
      <c r="M32" s="2612"/>
      <c r="N32" s="2438"/>
      <c r="O32" s="2449"/>
      <c r="P32" s="2438"/>
      <c r="Q32" s="2438"/>
      <c r="R32" s="2438"/>
      <c r="S32" s="2438"/>
      <c r="T32" s="2438"/>
      <c r="U32" s="2438"/>
      <c r="V32" s="2438"/>
    </row>
    <row r="33" spans="1:30">
      <c r="A33" s="3568"/>
      <c r="B33" s="2424"/>
      <c r="C33" s="1589" t="str">
        <f>IF(B33="现房","成新及维护状况是否正常",IF(B33="在建","工程状态是否正常",IF(B33="土地","是否闲置","-")))</f>
        <v>-</v>
      </c>
      <c r="D33" s="1364"/>
      <c r="E33" s="2425"/>
      <c r="F33" s="2663"/>
      <c r="G33" s="2663"/>
      <c r="H33" s="2663"/>
      <c r="I33" s="2663"/>
      <c r="J33" s="2438"/>
      <c r="K33" s="2615"/>
      <c r="L33" s="2612"/>
      <c r="M33" s="2612"/>
      <c r="N33" s="2438"/>
      <c r="O33" s="2449"/>
      <c r="P33" s="2438"/>
      <c r="Q33" s="2438"/>
      <c r="R33" s="2438"/>
      <c r="S33" s="2438"/>
      <c r="T33" s="2438"/>
      <c r="U33" s="2438"/>
      <c r="V33" s="2438"/>
    </row>
    <row r="34" spans="1:30">
      <c r="A34" s="302" t="s">
        <v>2220</v>
      </c>
      <c r="B34" s="2025"/>
      <c r="C34" s="2025"/>
      <c r="D34" s="2025"/>
      <c r="E34" s="2025"/>
      <c r="F34" s="2025"/>
      <c r="G34" s="2025"/>
      <c r="H34" s="2025"/>
      <c r="I34" s="2663"/>
      <c r="J34" s="2438"/>
      <c r="K34" s="2426">
        <f>COUNTIF(B34:H34,"——")</f>
        <v>0</v>
      </c>
      <c r="L34" s="323" t="s">
        <v>2221</v>
      </c>
      <c r="M34" s="323" t="s">
        <v>2222</v>
      </c>
      <c r="N34" s="323" t="s">
        <v>2223</v>
      </c>
      <c r="O34" s="323" t="s">
        <v>2224</v>
      </c>
      <c r="P34" s="323" t="s">
        <v>2225</v>
      </c>
      <c r="Q34" s="323" t="s">
        <v>2226</v>
      </c>
      <c r="R34" s="323" t="s">
        <v>2227</v>
      </c>
      <c r="S34" s="3562" t="s">
        <v>2228</v>
      </c>
      <c r="T34" s="2427" t="str">
        <f>NUMBERSTRING(7-K34,1)&amp;"通"</f>
        <v>七通</v>
      </c>
      <c r="U34" s="2438"/>
      <c r="V34" s="2438"/>
    </row>
    <row r="35" spans="1:30">
      <c r="A35" s="2428"/>
      <c r="B35" s="3569" t="s">
        <v>2229</v>
      </c>
      <c r="C35" s="3569"/>
      <c r="D35" s="3569"/>
      <c r="E35" s="3569"/>
      <c r="F35" s="663">
        <f>C10</f>
        <v>0</v>
      </c>
      <c r="G35" s="2663"/>
      <c r="H35" s="2663"/>
      <c r="I35" s="2663"/>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62"/>
      <c r="T35" s="329" t="str">
        <f>IF(T34="一通",L35,IF(T34="二通",M35,IF(T34="三通",N35,IF(T34="四通",O35,IF(T34="五通",P35,IF(T34="六通",Q35,R35))))))</f>
        <v>、、、、、、</v>
      </c>
      <c r="U35" s="2438"/>
      <c r="V35" s="2438"/>
    </row>
    <row r="36" spans="1:30">
      <c r="A36" s="2429"/>
      <c r="B36" s="663" t="s">
        <v>2185</v>
      </c>
      <c r="C36" s="663" t="s">
        <v>2186</v>
      </c>
      <c r="D36" s="663" t="s">
        <v>2184</v>
      </c>
      <c r="E36" s="663" t="s">
        <v>2189</v>
      </c>
      <c r="F36" s="3064" t="s">
        <v>2579</v>
      </c>
      <c r="G36" s="2663"/>
      <c r="H36" s="2663"/>
      <c r="I36" s="2663"/>
      <c r="J36" s="2438"/>
      <c r="K36" s="2615"/>
      <c r="L36" s="2612"/>
      <c r="M36" s="2612"/>
      <c r="N36" s="2438"/>
      <c r="O36" s="2449"/>
      <c r="P36" s="2438"/>
      <c r="Q36" s="2438"/>
      <c r="R36" s="2438"/>
      <c r="S36" s="2438"/>
      <c r="T36" s="2438"/>
      <c r="U36" s="2438"/>
      <c r="V36" s="2438"/>
    </row>
    <row r="37" spans="1:30">
      <c r="A37" s="2629" t="s">
        <v>2230</v>
      </c>
      <c r="B37" s="2430" t="s">
        <v>110</v>
      </c>
      <c r="C37" s="2430"/>
      <c r="D37" s="2430"/>
      <c r="E37" s="2430"/>
      <c r="F37" s="2430"/>
      <c r="G37" s="2663"/>
      <c r="H37" s="2663"/>
      <c r="I37" s="2663"/>
      <c r="J37" s="2438"/>
      <c r="K37" s="2615"/>
      <c r="L37" s="2612"/>
      <c r="M37" s="2612"/>
      <c r="N37" s="2438"/>
      <c r="O37" s="2449"/>
      <c r="P37" s="2438"/>
      <c r="Q37" s="2438"/>
      <c r="R37" s="2438"/>
      <c r="S37" s="2438"/>
      <c r="T37" s="2438"/>
      <c r="U37" s="2438"/>
      <c r="V37" s="2438"/>
    </row>
    <row r="38" spans="1:30" ht="13.5" thickBot="1">
      <c r="A38" s="2630" t="s">
        <v>2231</v>
      </c>
      <c r="B38" s="2431" t="s">
        <v>148</v>
      </c>
      <c r="C38" s="2431"/>
      <c r="D38" s="2431"/>
      <c r="E38" s="2431"/>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2232</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69"/>
      <c r="B40" s="2369"/>
      <c r="C40" s="2369"/>
      <c r="D40" s="2369"/>
      <c r="E40" s="2369"/>
      <c r="F40" s="2369"/>
      <c r="G40" s="2369"/>
      <c r="H40" s="2369"/>
      <c r="I40" s="1577"/>
      <c r="J40" s="2508"/>
      <c r="K40" s="2614"/>
      <c r="L40" s="2450"/>
      <c r="M40" s="2450"/>
      <c r="N40" s="2508"/>
      <c r="O40" s="2450"/>
      <c r="P40" s="2438"/>
      <c r="Q40" s="2438"/>
      <c r="R40" s="2438"/>
      <c r="S40" s="2438"/>
      <c r="T40" s="2438"/>
      <c r="U40" s="2438"/>
      <c r="V40" s="2438"/>
    </row>
    <row r="41" spans="1:30">
      <c r="A41" s="2435" t="s">
        <v>2233</v>
      </c>
      <c r="B41" s="1756"/>
      <c r="C41" s="1372"/>
      <c r="D41" s="2369"/>
      <c r="E41" s="2369"/>
      <c r="F41" s="2369"/>
      <c r="G41" s="2369"/>
      <c r="H41" s="2369"/>
      <c r="I41" s="1575"/>
      <c r="J41" s="2438"/>
      <c r="K41" s="2615"/>
      <c r="L41" s="2612"/>
      <c r="M41" s="2612"/>
      <c r="N41" s="2438"/>
      <c r="O41" s="2449"/>
      <c r="P41" s="2438"/>
      <c r="Q41" s="2438"/>
      <c r="R41" s="2438"/>
      <c r="S41" s="2438"/>
      <c r="T41" s="2438"/>
      <c r="U41" s="2438"/>
      <c r="V41" s="2438"/>
    </row>
    <row r="42" spans="1:30" ht="25.5">
      <c r="A42" s="323" t="s">
        <v>2234</v>
      </c>
      <c r="B42" s="8" t="s">
        <v>2235</v>
      </c>
      <c r="C42" s="8" t="s">
        <v>2236</v>
      </c>
      <c r="D42" s="8" t="s">
        <v>2237</v>
      </c>
      <c r="E42" s="8" t="s">
        <v>2238</v>
      </c>
      <c r="F42" s="8" t="s">
        <v>2239</v>
      </c>
      <c r="G42" s="8" t="s">
        <v>2240</v>
      </c>
      <c r="H42" s="8" t="s">
        <v>2241</v>
      </c>
      <c r="I42" s="8" t="s">
        <v>2242</v>
      </c>
      <c r="J42" s="2625" t="s">
        <v>2243</v>
      </c>
      <c r="K42" s="2626" t="s">
        <v>2244</v>
      </c>
      <c r="L42" s="2626" t="s">
        <v>2245</v>
      </c>
      <c r="M42" s="2626" t="s">
        <v>2246</v>
      </c>
      <c r="N42" s="2619" t="s">
        <v>2247</v>
      </c>
      <c r="O42" s="2619" t="s">
        <v>2248</v>
      </c>
      <c r="P42" s="2619" t="s">
        <v>2249</v>
      </c>
      <c r="Q42" s="2620" t="s">
        <v>2250</v>
      </c>
      <c r="R42" s="2620" t="s">
        <v>2251</v>
      </c>
      <c r="S42" s="2438"/>
      <c r="T42" s="2438"/>
      <c r="U42" s="2438"/>
      <c r="V42" s="2438"/>
    </row>
    <row r="43" spans="1:30" s="1742" customFormat="1">
      <c r="A43" s="1569"/>
      <c r="B43" s="1050"/>
      <c r="C43" s="1050"/>
      <c r="D43" s="1050"/>
      <c r="E43" s="1050"/>
      <c r="F43" s="1050"/>
      <c r="G43" s="1050"/>
      <c r="H43" s="1050"/>
      <c r="I43" s="1050"/>
      <c r="J43" s="2436"/>
      <c r="K43" s="2437"/>
      <c r="L43" s="2437"/>
      <c r="M43" s="1050"/>
      <c r="N43" s="1050"/>
      <c r="O43" s="1050"/>
      <c r="P43" s="1050"/>
      <c r="Q43" s="1050"/>
      <c r="R43" s="1050"/>
      <c r="S43" s="2438"/>
      <c r="T43" s="2438"/>
      <c r="U43" s="2438"/>
      <c r="V43" s="2438"/>
    </row>
    <row r="44" spans="1:30" s="1742" customFormat="1">
      <c r="A44" s="1569"/>
      <c r="B44" s="1569"/>
      <c r="C44" s="1050"/>
      <c r="D44" s="1050"/>
      <c r="E44" s="1050"/>
      <c r="F44" s="1050"/>
      <c r="G44" s="1050"/>
      <c r="H44" s="1050"/>
      <c r="I44" s="1050"/>
      <c r="J44" s="2436"/>
      <c r="K44" s="2437"/>
      <c r="L44" s="2437"/>
      <c r="M44" s="1050"/>
      <c r="N44" s="1050"/>
      <c r="O44" s="1050"/>
      <c r="P44" s="1050"/>
      <c r="Q44" s="1050"/>
      <c r="R44" s="1050"/>
      <c r="S44" s="2438"/>
      <c r="T44" s="2438"/>
      <c r="U44" s="2438"/>
      <c r="V44" s="2438"/>
    </row>
    <row r="45" spans="1:30" s="1742" customFormat="1">
      <c r="A45" s="1569"/>
      <c r="B45" s="1569"/>
      <c r="C45" s="1050"/>
      <c r="D45" s="1050"/>
      <c r="E45" s="1050"/>
      <c r="F45" s="1050"/>
      <c r="G45" s="1050"/>
      <c r="H45" s="1050"/>
      <c r="I45" s="1050"/>
      <c r="J45" s="2436"/>
      <c r="K45" s="2437"/>
      <c r="L45" s="2437"/>
      <c r="M45" s="1050"/>
      <c r="N45" s="1050"/>
      <c r="O45" s="1050"/>
      <c r="P45" s="1050"/>
      <c r="Q45" s="1050"/>
      <c r="R45" s="1050"/>
      <c r="S45" s="2438"/>
      <c r="T45" s="2438"/>
      <c r="U45" s="2438"/>
      <c r="V45" s="2438"/>
    </row>
    <row r="46" spans="1:30" s="1742" customFormat="1">
      <c r="A46" s="1569"/>
      <c r="B46" s="1569"/>
      <c r="C46" s="1050"/>
      <c r="D46" s="1050"/>
      <c r="E46" s="1050"/>
      <c r="F46" s="1050"/>
      <c r="G46" s="1050"/>
      <c r="H46" s="1050"/>
      <c r="I46" s="1050"/>
      <c r="J46" s="2436"/>
      <c r="K46" s="2437"/>
      <c r="L46" s="2437"/>
      <c r="M46" s="1050"/>
      <c r="N46" s="1050"/>
      <c r="O46" s="1050"/>
      <c r="P46" s="1050"/>
      <c r="Q46" s="1050"/>
      <c r="R46" s="1050"/>
      <c r="S46" s="2438"/>
      <c r="T46" s="2438"/>
      <c r="U46" s="2438"/>
      <c r="V46" s="2438"/>
    </row>
    <row r="47" spans="1:30" s="1742" customFormat="1">
      <c r="A47" s="1569"/>
      <c r="B47" s="1569"/>
      <c r="C47" s="1050"/>
      <c r="D47" s="1050"/>
      <c r="E47" s="1050"/>
      <c r="F47" s="1050"/>
      <c r="G47" s="1050"/>
      <c r="H47" s="1050"/>
      <c r="I47" s="1050"/>
      <c r="J47" s="2436"/>
      <c r="K47" s="2437"/>
      <c r="L47" s="2437"/>
      <c r="M47" s="1050"/>
      <c r="N47" s="1050"/>
      <c r="O47" s="1050"/>
      <c r="P47" s="1050"/>
      <c r="Q47" s="1050"/>
      <c r="R47" s="1050"/>
      <c r="S47" s="2438"/>
      <c r="T47" s="2438"/>
      <c r="U47" s="2438"/>
      <c r="V47" s="2438"/>
    </row>
    <row r="48" spans="1:30" s="1742" customFormat="1">
      <c r="A48" s="1569"/>
      <c r="B48" s="1569"/>
      <c r="C48" s="1050"/>
      <c r="D48" s="1050"/>
      <c r="E48" s="1050"/>
      <c r="F48" s="1050"/>
      <c r="G48" s="1050"/>
      <c r="H48" s="1050"/>
      <c r="I48" s="1050"/>
      <c r="J48" s="2436"/>
      <c r="K48" s="2437"/>
      <c r="L48" s="2437"/>
      <c r="M48" s="1050"/>
      <c r="N48" s="1050"/>
      <c r="O48" s="1050"/>
      <c r="P48" s="1050"/>
      <c r="Q48" s="1050"/>
      <c r="R48" s="1050"/>
      <c r="S48" s="2438"/>
      <c r="T48" s="2438"/>
      <c r="U48" s="2438"/>
      <c r="V48" s="2438"/>
    </row>
    <row r="49" spans="1:22" s="1742" customFormat="1">
      <c r="A49" s="1569"/>
      <c r="B49" s="1569"/>
      <c r="C49" s="1050"/>
      <c r="D49" s="1050"/>
      <c r="E49" s="1050"/>
      <c r="F49" s="1050"/>
      <c r="G49" s="1050"/>
      <c r="H49" s="1050"/>
      <c r="I49" s="1050"/>
      <c r="J49" s="2436"/>
      <c r="K49" s="2437"/>
      <c r="L49" s="2437"/>
      <c r="M49" s="1050"/>
      <c r="N49" s="1050"/>
      <c r="O49" s="1050"/>
      <c r="P49" s="1050"/>
      <c r="Q49" s="1050"/>
      <c r="R49" s="1050"/>
      <c r="S49" s="2438"/>
      <c r="T49" s="2438"/>
      <c r="U49" s="2438"/>
      <c r="V49" s="2438"/>
    </row>
    <row r="50" spans="1:22" s="1742" customFormat="1">
      <c r="A50" s="1569"/>
      <c r="B50" s="1569"/>
      <c r="C50" s="1050"/>
      <c r="D50" s="1050"/>
      <c r="E50" s="1050"/>
      <c r="F50" s="1050"/>
      <c r="G50" s="1050"/>
      <c r="H50" s="1050"/>
      <c r="I50" s="1050"/>
      <c r="J50" s="2436"/>
      <c r="K50" s="2437"/>
      <c r="L50" s="2437"/>
      <c r="M50" s="1050"/>
      <c r="N50" s="1050"/>
      <c r="O50" s="1050"/>
      <c r="P50" s="1050"/>
      <c r="Q50" s="1050"/>
      <c r="R50" s="1050"/>
      <c r="S50" s="2438"/>
      <c r="T50" s="2438"/>
      <c r="U50" s="2438"/>
      <c r="V50" s="2438"/>
    </row>
    <row r="51" spans="1:22" s="1742" customFormat="1">
      <c r="A51" s="1569"/>
      <c r="B51" s="1569"/>
      <c r="C51" s="1050"/>
      <c r="D51" s="1050"/>
      <c r="E51" s="1050"/>
      <c r="F51" s="1050"/>
      <c r="G51" s="1050"/>
      <c r="H51" s="1050"/>
      <c r="I51" s="1050"/>
      <c r="J51" s="2436"/>
      <c r="K51" s="2437"/>
      <c r="L51" s="2437"/>
      <c r="M51" s="1050"/>
      <c r="N51" s="1050"/>
      <c r="O51" s="1050"/>
      <c r="P51" s="1050"/>
      <c r="Q51" s="1050"/>
      <c r="R51" s="1050"/>
    </row>
    <row r="52" spans="1:22" s="1742" customFormat="1">
      <c r="A52" s="1569"/>
      <c r="B52" s="1569"/>
      <c r="C52" s="1569"/>
      <c r="D52" s="1569"/>
      <c r="E52" s="1569"/>
      <c r="F52" s="1050"/>
      <c r="G52" s="1569"/>
      <c r="H52" s="1569"/>
      <c r="I52" s="1569"/>
      <c r="J52" s="2439"/>
      <c r="K52" s="2437"/>
      <c r="L52" s="2437"/>
      <c r="M52" s="2437"/>
      <c r="N52" s="1569"/>
      <c r="O52" s="1569"/>
      <c r="P52" s="1569"/>
      <c r="Q52" s="1569"/>
      <c r="R52" s="1569"/>
    </row>
    <row r="53" spans="1:22" s="1742" customFormat="1">
      <c r="A53" s="1569"/>
      <c r="B53" s="1569"/>
      <c r="C53" s="1569"/>
      <c r="D53" s="1569"/>
      <c r="E53" s="1569"/>
      <c r="F53" s="1050"/>
      <c r="G53" s="1569"/>
      <c r="H53" s="1569"/>
      <c r="I53" s="1569"/>
      <c r="J53" s="2439"/>
      <c r="K53" s="2437"/>
      <c r="L53" s="2437"/>
      <c r="M53" s="2437"/>
      <c r="N53" s="1569"/>
      <c r="O53" s="1569"/>
      <c r="P53" s="1569"/>
      <c r="Q53" s="1569"/>
      <c r="R53" s="1569"/>
    </row>
    <row r="54" spans="1:22" s="1742" customFormat="1">
      <c r="A54" s="1569"/>
      <c r="B54" s="1569"/>
      <c r="C54" s="1569"/>
      <c r="D54" s="1569"/>
      <c r="E54" s="1569"/>
      <c r="F54" s="1050"/>
      <c r="G54" s="1569"/>
      <c r="H54" s="1569"/>
      <c r="I54" s="1569"/>
      <c r="J54" s="2439"/>
      <c r="K54" s="2437"/>
      <c r="L54" s="2437"/>
      <c r="M54" s="2437"/>
      <c r="N54" s="1569"/>
      <c r="O54" s="1569"/>
      <c r="P54" s="1569"/>
      <c r="Q54" s="1569"/>
      <c r="R54" s="1569"/>
    </row>
    <row r="55" spans="1:22" s="1742" customFormat="1">
      <c r="A55" s="1569"/>
      <c r="B55" s="1569"/>
      <c r="C55" s="1569"/>
      <c r="D55" s="1569"/>
      <c r="E55" s="1569"/>
      <c r="F55" s="1050"/>
      <c r="G55" s="1569"/>
      <c r="H55" s="1569"/>
      <c r="I55" s="1569"/>
      <c r="J55" s="2439"/>
      <c r="K55" s="2437"/>
      <c r="L55" s="2437"/>
      <c r="M55" s="2437"/>
      <c r="N55" s="1569"/>
      <c r="O55" s="1569"/>
      <c r="P55" s="1569"/>
      <c r="Q55" s="1569"/>
      <c r="R55" s="1569"/>
    </row>
    <row r="56" spans="1:22" s="1742" customFormat="1">
      <c r="A56" s="1569"/>
      <c r="B56" s="1569"/>
      <c r="C56" s="1569"/>
      <c r="D56" s="1569"/>
      <c r="E56" s="1569"/>
      <c r="F56" s="1050"/>
      <c r="G56" s="1569"/>
      <c r="H56" s="1569"/>
      <c r="I56" s="1569"/>
      <c r="J56" s="2439"/>
      <c r="K56" s="2437"/>
      <c r="L56" s="2437"/>
      <c r="M56" s="2437"/>
      <c r="N56" s="1569"/>
      <c r="O56" s="1569"/>
      <c r="P56" s="1569"/>
      <c r="Q56" s="1569"/>
      <c r="R56" s="15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5" sqref="I15"/>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1062</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1063</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1064</v>
      </c>
      <c r="B2" s="8" t="s">
        <v>1065</v>
      </c>
      <c r="C2" s="8" t="s">
        <v>1066</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1067</v>
      </c>
      <c r="AZ2" s="1048" t="s">
        <v>1068</v>
      </c>
      <c r="BA2" s="8" t="s">
        <v>1069</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c r="B3" s="11">
        <f>IF(C3="否",G5-AT5,G5)</f>
        <v>557.98</v>
      </c>
      <c r="C3" s="1579" t="s">
        <v>1070</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1071</v>
      </c>
      <c r="B5" s="1346"/>
      <c r="C5" s="1346"/>
      <c r="D5" s="1348"/>
      <c r="E5" s="13" t="s">
        <v>0</v>
      </c>
      <c r="F5" s="13">
        <f>SUM(F13:F587)</f>
        <v>0</v>
      </c>
      <c r="G5" s="13">
        <f>SUM(G13:G587)</f>
        <v>557.98</v>
      </c>
      <c r="H5" s="13">
        <f t="shared" ref="H5:AT5" si="0">SUM(H13:H656)</f>
        <v>557.98</v>
      </c>
      <c r="I5" s="13">
        <f t="shared" si="0"/>
        <v>557.98</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1071</v>
      </c>
      <c r="AW5" s="1346"/>
      <c r="AX5" s="1346"/>
      <c r="AY5" s="14" t="s">
        <v>2</v>
      </c>
      <c r="AZ5" s="15">
        <f t="shared" ref="AZ5:BT5" si="1">SUM(AZ13:AZ656)</f>
        <v>557.98</v>
      </c>
      <c r="BA5" s="15">
        <f t="shared" si="1"/>
        <v>557.98</v>
      </c>
      <c r="BB5" s="15">
        <f t="shared" si="1"/>
        <v>557.98</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1072</v>
      </c>
      <c r="B6" s="1585"/>
      <c r="C6" s="1585"/>
      <c r="D6" s="1586"/>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1072</v>
      </c>
      <c r="AW6" s="1585"/>
      <c r="AX6" s="1585"/>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1073</v>
      </c>
      <c r="B7" s="1568" t="s">
        <v>1074</v>
      </c>
      <c r="C7" s="1568" t="s">
        <v>1075</v>
      </c>
      <c r="D7" s="1568" t="s">
        <v>1076</v>
      </c>
      <c r="E7" s="1568" t="s">
        <v>1077</v>
      </c>
      <c r="F7" s="1568" t="s">
        <v>1078</v>
      </c>
      <c r="G7" s="1589" t="s">
        <v>1079</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1080</v>
      </c>
      <c r="AV7" s="20" t="s">
        <v>1081</v>
      </c>
      <c r="AW7" s="1577" t="s">
        <v>1082</v>
      </c>
      <c r="AX7" s="20" t="s">
        <v>1075</v>
      </c>
      <c r="AY7" s="1346" t="s">
        <v>1083</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1084</v>
      </c>
      <c r="H8" s="1595" t="s">
        <v>1085</v>
      </c>
      <c r="I8" s="1596"/>
      <c r="J8" s="1359"/>
      <c r="K8" s="1359"/>
      <c r="L8" s="1359"/>
      <c r="M8" s="1359"/>
      <c r="N8" s="1359"/>
      <c r="O8" s="1359"/>
      <c r="P8" s="1359"/>
      <c r="Q8" s="1359"/>
      <c r="R8" s="1359"/>
      <c r="S8" s="1359"/>
      <c r="T8" s="1359"/>
      <c r="U8" s="1359"/>
      <c r="V8" s="1597"/>
      <c r="W8" s="1359"/>
      <c r="X8" s="1359"/>
      <c r="Y8" s="1359"/>
      <c r="Z8" s="1359"/>
      <c r="AA8" s="1597"/>
      <c r="AB8" s="1598"/>
      <c r="AC8" s="808" t="s">
        <v>1086</v>
      </c>
      <c r="AD8" s="1599"/>
      <c r="AE8" s="1591"/>
      <c r="AF8" s="1359"/>
      <c r="AG8" s="1359"/>
      <c r="AH8" s="1359"/>
      <c r="AI8" s="1359"/>
      <c r="AJ8" s="1359"/>
      <c r="AK8" s="1359"/>
      <c r="AL8" s="1359"/>
      <c r="AM8" s="1359"/>
      <c r="AN8" s="1359"/>
      <c r="AO8" s="1359"/>
      <c r="AP8" s="1359"/>
      <c r="AQ8" s="1359"/>
      <c r="AR8" s="1359"/>
      <c r="AS8" s="1359"/>
      <c r="AT8" s="1069" t="s">
        <v>1087</v>
      </c>
      <c r="AU8" s="1593" t="s">
        <v>1088</v>
      </c>
      <c r="AV8" s="1069"/>
      <c r="AW8" s="1576"/>
      <c r="AX8" s="1069"/>
      <c r="AY8" s="1577" t="s">
        <v>1089</v>
      </c>
      <c r="AZ8" s="1358" t="s">
        <v>1090</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69"/>
      <c r="H9" s="1601" t="s">
        <v>1091</v>
      </c>
      <c r="I9" s="1602" t="s">
        <v>3419</v>
      </c>
      <c r="J9" s="808"/>
      <c r="K9" s="1602"/>
      <c r="L9" s="808"/>
      <c r="M9" s="1602"/>
      <c r="N9" s="808"/>
      <c r="O9" s="1602"/>
      <c r="P9" s="808"/>
      <c r="Q9" s="1602"/>
      <c r="R9" s="808"/>
      <c r="S9" s="1602"/>
      <c r="T9" s="808"/>
      <c r="U9" s="1602"/>
      <c r="V9" s="808"/>
      <c r="W9" s="1602"/>
      <c r="X9" s="1603"/>
      <c r="Y9" s="1602"/>
      <c r="Z9" s="808"/>
      <c r="AA9" s="1602"/>
      <c r="AB9" s="808"/>
      <c r="AC9" s="1594"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4"/>
      <c r="AT9" s="1593"/>
      <c r="AU9" s="1593" t="s">
        <v>1094</v>
      </c>
      <c r="AV9" s="1069"/>
      <c r="AW9" s="1576"/>
      <c r="AX9" s="1069"/>
      <c r="AY9" s="25"/>
      <c r="AZ9" s="25" t="s">
        <v>1084</v>
      </c>
      <c r="BA9" s="1605" t="s">
        <v>1095</v>
      </c>
      <c r="BB9" s="1606"/>
      <c r="BC9" s="1087"/>
      <c r="BD9" s="1087"/>
      <c r="BE9" s="1087"/>
      <c r="BF9" s="1087"/>
      <c r="BG9" s="1087"/>
      <c r="BH9" s="1087"/>
      <c r="BI9" s="1087"/>
      <c r="BJ9" s="1087"/>
      <c r="BK9" s="1607"/>
      <c r="BL9" s="12" t="s">
        <v>1096</v>
      </c>
      <c r="BM9" s="1359"/>
      <c r="BN9" s="1596"/>
      <c r="BO9" s="1359"/>
      <c r="BP9" s="1359"/>
      <c r="BQ9" s="1359"/>
      <c r="BR9" s="1359"/>
      <c r="BS9" s="1359"/>
      <c r="BT9" s="23"/>
    </row>
    <row r="10" spans="1:72" s="1600" customFormat="1" ht="12.75">
      <c r="A10" s="1593"/>
      <c r="B10" s="1593"/>
      <c r="C10" s="1593"/>
      <c r="D10" s="1593"/>
      <c r="E10" s="1593"/>
      <c r="F10" s="1593"/>
      <c r="G10" s="1069"/>
      <c r="H10" s="25"/>
      <c r="I10" s="1602" t="s">
        <v>673</v>
      </c>
      <c r="J10" s="808"/>
      <c r="K10" s="1608"/>
      <c r="L10" s="808"/>
      <c r="M10" s="1608"/>
      <c r="N10" s="808"/>
      <c r="O10" s="1608"/>
      <c r="P10" s="808"/>
      <c r="Q10" s="1608"/>
      <c r="R10" s="808"/>
      <c r="S10" s="1608"/>
      <c r="T10" s="808"/>
      <c r="U10" s="1608"/>
      <c r="V10" s="808"/>
      <c r="W10" s="1608"/>
      <c r="X10" s="808"/>
      <c r="Y10" s="1608"/>
      <c r="Z10" s="808"/>
      <c r="AA10" s="1608"/>
      <c r="AB10" s="808"/>
      <c r="AC10" s="1069"/>
      <c r="AD10" s="12" t="s">
        <v>1097</v>
      </c>
      <c r="AE10" s="1609"/>
      <c r="AF10" s="12" t="s">
        <v>1097</v>
      </c>
      <c r="AG10" s="1609"/>
      <c r="AH10" s="12" t="s">
        <v>1098</v>
      </c>
      <c r="AI10" s="1609"/>
      <c r="AJ10" s="12" t="s">
        <v>1098</v>
      </c>
      <c r="AK10" s="1609"/>
      <c r="AL10" s="12" t="s">
        <v>1099</v>
      </c>
      <c r="AM10" s="1075"/>
      <c r="AN10" s="12" t="s">
        <v>1099</v>
      </c>
      <c r="AO10" s="1075"/>
      <c r="AP10" s="12" t="s">
        <v>1100</v>
      </c>
      <c r="AQ10" s="1075"/>
      <c r="AR10" s="12" t="s">
        <v>1100</v>
      </c>
      <c r="AS10" s="1075"/>
      <c r="AT10" s="1593"/>
      <c r="AU10" s="1593"/>
      <c r="AV10" s="1069"/>
      <c r="AW10" s="1576"/>
      <c r="AX10" s="1069"/>
      <c r="AY10" s="25"/>
      <c r="AZ10" s="25"/>
      <c r="BA10" s="1610" t="s">
        <v>1091</v>
      </c>
      <c r="BB10" s="1611" t="str">
        <f>I9</f>
        <v>地上</v>
      </c>
      <c r="BC10" s="26">
        <f>K9</f>
        <v>0</v>
      </c>
      <c r="BD10" s="26">
        <f>M9</f>
        <v>0</v>
      </c>
      <c r="BE10" s="26">
        <f>O9</f>
        <v>0</v>
      </c>
      <c r="BF10" s="26">
        <f>Q9</f>
        <v>0</v>
      </c>
      <c r="BG10" s="26">
        <f>S9</f>
        <v>0</v>
      </c>
      <c r="BH10" s="26">
        <f>U9</f>
        <v>0</v>
      </c>
      <c r="BI10" s="26">
        <f>W9</f>
        <v>0</v>
      </c>
      <c r="BJ10" s="26">
        <f>Y9</f>
        <v>0</v>
      </c>
      <c r="BK10" s="26">
        <f>AA9</f>
        <v>0</v>
      </c>
      <c r="BL10" s="22" t="s">
        <v>1091</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69"/>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69"/>
      <c r="AD11" s="1615" t="s">
        <v>1101</v>
      </c>
      <c r="AE11" s="1360"/>
      <c r="AF11" s="1615" t="s">
        <v>1101</v>
      </c>
      <c r="AG11" s="1360"/>
      <c r="AH11" s="1615" t="s">
        <v>1102</v>
      </c>
      <c r="AI11" s="1616"/>
      <c r="AJ11" s="1615" t="s">
        <v>1102</v>
      </c>
      <c r="AK11" s="1360"/>
      <c r="AL11" s="1358"/>
      <c r="AM11" s="1360"/>
      <c r="AN11" s="1358"/>
      <c r="AO11" s="1360"/>
      <c r="AP11" s="1358"/>
      <c r="AQ11" s="1360"/>
      <c r="AR11" s="1358"/>
      <c r="AS11" s="1360"/>
      <c r="AT11" s="1576"/>
      <c r="AU11" s="1593"/>
      <c r="AV11" s="1069"/>
      <c r="AW11" s="1576"/>
      <c r="AX11" s="1069"/>
      <c r="AY11" s="25"/>
      <c r="AZ11" s="25"/>
      <c r="BA11" s="25"/>
      <c r="BB11" s="1598" t="str">
        <f>I10</f>
        <v>商业</v>
      </c>
      <c r="BC11" s="1598">
        <f>K10</f>
        <v>0</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5" t="s">
        <v>1104</v>
      </c>
      <c r="W12" s="8" t="s">
        <v>1103</v>
      </c>
      <c r="X12" s="8" t="s">
        <v>1104</v>
      </c>
      <c r="Y12" s="8" t="s">
        <v>1103</v>
      </c>
      <c r="Z12" s="8" t="s">
        <v>1104</v>
      </c>
      <c r="AA12" s="8" t="s">
        <v>1103</v>
      </c>
      <c r="AB12" s="8" t="s">
        <v>1104</v>
      </c>
      <c r="AC12" s="1620"/>
      <c r="AD12" s="134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8" t="s">
        <v>1104</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0"/>
      <c r="B13" s="1050"/>
      <c r="C13" s="1050">
        <v>106</v>
      </c>
      <c r="D13" s="1624" t="s">
        <v>3418</v>
      </c>
      <c r="E13" s="13">
        <f>IF($C$3="是",ROUND($A$3*G13/$B$3,2),ROUND($A$3*(G13-AT13)/$B$3,2))</f>
        <v>0</v>
      </c>
      <c r="F13" s="29"/>
      <c r="G13" s="30">
        <f>H13+AC13+AT13</f>
        <v>121.8</v>
      </c>
      <c r="H13" s="17">
        <f>SUMIF(I$12:AB$12,"总值",I13:AB13)</f>
        <v>121.8</v>
      </c>
      <c r="I13" s="1625">
        <v>121.8</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f t="shared" si="6"/>
        <v>106</v>
      </c>
      <c r="AY13" s="1348">
        <f>ROUND($AY$6*AZ13/$AZ$5,2)</f>
        <v>0</v>
      </c>
      <c r="AZ13" s="13">
        <f>BA13+BL13</f>
        <v>121.8</v>
      </c>
      <c r="BA13" s="13">
        <f>SUM(BB13:BK13)</f>
        <v>121.8</v>
      </c>
      <c r="BB13" s="13">
        <f>IF($D13="是",I13-J13,0)</f>
        <v>121.8</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0"/>
      <c r="B14" s="1050"/>
      <c r="C14" s="1569">
        <v>206</v>
      </c>
      <c r="D14" s="1624" t="s">
        <v>3418</v>
      </c>
      <c r="E14" s="13">
        <f>IF($C$3="是",ROUND($A$3*G14/$B$3,2),ROUND($A$3*(G14-AT14)/$B$3,2))</f>
        <v>0</v>
      </c>
      <c r="F14" s="29"/>
      <c r="G14" s="30">
        <f>H14+AC14+AT14</f>
        <v>436.18</v>
      </c>
      <c r="H14" s="17">
        <f>SUMIF(I$12:AB$12,"总值",I14:AB14)</f>
        <v>436.18</v>
      </c>
      <c r="I14" s="1625">
        <v>436.18</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f t="shared" si="6"/>
        <v>206</v>
      </c>
      <c r="AY14" s="1348">
        <f>ROUND($AY$6*AZ14/$AZ$5,2)</f>
        <v>0</v>
      </c>
      <c r="AZ14" s="13">
        <f>BA14+BL14</f>
        <v>436.18</v>
      </c>
      <c r="BA14" s="13">
        <f>SUM(BB14:BK14)</f>
        <v>436.18</v>
      </c>
      <c r="BB14" s="13">
        <f>IF($D14="是",I14-J14,0)</f>
        <v>436.18</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0"/>
      <c r="B15" s="1050"/>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0"/>
      <c r="B16" s="1050"/>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0"/>
      <c r="B17" s="1050"/>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21" sqref="F21"/>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8"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1130</v>
      </c>
      <c r="B1" s="1138"/>
      <c r="C1" s="1138"/>
      <c r="D1" s="1138"/>
      <c r="E1" s="1138"/>
      <c r="F1" s="1138"/>
      <c r="G1" s="1138"/>
      <c r="H1" s="1138"/>
      <c r="I1" s="1138"/>
      <c r="J1" s="1138"/>
      <c r="K1" s="1138"/>
      <c r="L1" s="1138"/>
      <c r="M1" s="1138"/>
      <c r="N1" s="1138"/>
      <c r="O1" s="1138"/>
      <c r="P1" s="1138"/>
    </row>
    <row r="2" spans="1:16" ht="15">
      <c r="A2" s="3579" t="s">
        <v>1131</v>
      </c>
      <c r="B2" s="3579"/>
      <c r="C2" s="3579"/>
      <c r="D2" s="795" t="s">
        <v>1107</v>
      </c>
      <c r="E2" s="1638" t="s">
        <v>1108</v>
      </c>
      <c r="F2" s="2658"/>
      <c r="G2" s="2649"/>
      <c r="H2" s="2650"/>
      <c r="I2" s="2324" t="s">
        <v>1132</v>
      </c>
      <c r="J2" s="2658"/>
      <c r="K2" s="2658"/>
      <c r="L2" s="2658"/>
      <c r="M2" s="2658"/>
      <c r="N2" s="2660"/>
      <c r="O2" s="2658"/>
      <c r="P2" s="2658"/>
    </row>
    <row r="3" spans="1:16" ht="15.75" thickBot="1">
      <c r="A3" s="3580" t="s">
        <v>1105</v>
      </c>
      <c r="B3" s="3580"/>
      <c r="C3" s="3580"/>
      <c r="D3" s="43">
        <f>'数据-基础表'!AY6</f>
        <v>0</v>
      </c>
      <c r="E3" s="43">
        <f>'数据-基础表'!AZ5</f>
        <v>557.98</v>
      </c>
      <c r="F3" s="2658"/>
      <c r="G3" s="1144"/>
      <c r="H3" s="1025" t="s">
        <v>1106</v>
      </c>
      <c r="I3" s="854" t="e">
        <f>ROUND('数据-基础表'!B3/'数据-基础表'!A3,2)</f>
        <v>#DIV/0!</v>
      </c>
      <c r="J3" s="2658"/>
      <c r="K3" s="2658"/>
      <c r="L3" s="2658"/>
      <c r="M3" s="2658"/>
      <c r="N3" s="2660"/>
      <c r="O3" s="2658"/>
      <c r="P3" s="2658"/>
    </row>
    <row r="4" spans="1:16" ht="15">
      <c r="A4" s="3581"/>
      <c r="B4" s="3582"/>
      <c r="C4" s="3583"/>
      <c r="D4" s="1640" t="s">
        <v>1107</v>
      </c>
      <c r="E4" s="1641" t="s">
        <v>1108</v>
      </c>
      <c r="F4" s="2658"/>
      <c r="G4" s="2651" t="s">
        <v>1133</v>
      </c>
      <c r="H4" s="1025" t="s">
        <v>1113</v>
      </c>
      <c r="I4" s="854" t="e">
        <f>ROUND(SUMIF('数据-基础表'!I9:AS9,"地上",'数据-基础表'!I5:AS5)/'数据-基础表'!A3,2)</f>
        <v>#DIV/0!</v>
      </c>
      <c r="J4" s="2658"/>
      <c r="K4" s="2658"/>
      <c r="L4" s="2658"/>
      <c r="M4" s="2658"/>
      <c r="N4" s="2660"/>
      <c r="O4" s="2658"/>
      <c r="P4" s="2658"/>
    </row>
    <row r="5" spans="1:16">
      <c r="A5" s="44" t="s">
        <v>1109</v>
      </c>
      <c r="B5" s="3584" t="s">
        <v>1110</v>
      </c>
      <c r="C5" s="3584"/>
      <c r="D5" s="45">
        <f>ROUND($D$3*E5/$E$3,2)</f>
        <v>0</v>
      </c>
      <c r="E5" s="46">
        <f>SUMIF('数据-基础表'!$11:$11,"住宅",'数据-基础表'!$5:$5)</f>
        <v>0</v>
      </c>
      <c r="F5" s="2658"/>
      <c r="G5" s="1144"/>
      <c r="H5" s="1025" t="s">
        <v>1106</v>
      </c>
      <c r="I5" s="854" t="e">
        <f>ROUND(E31/D31,2)</f>
        <v>#DIV/0!</v>
      </c>
      <c r="J5" s="2658"/>
      <c r="K5" s="2658"/>
      <c r="L5" s="2658"/>
      <c r="M5" s="2658"/>
      <c r="N5" s="2658"/>
      <c r="O5" s="2658"/>
      <c r="P5" s="2658"/>
    </row>
    <row r="6" spans="1:16" ht="15" thickBot="1">
      <c r="A6" s="1643"/>
      <c r="B6" s="3584" t="s">
        <v>1111</v>
      </c>
      <c r="C6" s="3584"/>
      <c r="D6" s="45">
        <f>ROUND($D$3*E6/$E$3,2)</f>
        <v>0</v>
      </c>
      <c r="E6" s="46">
        <f>E3-E5</f>
        <v>557.98</v>
      </c>
      <c r="F6" s="2658"/>
      <c r="G6" s="2652" t="s">
        <v>1112</v>
      </c>
      <c r="H6" s="1145" t="s">
        <v>1113</v>
      </c>
      <c r="I6" s="2653" t="e">
        <f>ROUND(F31/D31,2)</f>
        <v>#DIV/0!</v>
      </c>
      <c r="J6" s="2658"/>
      <c r="K6" s="2658"/>
      <c r="L6" s="2658"/>
      <c r="M6" s="2658"/>
      <c r="N6" s="2658"/>
      <c r="O6" s="2658"/>
      <c r="P6" s="2658"/>
    </row>
    <row r="7" spans="1:16" ht="15.75" thickBot="1">
      <c r="A7" s="3576"/>
      <c r="B7" s="3577"/>
      <c r="C7" s="3578"/>
      <c r="D7" s="1640" t="s">
        <v>1107</v>
      </c>
      <c r="E7" s="1644" t="s">
        <v>1114</v>
      </c>
      <c r="F7" s="2658"/>
      <c r="G7" s="2654" t="s">
        <v>1115</v>
      </c>
      <c r="H7" s="2655"/>
      <c r="I7" s="2656">
        <v>2.5</v>
      </c>
      <c r="J7" s="2658"/>
      <c r="K7" s="2658"/>
      <c r="L7" s="2658"/>
      <c r="M7" s="2658"/>
      <c r="N7" s="2658"/>
      <c r="O7" s="2658"/>
      <c r="P7" s="2658"/>
    </row>
    <row r="8" spans="1:16">
      <c r="A8" s="44" t="s">
        <v>1116</v>
      </c>
      <c r="B8" s="47" t="s">
        <v>1117</v>
      </c>
      <c r="C8" s="45" t="s">
        <v>1118</v>
      </c>
      <c r="D8" s="45">
        <f t="shared" ref="D8:D15" si="0">ROUND($D$3*E8/$E$3,2)</f>
        <v>0</v>
      </c>
      <c r="E8" s="48">
        <f>SUMIF('数据-基础表'!BB10:BK10,"地上",'数据-基础表'!BB5:BK5)</f>
        <v>557.98</v>
      </c>
      <c r="F8" s="2658"/>
      <c r="G8" s="2659"/>
      <c r="H8" s="2659"/>
      <c r="I8" s="2658"/>
      <c r="J8" s="2658"/>
      <c r="K8" s="2658"/>
      <c r="L8" s="2658"/>
      <c r="M8" s="2658"/>
      <c r="N8" s="2658"/>
      <c r="O8" s="2658"/>
      <c r="P8" s="2658"/>
    </row>
    <row r="9" spans="1:16">
      <c r="A9" s="1645"/>
      <c r="B9" s="1646"/>
      <c r="C9" s="45" t="s">
        <v>1119</v>
      </c>
      <c r="D9" s="45">
        <f t="shared" si="0"/>
        <v>0</v>
      </c>
      <c r="E9" s="49">
        <v>0</v>
      </c>
      <c r="F9" s="2658"/>
      <c r="G9" s="2659"/>
      <c r="H9" s="2659"/>
      <c r="I9" s="2658"/>
      <c r="J9" s="2658"/>
      <c r="K9" s="2658"/>
      <c r="L9" s="2658"/>
      <c r="M9" s="2658"/>
      <c r="N9" s="2658"/>
      <c r="O9" s="2658"/>
      <c r="P9" s="2658"/>
    </row>
    <row r="10" spans="1:16">
      <c r="A10" s="1645"/>
      <c r="B10" s="1646"/>
      <c r="C10" s="45" t="s">
        <v>1128</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5"/>
      <c r="B11" s="1646"/>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5"/>
      <c r="B12" s="1646"/>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5"/>
      <c r="B13" s="1646"/>
      <c r="C13" s="45" t="s">
        <v>1122</v>
      </c>
      <c r="D13" s="45">
        <f t="shared" si="0"/>
        <v>0</v>
      </c>
      <c r="E13" s="48">
        <f>SUMPRODUCT(('数据-基础表'!BB10:BK10="地下")*('数据-基础表'!BB11:BK11="车库")*('数据-基础表'!BB5:BK5))</f>
        <v>0</v>
      </c>
      <c r="F13" s="2658"/>
      <c r="G13" s="2659"/>
      <c r="H13" s="2659"/>
      <c r="I13" s="2658"/>
      <c r="J13" s="2658"/>
      <c r="K13" s="2658"/>
      <c r="L13" s="2658"/>
      <c r="M13" s="2658"/>
      <c r="N13" s="2658"/>
      <c r="O13" s="2658"/>
      <c r="P13" s="2658"/>
    </row>
    <row r="14" spans="1:16">
      <c r="A14" s="1645"/>
      <c r="B14" s="1646"/>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5"/>
      <c r="B15" s="1646"/>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3"/>
      <c r="B16" s="1646"/>
      <c r="C16" s="47" t="s">
        <v>1123</v>
      </c>
      <c r="D16" s="47">
        <f>SUM(D8:D15)</f>
        <v>0</v>
      </c>
      <c r="E16" s="50">
        <f>SUM(E8:E15)</f>
        <v>557.98</v>
      </c>
      <c r="F16" s="2658"/>
      <c r="G16" s="2659"/>
      <c r="H16" s="1647" t="s">
        <v>1135</v>
      </c>
      <c r="I16" s="1648"/>
      <c r="J16" s="1138"/>
      <c r="K16" s="3573" t="s">
        <v>1135</v>
      </c>
      <c r="L16" s="3574"/>
      <c r="M16" s="3574"/>
      <c r="N16" s="3574"/>
      <c r="O16" s="3574"/>
      <c r="P16" s="3575"/>
    </row>
    <row r="17" spans="1:19" ht="15">
      <c r="A17" s="1649" t="s">
        <v>1136</v>
      </c>
      <c r="B17" s="1650" t="s">
        <v>1137</v>
      </c>
      <c r="C17" s="1651" t="s">
        <v>1138</v>
      </c>
      <c r="D17" s="1652" t="s">
        <v>1126</v>
      </c>
      <c r="E17" s="1653" t="s">
        <v>1127</v>
      </c>
      <c r="F17" s="1654"/>
      <c r="G17" s="1655"/>
      <c r="H17" s="1656" t="s">
        <v>1139</v>
      </c>
      <c r="I17" s="1657" t="s">
        <v>1124</v>
      </c>
      <c r="J17" s="1138"/>
      <c r="K17" s="3570" t="s">
        <v>1140</v>
      </c>
      <c r="L17" s="3571"/>
      <c r="M17" s="3572"/>
      <c r="N17" s="3570" t="s">
        <v>1141</v>
      </c>
      <c r="O17" s="3571"/>
      <c r="P17" s="3572"/>
      <c r="R17" s="1639" t="s">
        <v>1142</v>
      </c>
      <c r="S17" s="56"/>
    </row>
    <row r="18" spans="1:19" ht="15">
      <c r="A18" s="1645"/>
      <c r="B18" s="1658"/>
      <c r="C18" s="1659"/>
      <c r="D18" s="1660"/>
      <c r="E18" s="1661" t="s">
        <v>1143</v>
      </c>
      <c r="F18" s="1662" t="s">
        <v>1144</v>
      </c>
      <c r="G18" s="1663" t="s">
        <v>1145</v>
      </c>
      <c r="H18" s="1040" t="s">
        <v>1146</v>
      </c>
      <c r="I18" s="1664" t="s">
        <v>1147</v>
      </c>
      <c r="J18" s="1138"/>
      <c r="K18" s="1040" t="s">
        <v>1148</v>
      </c>
      <c r="L18" s="1665" t="s">
        <v>1149</v>
      </c>
      <c r="M18" s="854" t="s">
        <v>1150</v>
      </c>
      <c r="N18" s="1040" t="s">
        <v>1148</v>
      </c>
      <c r="O18" s="1665" t="s">
        <v>1149</v>
      </c>
      <c r="P18" s="854" t="s">
        <v>1150</v>
      </c>
      <c r="R18" s="1025" t="s">
        <v>1151</v>
      </c>
      <c r="S18" s="1025" t="s">
        <v>1152</v>
      </c>
    </row>
    <row r="19" spans="1:19">
      <c r="A19" s="1666"/>
      <c r="B19" s="47" t="s">
        <v>1125</v>
      </c>
      <c r="C19" s="3416" t="s">
        <v>3447</v>
      </c>
      <c r="D19" s="45">
        <f>ROUND($D$3*E19/$E$3,2)</f>
        <v>0</v>
      </c>
      <c r="E19" s="53">
        <f t="shared" ref="E19:E26" si="1">SUM(F19:G19)</f>
        <v>121.8</v>
      </c>
      <c r="F19" s="2794">
        <f>'数据-基础表'!I13</f>
        <v>121.8</v>
      </c>
      <c r="G19" s="2795"/>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0</v>
      </c>
      <c r="S19" s="1026">
        <f t="shared" si="5"/>
        <v>121.8</v>
      </c>
    </row>
    <row r="20" spans="1:19">
      <c r="A20" s="1669"/>
      <c r="B20" s="47" t="s">
        <v>1153</v>
      </c>
      <c r="C20" s="3416" t="s">
        <v>3449</v>
      </c>
      <c r="D20" s="45">
        <f t="shared" ref="D20:D26" si="6">ROUND($D$3*E20/$E$3,2)</f>
        <v>0</v>
      </c>
      <c r="E20" s="53">
        <f t="shared" si="1"/>
        <v>436.18</v>
      </c>
      <c r="F20" s="2794">
        <f>'数据-基础表'!I14</f>
        <v>436.18</v>
      </c>
      <c r="G20" s="2795"/>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0</v>
      </c>
      <c r="S20" s="1026">
        <f t="shared" si="5"/>
        <v>436.18</v>
      </c>
    </row>
    <row r="21" spans="1:19">
      <c r="A21" s="1669"/>
      <c r="B21" s="47" t="s">
        <v>1153</v>
      </c>
      <c r="C21" s="3416"/>
      <c r="D21" s="45">
        <f t="shared" si="6"/>
        <v>0</v>
      </c>
      <c r="E21" s="53">
        <f t="shared" si="1"/>
        <v>0</v>
      </c>
      <c r="F21" s="2794"/>
      <c r="G21" s="2795"/>
      <c r="H21" s="669">
        <f t="shared" si="7"/>
        <v>0</v>
      </c>
      <c r="I21" s="48">
        <f t="shared" si="2"/>
        <v>0</v>
      </c>
      <c r="J21" s="1138"/>
      <c r="K21" s="1137">
        <f t="shared" si="3"/>
        <v>0</v>
      </c>
      <c r="L21" s="1025">
        <f t="shared" si="4"/>
        <v>0</v>
      </c>
      <c r="M21" s="1149">
        <f t="shared" si="8"/>
        <v>0</v>
      </c>
      <c r="N21" s="1667"/>
      <c r="O21" s="1668"/>
      <c r="P21" s="1149">
        <f t="shared" si="9"/>
        <v>0</v>
      </c>
      <c r="R21" s="1025">
        <f t="shared" si="5"/>
        <v>0</v>
      </c>
      <c r="S21" s="1026">
        <f t="shared" si="5"/>
        <v>0</v>
      </c>
    </row>
    <row r="22" spans="1:19">
      <c r="A22" s="1669"/>
      <c r="B22" s="47" t="s">
        <v>1153</v>
      </c>
      <c r="C22" s="3417"/>
      <c r="D22" s="45">
        <f t="shared" si="6"/>
        <v>0</v>
      </c>
      <c r="E22" s="53">
        <f t="shared" si="1"/>
        <v>0</v>
      </c>
      <c r="F22" s="2796"/>
      <c r="G22" s="2797"/>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c r="A23" s="1669"/>
      <c r="B23" s="47" t="s">
        <v>1153</v>
      </c>
      <c r="C23" s="3417"/>
      <c r="D23" s="45">
        <f>ROUND($D$3*E23/$E$3,2)</f>
        <v>0</v>
      </c>
      <c r="E23" s="53">
        <f>SUM(F23:G23)</f>
        <v>0</v>
      </c>
      <c r="F23" s="2796"/>
      <c r="G23" s="2797"/>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c r="A24" s="1669"/>
      <c r="B24" s="47" t="s">
        <v>1153</v>
      </c>
      <c r="C24" s="3417"/>
      <c r="D24" s="45">
        <f>ROUND($D$3*E24/$E$3,2)</f>
        <v>0</v>
      </c>
      <c r="E24" s="53">
        <f>SUM(F24:G24)</f>
        <v>0</v>
      </c>
      <c r="F24" s="2796"/>
      <c r="G24" s="2797"/>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c r="A25" s="1669"/>
      <c r="B25" s="47" t="s">
        <v>1153</v>
      </c>
      <c r="C25" s="3417"/>
      <c r="D25" s="45">
        <f t="shared" si="6"/>
        <v>0</v>
      </c>
      <c r="E25" s="53">
        <f t="shared" si="1"/>
        <v>0</v>
      </c>
      <c r="F25" s="2796"/>
      <c r="G25" s="2797"/>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c r="A26" s="1669"/>
      <c r="B26" s="47" t="s">
        <v>1153</v>
      </c>
      <c r="C26" s="55"/>
      <c r="D26" s="45">
        <f t="shared" si="6"/>
        <v>0</v>
      </c>
      <c r="E26" s="53">
        <f t="shared" si="1"/>
        <v>0</v>
      </c>
      <c r="F26" s="2796"/>
      <c r="G26" s="2797"/>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15.75" thickBot="1">
      <c r="A27" s="1669"/>
      <c r="B27" s="45"/>
      <c r="C27" s="1672" t="s">
        <v>1154</v>
      </c>
      <c r="D27" s="1139">
        <f>SUM(D19:D26)</f>
        <v>0</v>
      </c>
      <c r="E27" s="1140">
        <f>IF(SUM(E19:E26)='数据-基础表'!BA5,SUM(E19:E26),IF(F27="地上面积有误","面积有误","地下面积有误"))</f>
        <v>557.98</v>
      </c>
      <c r="F27" s="1139">
        <f>IF(SUM(F19:F26)=E8,SUM(F19:F26),"地上面积有误")</f>
        <v>557.98</v>
      </c>
      <c r="G27" s="1141">
        <f>SUM(G19:G26)</f>
        <v>0</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0</v>
      </c>
      <c r="S27" s="1025">
        <f>IF(SUM(S19:S26)=$E$3,SUM(S19:S26),SUM(S19:S26)&amp;"误差"&amp;ROUND(SUM(S19:S26)-E3,2))</f>
        <v>557.98</v>
      </c>
    </row>
    <row r="28" spans="1:19">
      <c r="A28" s="1669"/>
      <c r="B28" s="47" t="s">
        <v>1155</v>
      </c>
      <c r="C28" s="1037"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69"/>
      <c r="B29" s="47" t="s">
        <v>1155</v>
      </c>
      <c r="C29" s="1673"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69"/>
      <c r="B30" s="47"/>
      <c r="C30" s="1674" t="s">
        <v>1154</v>
      </c>
      <c r="D30" s="1139">
        <f>SUM(D28:D29)</f>
        <v>0</v>
      </c>
      <c r="E30" s="1139">
        <f>SUM(E28:E29)</f>
        <v>0</v>
      </c>
      <c r="F30" s="1139">
        <f>SUM(F28:F29)</f>
        <v>0</v>
      </c>
      <c r="G30" s="1141">
        <f>SUM(G28:G29)</f>
        <v>0</v>
      </c>
      <c r="H30" s="2658"/>
      <c r="I30" s="2658"/>
      <c r="J30" s="2658"/>
      <c r="K30" s="2658"/>
      <c r="L30" s="2658"/>
      <c r="M30" s="2658"/>
      <c r="N30" s="2658"/>
      <c r="O30" s="2658"/>
      <c r="P30" s="2658"/>
    </row>
    <row r="31" spans="1:19" ht="15.75" thickBot="1">
      <c r="A31" s="1675"/>
      <c r="B31" s="1676"/>
      <c r="C31" s="834" t="s">
        <v>1158</v>
      </c>
      <c r="D31" s="675">
        <f>D27+D30</f>
        <v>0</v>
      </c>
      <c r="E31" s="675">
        <f>E27+E30</f>
        <v>557.98</v>
      </c>
      <c r="F31" s="676">
        <f>F27+F30</f>
        <v>557.98</v>
      </c>
      <c r="G31" s="677">
        <f>G27+G30</f>
        <v>0</v>
      </c>
      <c r="H31" s="2658"/>
      <c r="I31" s="2658"/>
      <c r="J31" s="2658"/>
      <c r="K31" s="2658"/>
      <c r="L31" s="2658"/>
      <c r="M31" s="2658"/>
      <c r="N31" s="2658"/>
      <c r="O31" s="2658"/>
      <c r="P31" s="2658"/>
    </row>
    <row r="32" spans="1:19">
      <c r="A32" s="1642"/>
      <c r="B32" s="1642" t="s">
        <v>1159</v>
      </c>
      <c r="C32" s="1642"/>
      <c r="D32" s="1642"/>
      <c r="E32" s="1052">
        <f>SUMIF(C19:C26,"*住宅*",E19:E26)</f>
        <v>0</v>
      </c>
      <c r="F32" s="1642"/>
      <c r="G32" s="1642"/>
      <c r="H32" s="2658"/>
      <c r="I32" s="2658"/>
      <c r="J32" s="2658"/>
      <c r="K32" s="2658"/>
      <c r="L32" s="2658"/>
      <c r="M32" s="2658"/>
      <c r="N32" s="2658"/>
      <c r="O32" s="2658"/>
      <c r="P32" s="2658"/>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14" priority="1" stopIfTrue="1" operator="containsText" text="面积有误">
      <formula>NOT(ISERROR(SEARCH("面积有误",E27)))</formula>
    </cfRule>
    <cfRule type="cellIs" dxfId="213" priority="3" stopIfTrue="1" operator="equal">
      <formula>"地下面积有误"</formula>
    </cfRule>
  </conditionalFormatting>
  <conditionalFormatting sqref="F27">
    <cfRule type="cellIs" dxfId="21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U6" activePane="bottomRight" state="frozen"/>
      <selection activeCell="C50" sqref="C50"/>
      <selection pane="topRight" activeCell="C50" sqref="C50"/>
      <selection pane="bottomLeft" activeCell="C50" sqref="C50"/>
      <selection pane="bottomRight" activeCell="AD8" sqref="AD8"/>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1160</v>
      </c>
      <c r="B1" s="678"/>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70"/>
      <c r="AO1" s="2670"/>
      <c r="AP1" s="2670"/>
      <c r="AQ1" s="2670"/>
      <c r="AR1" s="2670"/>
    </row>
    <row r="2" spans="1:67" s="1558" customFormat="1" ht="15.75" thickBot="1">
      <c r="A2" s="1682" t="s">
        <v>1161</v>
      </c>
      <c r="B2" s="1044">
        <f>项目基本情况!D3</f>
        <v>45805</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2"/>
      <c r="AO2" s="2672"/>
      <c r="AP2" s="2672"/>
      <c r="AQ2" s="2672"/>
      <c r="AR2" s="2672"/>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2"/>
      <c r="AO3" s="2672"/>
      <c r="AP3" s="2672"/>
      <c r="AQ3" s="2672"/>
      <c r="AR3" s="2672"/>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1162</v>
      </c>
      <c r="B4" s="1687"/>
      <c r="C4" s="1688"/>
      <c r="D4" s="1689"/>
      <c r="E4" s="1688" t="s">
        <v>1163</v>
      </c>
      <c r="F4" s="1688"/>
      <c r="G4" s="1688"/>
      <c r="H4" s="1688"/>
      <c r="I4" s="1688"/>
      <c r="J4" s="1690"/>
      <c r="K4" s="1691"/>
      <c r="L4" s="1692"/>
      <c r="M4" s="1688"/>
      <c r="N4" s="1688" t="s">
        <v>1164</v>
      </c>
      <c r="O4" s="1688"/>
      <c r="P4" s="1688"/>
      <c r="Q4" s="1688"/>
      <c r="R4" s="1688"/>
      <c r="S4" s="1690"/>
      <c r="T4" s="2657" t="str">
        <f>'数据-汇总表'!I17</f>
        <v>按面积比例</v>
      </c>
      <c r="U4" s="1687" t="s">
        <v>1165</v>
      </c>
      <c r="V4" s="1688"/>
      <c r="W4" s="1688"/>
      <c r="X4" s="1688"/>
      <c r="Y4" s="1690"/>
      <c r="Z4" s="1651" t="s">
        <v>1166</v>
      </c>
      <c r="AA4" s="1651"/>
      <c r="AB4" s="1651"/>
      <c r="AC4" s="1651"/>
      <c r="AD4" s="1651"/>
      <c r="AE4" s="1649" t="s">
        <v>1167</v>
      </c>
      <c r="AF4" s="1651"/>
      <c r="AG4" s="1693"/>
      <c r="AH4" s="1687"/>
      <c r="AI4" s="1688"/>
      <c r="AJ4" s="1688"/>
      <c r="AK4" s="1688"/>
      <c r="AL4" s="1688"/>
      <c r="AM4" s="1690"/>
      <c r="AN4" s="2672"/>
      <c r="AO4" s="2672"/>
      <c r="AP4" s="2672"/>
      <c r="AQ4" s="2672"/>
      <c r="AR4" s="2672"/>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1168</v>
      </c>
      <c r="B5" s="1695" t="s">
        <v>1169</v>
      </c>
      <c r="C5" s="1696" t="s">
        <v>1170</v>
      </c>
      <c r="D5" s="1697" t="s">
        <v>1171</v>
      </c>
      <c r="E5" s="1046" t="s">
        <v>1172</v>
      </c>
      <c r="F5" s="1698" t="s">
        <v>1173</v>
      </c>
      <c r="G5" s="1046" t="s">
        <v>1174</v>
      </c>
      <c r="H5" s="1046" t="s">
        <v>1175</v>
      </c>
      <c r="I5" s="1046" t="s">
        <v>1176</v>
      </c>
      <c r="J5" s="1699" t="s">
        <v>1177</v>
      </c>
      <c r="K5" s="1700" t="s">
        <v>1178</v>
      </c>
      <c r="L5" s="1701" t="s">
        <v>1179</v>
      </c>
      <c r="M5" s="1702" t="s">
        <v>1180</v>
      </c>
      <c r="N5" s="1703" t="s">
        <v>3420</v>
      </c>
      <c r="O5" s="1701" t="s">
        <v>1181</v>
      </c>
      <c r="P5" s="1704" t="s">
        <v>1182</v>
      </c>
      <c r="Q5" s="61" t="s">
        <v>1183</v>
      </c>
      <c r="R5" s="1705" t="s">
        <v>1184</v>
      </c>
      <c r="S5" s="1706" t="s">
        <v>1185</v>
      </c>
      <c r="T5" s="1707" t="s">
        <v>1186</v>
      </c>
      <c r="U5" s="1045" t="s">
        <v>1187</v>
      </c>
      <c r="V5" s="1046" t="s">
        <v>1188</v>
      </c>
      <c r="W5" s="1046" t="s">
        <v>1189</v>
      </c>
      <c r="X5" s="63"/>
      <c r="Y5" s="62" t="s">
        <v>1190</v>
      </c>
      <c r="Z5" s="1708" t="s">
        <v>1187</v>
      </c>
      <c r="AA5" s="1046" t="s">
        <v>1188</v>
      </c>
      <c r="AB5" s="1046" t="s">
        <v>1189</v>
      </c>
      <c r="AC5" s="63"/>
      <c r="AD5" s="63" t="s">
        <v>1190</v>
      </c>
      <c r="AE5" s="1045" t="s">
        <v>1191</v>
      </c>
      <c r="AF5" s="1046" t="s">
        <v>1192</v>
      </c>
      <c r="AG5" s="62" t="s">
        <v>1193</v>
      </c>
      <c r="AH5" s="1045" t="s">
        <v>1194</v>
      </c>
      <c r="AI5" s="1708" t="s">
        <v>1195</v>
      </c>
      <c r="AJ5" s="1708" t="s">
        <v>1196</v>
      </c>
      <c r="AK5" s="1046" t="s">
        <v>1197</v>
      </c>
      <c r="AL5" s="1046" t="s">
        <v>1198</v>
      </c>
      <c r="AM5" s="62" t="s">
        <v>1199</v>
      </c>
      <c r="AN5" s="1709" t="s">
        <v>1200</v>
      </c>
      <c r="AO5" s="1561" t="s">
        <v>1201</v>
      </c>
      <c r="AP5" s="1027" t="s">
        <v>1202</v>
      </c>
      <c r="AQ5" s="1710" t="s">
        <v>1203</v>
      </c>
      <c r="AR5" s="1710" t="s">
        <v>1204</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商业一层</v>
      </c>
      <c r="B6" s="1712" t="str">
        <f>IF(A6=0,"","经营性")</f>
        <v>经营性</v>
      </c>
      <c r="C6" s="1713" t="s">
        <v>673</v>
      </c>
      <c r="D6" s="857">
        <f>SUMIF(项目基本情况!C$12:I$12,C6,项目基本情况!C$14:I$14)</f>
        <v>40</v>
      </c>
      <c r="E6" s="856">
        <f>IF(B6="","",SUMIF(项目基本情况!C$12:I$12,C6,项目基本情况!C$13:I$13))</f>
        <v>56510</v>
      </c>
      <c r="F6" s="64">
        <f>SUMIF(项目基本情况!C$12:I$12,C6,项目基本情况!C$15:I$15)</f>
        <v>29.32</v>
      </c>
      <c r="G6" s="65">
        <f>IF(ISERROR(ROUND(POWER(1+H6,D6-F6)*(POWER(1+H6,F6)-1)/(POWER(1+H6,D6)-1),3)),0,ROUND(POWER(1+H6,D6-F6)*(POWER(1+H6,F6)-1)/(POWER(1+H6,D6)-1),3))</f>
        <v>0.88700000000000001</v>
      </c>
      <c r="H6" s="731">
        <v>0.05</v>
      </c>
      <c r="I6" s="731">
        <v>5.5E-2</v>
      </c>
      <c r="J6" s="66">
        <v>7.0000000000000007E-2</v>
      </c>
      <c r="K6" s="1029">
        <f>SUMIF('数据-汇总表'!C$19:C$33,A6,'数据-汇总表'!E$19:E$33)</f>
        <v>121.8</v>
      </c>
      <c r="L6" s="732">
        <v>4000</v>
      </c>
      <c r="M6" s="67">
        <f t="shared" ref="M6:M14" si="0">ROUND(K6*L6/10000,0)</f>
        <v>49</v>
      </c>
      <c r="N6" s="730">
        <f>N18</f>
        <v>0.85</v>
      </c>
      <c r="O6" s="67" t="str">
        <f>IF($N$5="成新度","——",ROUND(M6*N6,0))</f>
        <v>——</v>
      </c>
      <c r="P6" s="68" t="str">
        <f>IF($N$5="成新度","——",M6-O6)</f>
        <v>——</v>
      </c>
      <c r="Q6" s="733">
        <v>0.2</v>
      </c>
      <c r="R6" s="69">
        <f ca="1">SUMIF('数据-汇总表'!C$19:C$33,A6,'数据-汇总表'!R$19:R$27)</f>
        <v>0</v>
      </c>
      <c r="S6" s="51">
        <f>IF('数据-汇总表'!$I$17="按面积比例",SUMIF('数据-汇总表'!C$19:C$33,A6,'数据-汇总表'!K$19:K$33),SUMIF('数据-汇总表'!C$19:C$33,A6,'数据-汇总表'!N$19:N$33))</f>
        <v>0</v>
      </c>
      <c r="T6" s="1171">
        <f>ROUND($L$14*S6/10000,0)</f>
        <v>0</v>
      </c>
      <c r="U6" s="3427">
        <v>2.25</v>
      </c>
      <c r="V6" s="70">
        <v>0</v>
      </c>
      <c r="W6" s="70">
        <v>0</v>
      </c>
      <c r="X6" s="1039"/>
      <c r="Y6" s="71">
        <f>N6</f>
        <v>0.85</v>
      </c>
      <c r="Z6" s="72">
        <v>6</v>
      </c>
      <c r="AA6" s="66">
        <v>0.02</v>
      </c>
      <c r="AB6" s="66">
        <v>0.1</v>
      </c>
      <c r="AC6" s="1039"/>
      <c r="AD6" s="73">
        <v>0.8</v>
      </c>
      <c r="AE6" s="1040">
        <f ca="1">IF(AN6="",0,SUMIF(INDIRECT("'"&amp;AN6&amp;"'"&amp;"!E:E"),$AE$5,INDIRECT("'"&amp;AN6&amp;"'"&amp;"!F:F")))</f>
        <v>29.32</v>
      </c>
      <c r="AF6" s="1347">
        <f>项目基本情况!I15</f>
        <v>5.13</v>
      </c>
      <c r="AG6" s="138">
        <f ca="1">IF(AF6="",0,AE6-AF6)</f>
        <v>24.19</v>
      </c>
      <c r="AH6" s="74"/>
      <c r="AI6" s="76">
        <v>365</v>
      </c>
      <c r="AJ6" s="77"/>
      <c r="AK6" s="78">
        <v>2E-3</v>
      </c>
      <c r="AL6" s="79">
        <v>1E-3</v>
      </c>
      <c r="AM6" s="80">
        <v>5.0000000000000001E-3</v>
      </c>
      <c r="AN6" s="1714" t="s">
        <v>3421</v>
      </c>
      <c r="AO6" s="52">
        <f ca="1">SUMIF(INDIRECT("'"&amp;AN6&amp;"'"&amp;"!A:A"),"总价",INDIRECT("'"&amp;AN6&amp;"'"&amp;"!B:B"))</f>
        <v>277.2319</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t="str">
        <f>'数据-汇总表'!C20</f>
        <v>商业二层</v>
      </c>
      <c r="B7" s="1712" t="str">
        <f t="shared" ref="B7:B13" si="1">IF(A7=0,"","经营性")</f>
        <v>经营性</v>
      </c>
      <c r="C7" s="1713" t="s">
        <v>673</v>
      </c>
      <c r="D7" s="857">
        <f>SUMIF(项目基本情况!C$12:I$12,C7,项目基本情况!C$14:I$14)</f>
        <v>40</v>
      </c>
      <c r="E7" s="856">
        <f>IF(B7="","",SUMIF(项目基本情况!C$12:I$12,C7,项目基本情况!C$13:I$13))</f>
        <v>56510</v>
      </c>
      <c r="F7" s="64">
        <f>SUMIF(项目基本情况!C$12:I$12,C7,项目基本情况!C$15:I$15)</f>
        <v>29.32</v>
      </c>
      <c r="G7" s="65">
        <f t="shared" ref="G7:G11" si="2">IF(ISERROR(ROUND(POWER(1+H7,D7-F7)*(POWER(1+H7,F7)-1)/(POWER(1+H7,D7)-1),3)),0,ROUND(POWER(1+H7,D7-F7)*(POWER(1+H7,F7)-1)/(POWER(1+H7,D7)-1),3))</f>
        <v>0.88700000000000001</v>
      </c>
      <c r="H7" s="731">
        <v>0.05</v>
      </c>
      <c r="I7" s="731">
        <v>5.5E-2</v>
      </c>
      <c r="J7" s="66">
        <v>7.0000000000000007E-2</v>
      </c>
      <c r="K7" s="1029">
        <f>SUMIF('数据-汇总表'!C$19:C$33,A7,'数据-汇总表'!E$19:E$33)</f>
        <v>436.18</v>
      </c>
      <c r="L7" s="732">
        <v>4000</v>
      </c>
      <c r="M7" s="67">
        <f t="shared" si="0"/>
        <v>174</v>
      </c>
      <c r="N7" s="730">
        <f>N6</f>
        <v>0.85</v>
      </c>
      <c r="O7" s="67" t="str">
        <f t="shared" ref="O7:O14" si="3">IF($N$5="成新度","——",ROUND(M7*N7,0))</f>
        <v>——</v>
      </c>
      <c r="P7" s="68" t="str">
        <f t="shared" ref="P7:P14" si="4">IF($N$5="成新度","——",M7-O7)</f>
        <v>——</v>
      </c>
      <c r="Q7" s="733">
        <v>0.2</v>
      </c>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7">
        <v>4</v>
      </c>
      <c r="V7" s="70">
        <v>0.02</v>
      </c>
      <c r="W7" s="70">
        <v>0.1</v>
      </c>
      <c r="X7" s="1039"/>
      <c r="Y7" s="71">
        <f>Y6</f>
        <v>0.85</v>
      </c>
      <c r="Z7" s="72"/>
      <c r="AA7" s="66"/>
      <c r="AB7" s="66"/>
      <c r="AC7" s="1039"/>
      <c r="AD7" s="73">
        <f>AD6</f>
        <v>0.8</v>
      </c>
      <c r="AE7" s="1040">
        <f t="shared" ref="AE7:AE13" ca="1" si="6">IF(AN7="",0,SUMIF(INDIRECT("'"&amp;AN7&amp;"'"&amp;"!E:E"),$AE$5,INDIRECT("'"&amp;AN7&amp;"'"&amp;"!F:F")))</f>
        <v>29.32</v>
      </c>
      <c r="AF7" s="1347"/>
      <c r="AG7" s="138">
        <f t="shared" ref="AG7:AG13" si="7">IF(AF7="",0,AE7-AF7)</f>
        <v>0</v>
      </c>
      <c r="AH7" s="74"/>
      <c r="AI7" s="76">
        <v>365</v>
      </c>
      <c r="AJ7" s="77"/>
      <c r="AK7" s="78">
        <v>2E-3</v>
      </c>
      <c r="AL7" s="79">
        <v>1E-3</v>
      </c>
      <c r="AM7" s="80">
        <v>5.0000000000000001E-3</v>
      </c>
      <c r="AN7" s="1714" t="s">
        <v>3421</v>
      </c>
      <c r="AO7" s="52">
        <f t="shared" ref="AO7:AO13" ca="1" si="8">SUMIF(INDIRECT("'"&amp;AN7&amp;"'"&amp;"!A:A"),"总价",INDIRECT("'"&amp;AN7&amp;"'"&amp;"!B:B"))</f>
        <v>277.2319</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9">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1">
        <f t="shared" si="5"/>
        <v>0</v>
      </c>
      <c r="U8" s="3428"/>
      <c r="V8" s="734"/>
      <c r="W8" s="734"/>
      <c r="X8" s="1039"/>
      <c r="Y8" s="71"/>
      <c r="Z8" s="72"/>
      <c r="AA8" s="66"/>
      <c r="AB8" s="66"/>
      <c r="AC8" s="1039"/>
      <c r="AD8" s="73"/>
      <c r="AE8" s="1040">
        <f t="shared" ca="1" si="6"/>
        <v>0</v>
      </c>
      <c r="AF8" s="1347"/>
      <c r="AG8" s="138">
        <f t="shared" si="7"/>
        <v>0</v>
      </c>
      <c r="AH8" s="735"/>
      <c r="AI8" s="76"/>
      <c r="AJ8" s="77"/>
      <c r="AK8" s="736"/>
      <c r="AL8" s="737"/>
      <c r="AM8" s="738"/>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7"/>
      <c r="V9" s="70"/>
      <c r="W9" s="70"/>
      <c r="X9" s="1039"/>
      <c r="Y9" s="71"/>
      <c r="Z9" s="72"/>
      <c r="AA9" s="66"/>
      <c r="AB9" s="66"/>
      <c r="AC9" s="1039"/>
      <c r="AD9" s="73"/>
      <c r="AE9" s="1040">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7"/>
      <c r="V10" s="70"/>
      <c r="W10" s="70"/>
      <c r="X10" s="1039"/>
      <c r="Y10" s="71"/>
      <c r="Z10" s="72"/>
      <c r="AA10" s="66"/>
      <c r="AB10" s="66"/>
      <c r="AC10" s="1039"/>
      <c r="AD10" s="73"/>
      <c r="AE10" s="1040">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7"/>
      <c r="V11" s="66"/>
      <c r="W11" s="66"/>
      <c r="X11" s="1039"/>
      <c r="Y11" s="71"/>
      <c r="Z11" s="84"/>
      <c r="AA11" s="66"/>
      <c r="AB11" s="66"/>
      <c r="AC11" s="1039"/>
      <c r="AD11" s="73"/>
      <c r="AE11" s="1040">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7"/>
      <c r="V12" s="66"/>
      <c r="W12" s="66"/>
      <c r="X12" s="1039"/>
      <c r="Y12" s="71"/>
      <c r="Z12" s="84"/>
      <c r="AA12" s="66"/>
      <c r="AB12" s="66"/>
      <c r="AC12" s="1039"/>
      <c r="AD12" s="73"/>
      <c r="AE12" s="1040">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9"/>
      <c r="V13" s="70"/>
      <c r="W13" s="70"/>
      <c r="X13" s="1039"/>
      <c r="Y13" s="71"/>
      <c r="Z13" s="72"/>
      <c r="AA13" s="66"/>
      <c r="AB13" s="66"/>
      <c r="AC13" s="1039"/>
      <c r="AD13" s="73"/>
      <c r="AE13" s="1040">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1205</v>
      </c>
      <c r="B14" s="1712" t="s">
        <v>1206</v>
      </c>
      <c r="C14" s="1717" t="s">
        <v>1205</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8"/>
      <c r="AH14" s="1040"/>
      <c r="AI14" s="1356"/>
      <c r="AJ14" s="703"/>
      <c r="AK14" s="1041"/>
      <c r="AL14" s="1042"/>
      <c r="AM14" s="1043"/>
      <c r="AN14" s="2670"/>
      <c r="AO14" s="2672"/>
      <c r="AP14" s="2672"/>
      <c r="AQ14" s="2672"/>
      <c r="AR14" s="2672"/>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1207</v>
      </c>
      <c r="B15" s="1712" t="s">
        <v>1206</v>
      </c>
      <c r="C15" s="1717" t="s">
        <v>1208</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8"/>
      <c r="AH15" s="1040"/>
      <c r="AI15" s="1356"/>
      <c r="AJ15" s="703"/>
      <c r="AK15" s="1041"/>
      <c r="AL15" s="1042"/>
      <c r="AM15" s="1043"/>
      <c r="AN15" s="2670"/>
      <c r="AO15" s="2672"/>
      <c r="AP15" s="2672"/>
      <c r="AQ15" s="2672"/>
      <c r="AR15" s="2672"/>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1209</v>
      </c>
      <c r="B16" s="88"/>
      <c r="C16" s="832"/>
      <c r="D16" s="1719"/>
      <c r="E16" s="88"/>
      <c r="F16" s="88"/>
      <c r="G16" s="89">
        <f>ROUND(SUMPRODUCT(G6:G13,K6:K13)/SUMPRODUCT((G6:G13&gt;0)*(K6:K13)),3)</f>
        <v>0.88700000000000001</v>
      </c>
      <c r="H16" s="90">
        <f>ROUND(SUMPRODUCT(H6:H13,K6:K13)/SUMPRODUCT((H6:H13&gt;0)*(K6:K13)),3)</f>
        <v>0.05</v>
      </c>
      <c r="I16" s="91"/>
      <c r="J16" s="91"/>
      <c r="K16" s="92">
        <f>SUM(K6:K15)</f>
        <v>557.98</v>
      </c>
      <c r="L16" s="93">
        <f>ROUND(M16*10000/SUM(K6:K14),0)</f>
        <v>3997</v>
      </c>
      <c r="M16" s="93">
        <f>SUM(M6:M14)</f>
        <v>223</v>
      </c>
      <c r="N16" s="94">
        <f>ROUND(SUMPRODUCT(M6:M14,N6:N14)/M16,3)</f>
        <v>0.85</v>
      </c>
      <c r="O16" s="93">
        <f>SUM(O6:O14)</f>
        <v>0</v>
      </c>
      <c r="P16" s="93">
        <f>SUM(P6:P14)</f>
        <v>0</v>
      </c>
      <c r="Q16" s="95">
        <f>ROUND(SUMPRODUCT(Q6:Q13,K6:K13)/SUMPRODUCT((Q6:Q13&gt;0)*(K6:K13)),2)</f>
        <v>0.2</v>
      </c>
      <c r="R16" s="1033">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81"/>
      <c r="C17" s="2670"/>
      <c r="D17" s="2674"/>
      <c r="E17" s="2674"/>
      <c r="F17" s="2670"/>
      <c r="G17" s="2670"/>
      <c r="H17" s="2670"/>
      <c r="I17" s="2670"/>
      <c r="J17" s="2670"/>
      <c r="K17" s="2671"/>
      <c r="L17" s="2671"/>
      <c r="M17" s="2670"/>
      <c r="N17" s="2670">
        <v>2016</v>
      </c>
      <c r="O17" s="2670"/>
      <c r="P17" s="2670"/>
      <c r="Q17" s="2670"/>
      <c r="R17" s="2670"/>
      <c r="S17" s="2670"/>
      <c r="T17" s="2670"/>
      <c r="U17" s="2670"/>
      <c r="V17" s="2670"/>
      <c r="W17" s="2670"/>
      <c r="X17" s="2670"/>
      <c r="Y17" s="2670"/>
      <c r="Z17" s="2670"/>
      <c r="AA17" s="2670"/>
      <c r="AB17" s="2670"/>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f>ROUND(1-(2025-N17)/60,2)</f>
        <v>0.85</v>
      </c>
      <c r="O18" s="2670">
        <v>0.5</v>
      </c>
      <c r="P18" s="2670"/>
      <c r="Q18" s="2670"/>
      <c r="R18" s="2670"/>
      <c r="S18" s="2670"/>
      <c r="T18" s="2670"/>
      <c r="U18" s="2670"/>
      <c r="V18" s="2670"/>
      <c r="W18" s="2670"/>
      <c r="X18" s="2670"/>
      <c r="Y18" s="2670"/>
      <c r="Z18" s="2670"/>
      <c r="AA18" s="2670"/>
      <c r="AB18" s="2670"/>
      <c r="AC18" s="2670"/>
      <c r="AD18" s="2670"/>
      <c r="AE18" s="2670"/>
      <c r="AF18" s="2670"/>
      <c r="AG18" s="2670"/>
      <c r="AH18" s="2670"/>
      <c r="AI18" s="2670"/>
      <c r="AJ18" s="2670"/>
      <c r="AK18" s="2670"/>
      <c r="AL18" s="2670"/>
      <c r="AM18" s="2670"/>
      <c r="AN18" s="2670"/>
      <c r="AO18" s="2670"/>
      <c r="AP18" s="2670"/>
      <c r="AQ18" s="2670"/>
      <c r="AR18" s="2670"/>
    </row>
    <row r="19" spans="1:67" ht="14.25">
      <c r="A19" s="1721" t="s">
        <v>1211</v>
      </c>
      <c r="B19" s="103"/>
      <c r="C19" s="2798" t="s">
        <v>2302</v>
      </c>
      <c r="D19" s="2675"/>
      <c r="E19" s="2672"/>
      <c r="F19" s="2672"/>
      <c r="G19" s="2672"/>
      <c r="H19" s="2672"/>
      <c r="I19" s="2672"/>
      <c r="J19" s="2672"/>
      <c r="K19" s="2671"/>
      <c r="L19" s="2671"/>
      <c r="M19" s="2670"/>
      <c r="N19" s="2670">
        <v>0.9</v>
      </c>
      <c r="O19" s="2670">
        <f>1-O18</f>
        <v>0.5</v>
      </c>
      <c r="P19" s="2670"/>
      <c r="Q19" s="2670"/>
      <c r="R19" s="2670"/>
      <c r="S19" s="2670"/>
      <c r="T19" s="2674">
        <f>K6</f>
        <v>121.8</v>
      </c>
      <c r="U19" s="2670">
        <v>18000</v>
      </c>
      <c r="V19" s="2670">
        <f>U19*12/T19/365</f>
        <v>4.8586274377488365</v>
      </c>
      <c r="W19" s="2670"/>
      <c r="X19" s="2670"/>
      <c r="Y19" s="2670"/>
      <c r="Z19" s="2670"/>
      <c r="AA19" s="2670"/>
      <c r="AB19" s="2670"/>
      <c r="AC19" s="2670"/>
      <c r="AD19" s="2670"/>
      <c r="AE19" s="2670"/>
      <c r="AF19" s="2670"/>
      <c r="AG19" s="2670"/>
      <c r="AH19" s="2670"/>
      <c r="AI19" s="2670"/>
      <c r="AJ19" s="2670"/>
      <c r="AK19" s="2670"/>
      <c r="AL19" s="2670"/>
      <c r="AM19" s="2670"/>
      <c r="AN19" s="2670"/>
      <c r="AO19" s="2670"/>
      <c r="AP19" s="2670"/>
      <c r="AQ19" s="2670"/>
      <c r="AR19" s="2670"/>
    </row>
    <row r="20" spans="1:67" ht="14.25">
      <c r="A20" s="1722" t="s">
        <v>1212</v>
      </c>
      <c r="B20" s="104">
        <v>2</v>
      </c>
      <c r="C20" s="2799" t="s">
        <v>2300</v>
      </c>
      <c r="D20" s="2675"/>
      <c r="E20" s="2672"/>
      <c r="F20" s="2672"/>
      <c r="G20" s="2672"/>
      <c r="H20" s="2672"/>
      <c r="I20" s="2672"/>
      <c r="J20" s="2672"/>
      <c r="K20" s="2671"/>
      <c r="L20" s="2671"/>
      <c r="M20" s="2670"/>
      <c r="N20" s="2670">
        <f>ROUND(N18*O18+N19*O19,2)</f>
        <v>0.88</v>
      </c>
      <c r="O20" s="2670"/>
      <c r="P20" s="2670"/>
      <c r="Q20" s="2670"/>
      <c r="R20" s="2670"/>
      <c r="S20" s="2670"/>
      <c r="T20" s="2674">
        <f>T19</f>
        <v>121.8</v>
      </c>
      <c r="U20" s="2670">
        <v>20000</v>
      </c>
      <c r="V20" s="2670">
        <f t="shared" ref="V20:V21" si="12">U20*12/T20/365</f>
        <v>5.3984749308320401</v>
      </c>
      <c r="W20" s="2670"/>
      <c r="X20" s="2670"/>
      <c r="Y20" s="2670"/>
      <c r="Z20" s="2670"/>
      <c r="AA20" s="2670"/>
      <c r="AB20" s="2670"/>
      <c r="AC20" s="2670"/>
      <c r="AD20" s="2670"/>
      <c r="AE20" s="2670"/>
      <c r="AF20" s="2670"/>
      <c r="AG20" s="2670"/>
      <c r="AH20" s="2670"/>
      <c r="AI20" s="2670"/>
      <c r="AJ20" s="2670"/>
      <c r="AK20" s="2670"/>
      <c r="AL20" s="2670"/>
      <c r="AM20" s="2670"/>
      <c r="AN20" s="2670"/>
      <c r="AO20" s="2670"/>
      <c r="AP20" s="2670"/>
      <c r="AQ20" s="2670"/>
      <c r="AR20" s="2670"/>
    </row>
    <row r="21" spans="1:67" ht="14.25">
      <c r="A21" s="1723" t="s">
        <v>1213</v>
      </c>
      <c r="B21" s="104">
        <v>2</v>
      </c>
      <c r="C21" s="2672"/>
      <c r="D21" s="2675"/>
      <c r="E21" s="2672"/>
      <c r="F21" s="2672"/>
      <c r="G21" s="2672"/>
      <c r="H21" s="2672"/>
      <c r="I21" s="2672"/>
      <c r="J21" s="2672"/>
      <c r="K21" s="2671"/>
      <c r="L21" s="2671"/>
      <c r="M21" s="2670"/>
      <c r="N21" s="2670"/>
      <c r="O21" s="2670"/>
      <c r="P21" s="2670"/>
      <c r="Q21" s="2670"/>
      <c r="R21" s="2670"/>
      <c r="S21" s="2670"/>
      <c r="T21" s="2674">
        <f>T20</f>
        <v>121.8</v>
      </c>
      <c r="U21" s="2670">
        <v>22000</v>
      </c>
      <c r="V21" s="2670">
        <f t="shared" si="12"/>
        <v>5.9383224239152446</v>
      </c>
      <c r="W21" s="2670"/>
      <c r="X21" s="2670"/>
      <c r="Y21" s="2670"/>
      <c r="Z21" s="2670"/>
      <c r="AA21" s="2670"/>
      <c r="AB21" s="2670"/>
      <c r="AC21" s="2670"/>
      <c r="AD21" s="2670"/>
      <c r="AE21" s="2670"/>
      <c r="AF21" s="2670"/>
      <c r="AG21" s="2670"/>
      <c r="AH21" s="2670"/>
      <c r="AI21" s="2670"/>
      <c r="AJ21" s="2670"/>
      <c r="AK21" s="2670"/>
      <c r="AL21" s="2670"/>
      <c r="AM21" s="2670"/>
      <c r="AN21" s="2670"/>
      <c r="AO21" s="2670"/>
      <c r="AP21" s="2670"/>
      <c r="AQ21" s="2670"/>
      <c r="AR21" s="2670"/>
    </row>
    <row r="22" spans="1:67" ht="14.25">
      <c r="A22" s="1722" t="s">
        <v>1214</v>
      </c>
      <c r="B22" s="105">
        <f>B19+B20</f>
        <v>2</v>
      </c>
      <c r="C22" s="2672"/>
      <c r="D22" s="2675"/>
      <c r="E22" s="2672"/>
      <c r="F22" s="2672"/>
      <c r="G22" s="2672"/>
      <c r="H22" s="2672"/>
      <c r="I22" s="2672"/>
      <c r="J22" s="2672"/>
      <c r="K22" s="2671"/>
      <c r="L22" s="2671"/>
      <c r="M22" s="2670"/>
      <c r="N22" s="2670"/>
      <c r="O22" s="2670"/>
      <c r="P22" s="2670"/>
      <c r="Q22" s="2670"/>
      <c r="R22" s="2670"/>
      <c r="S22" s="2670"/>
      <c r="T22" s="2670"/>
      <c r="U22" s="2670">
        <f>T19*U6*365/12</f>
        <v>8335.6875</v>
      </c>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3" t="s">
        <v>1215</v>
      </c>
      <c r="B23" s="105">
        <f>B19+B21</f>
        <v>2</v>
      </c>
      <c r="C23" s="2672"/>
      <c r="D23" s="2675"/>
      <c r="E23" s="2672"/>
      <c r="F23" s="2672"/>
      <c r="G23" s="2672"/>
      <c r="H23" s="2672"/>
      <c r="I23" s="2672"/>
      <c r="J23" s="2672"/>
      <c r="K23" s="2671"/>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4" t="s">
        <v>1216</v>
      </c>
      <c r="B24" s="106">
        <f>B20-B21</f>
        <v>0</v>
      </c>
      <c r="C24" s="2672"/>
      <c r="D24" s="2675"/>
      <c r="E24" s="2672"/>
      <c r="F24" s="2672"/>
      <c r="G24" s="2672"/>
      <c r="H24" s="2672"/>
      <c r="I24" s="2672"/>
      <c r="J24" s="2672"/>
      <c r="K24" s="2671"/>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6"/>
      <c r="B25" s="1686"/>
      <c r="C25" s="2672"/>
      <c r="D25" s="2675"/>
      <c r="E25" s="2672"/>
      <c r="F25" s="2672"/>
      <c r="G25" s="2672"/>
      <c r="H25" s="2672"/>
      <c r="I25" s="2672"/>
      <c r="J25" s="2672"/>
      <c r="K25" s="2671"/>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2" t="s">
        <v>1217</v>
      </c>
      <c r="B26" s="1725" t="s">
        <v>1218</v>
      </c>
      <c r="C26" s="2676" t="s">
        <v>1219</v>
      </c>
      <c r="D26" s="2675"/>
      <c r="E26" s="2672"/>
      <c r="F26" s="2672"/>
      <c r="G26" s="2672"/>
      <c r="H26" s="2672"/>
      <c r="I26" s="2672"/>
      <c r="J26" s="2672"/>
      <c r="K26" s="2671"/>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7" customFormat="1" ht="27.75">
      <c r="A27" s="1726" t="s">
        <v>1220</v>
      </c>
      <c r="B27" s="107"/>
      <c r="C27" s="2800" t="s">
        <v>2304</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7.75">
      <c r="A28" s="1728"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8.5" thickBot="1">
      <c r="A29" s="1729" t="s">
        <v>1222</v>
      </c>
      <c r="B29" s="112">
        <f>ROUND(B28*K16,0)</f>
        <v>111596</v>
      </c>
      <c r="C29" s="2801" t="s">
        <v>2294</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7">
      <c r="A30" s="1730" t="s">
        <v>1223</v>
      </c>
      <c r="B30" s="670">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7">
      <c r="A31" s="1728"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7.75" thickBot="1">
      <c r="A32" s="1731" t="s">
        <v>1225</v>
      </c>
      <c r="B32" s="671"/>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25">
      <c r="A33" s="1726" t="s">
        <v>1226</v>
      </c>
      <c r="B33" s="672">
        <v>0.05</v>
      </c>
      <c r="C33" s="2802" t="s">
        <v>3382</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25">
      <c r="A34" s="1728" t="s">
        <v>1227</v>
      </c>
      <c r="B34" s="113">
        <v>0</v>
      </c>
      <c r="C34" s="2802" t="s">
        <v>2295</v>
      </c>
      <c r="D34" s="2683" t="s">
        <v>2301</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25">
      <c r="A35" s="1728" t="s">
        <v>1228</v>
      </c>
      <c r="B35" s="110">
        <v>200</v>
      </c>
      <c r="C35" s="2802" t="s">
        <v>2296</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1229</v>
      </c>
      <c r="B36" s="114">
        <v>0.02</v>
      </c>
      <c r="C36" s="2802" t="s">
        <v>3400</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0" t="s">
        <v>1230</v>
      </c>
      <c r="B37" s="115">
        <v>0.03</v>
      </c>
      <c r="C37" s="2802" t="s">
        <v>3383</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8" t="s">
        <v>1231</v>
      </c>
      <c r="B38" s="113">
        <v>0.03</v>
      </c>
      <c r="C38" s="2802" t="s">
        <v>3384</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1"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15" thickBot="1">
      <c r="A40" s="2814" t="s">
        <v>2310</v>
      </c>
      <c r="B40" s="1077">
        <f ca="1">IF(A40="利息：取LPR",存贷款利率!G1,存贷款利率!G1+C40)</f>
        <v>0.03</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6"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2"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2"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3" t="s">
        <v>1236</v>
      </c>
      <c r="B44" s="119">
        <v>7.0000000000000007E-2</v>
      </c>
      <c r="C44" s="2802" t="s">
        <v>3385</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3" t="s">
        <v>1237</v>
      </c>
      <c r="B45" s="117">
        <v>0.03</v>
      </c>
      <c r="C45" s="2801" t="s">
        <v>2297</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3" t="s">
        <v>1238</v>
      </c>
      <c r="B46" s="117">
        <v>0.02</v>
      </c>
      <c r="C46" s="2801" t="s">
        <v>2298</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4" t="s">
        <v>1239</v>
      </c>
      <c r="B47" s="120"/>
      <c r="C47" s="2804" t="s">
        <v>2305</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5" t="s">
        <v>1240</v>
      </c>
      <c r="B48" s="121">
        <v>0.03</v>
      </c>
      <c r="C48" s="2801" t="s">
        <v>2297</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1" t="s">
        <v>1241</v>
      </c>
      <c r="B49" s="117">
        <v>5.0000000000000001E-4</v>
      </c>
      <c r="C49" s="2801" t="s">
        <v>2299</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6" t="s">
        <v>1242</v>
      </c>
      <c r="B50" s="122">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29" t="s">
        <v>1243</v>
      </c>
      <c r="B51" s="123">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6" t="s">
        <v>1244</v>
      </c>
      <c r="B52" s="124">
        <f>SUMIF(A54:A63,B53,B54:B63)</f>
        <v>0</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8" t="s">
        <v>1245</v>
      </c>
      <c r="B53" s="1737"/>
      <c r="C53" s="2660" t="s">
        <v>1246</v>
      </c>
      <c r="D53" s="2803" t="s">
        <v>2303</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8"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8" t="s">
        <v>1248</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8" t="s">
        <v>1249</v>
      </c>
      <c r="B56" s="75"/>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8"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8" t="s">
        <v>1251</v>
      </c>
      <c r="B58" s="75"/>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8" t="s">
        <v>1252</v>
      </c>
      <c r="B59" s="75"/>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8"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8"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8"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39"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2"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2"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2"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2"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2"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5" customWidth="1"/>
    <col min="2" max="2" width="24.5" style="1571" customWidth="1"/>
    <col min="3" max="3" width="24.5" style="2509" customWidth="1"/>
    <col min="4" max="4" width="2.625" style="2509" customWidth="1"/>
    <col min="5" max="5" width="5.875" style="2509" customWidth="1"/>
    <col min="6" max="6" width="27" style="1571"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8"/>
    <col min="30" max="16384" width="9" style="1685"/>
  </cols>
  <sheetData>
    <row r="1" spans="1:29" s="2456" customFormat="1" ht="18.75" thickBot="1">
      <c r="A1" s="3585" t="s">
        <v>2286</v>
      </c>
      <c r="B1" s="3586"/>
      <c r="C1" s="3586"/>
      <c r="D1" s="3586"/>
      <c r="E1" s="3586"/>
      <c r="F1" s="3586"/>
      <c r="G1" s="3586"/>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2281</v>
      </c>
      <c r="D2" s="2460"/>
      <c r="E2" s="2457"/>
      <c r="F2" s="2461"/>
      <c r="G2" s="2459" t="s">
        <v>2282</v>
      </c>
      <c r="H2" s="798"/>
      <c r="I2" s="798"/>
      <c r="J2" s="798"/>
      <c r="K2" s="798"/>
      <c r="L2" s="798"/>
      <c r="M2" s="798"/>
      <c r="N2" s="798"/>
      <c r="O2" s="798"/>
      <c r="P2" s="798"/>
      <c r="Q2" s="798"/>
      <c r="R2" s="798"/>
    </row>
    <row r="3" spans="1:29" ht="48">
      <c r="A3" s="2440" t="s">
        <v>2283</v>
      </c>
      <c r="B3" s="2462" t="s">
        <v>2252</v>
      </c>
      <c r="C3" s="2463" t="s">
        <v>2284</v>
      </c>
      <c r="D3" s="2464"/>
      <c r="E3" s="2441" t="s">
        <v>2283</v>
      </c>
      <c r="F3" s="2465" t="s">
        <v>2253</v>
      </c>
      <c r="G3" s="2466" t="s">
        <v>2285</v>
      </c>
      <c r="H3" s="798"/>
      <c r="I3" s="798"/>
      <c r="J3" s="798"/>
      <c r="K3" s="798"/>
      <c r="L3" s="798"/>
      <c r="M3" s="798"/>
      <c r="N3" s="798"/>
      <c r="O3" s="798"/>
      <c r="P3" s="798"/>
      <c r="Q3" s="798"/>
      <c r="R3" s="798"/>
    </row>
    <row r="4" spans="1:29" ht="36.75">
      <c r="A4" s="2441"/>
      <c r="B4" s="323" t="s">
        <v>2254</v>
      </c>
      <c r="C4" s="2467" t="s">
        <v>2255</v>
      </c>
      <c r="D4" s="2464"/>
      <c r="E4" s="2468"/>
      <c r="F4" s="1372" t="s">
        <v>2256</v>
      </c>
      <c r="G4" s="2469" t="s">
        <v>2257</v>
      </c>
      <c r="H4" s="798"/>
      <c r="I4" s="798"/>
      <c r="J4" s="798"/>
      <c r="K4" s="798"/>
      <c r="L4" s="798"/>
      <c r="M4" s="798"/>
      <c r="N4" s="798"/>
      <c r="O4" s="798"/>
      <c r="P4" s="798"/>
      <c r="Q4" s="798"/>
      <c r="R4" s="798"/>
    </row>
    <row r="5" spans="1:29" ht="36.75">
      <c r="A5" s="2441"/>
      <c r="B5" s="323" t="s">
        <v>2258</v>
      </c>
      <c r="C5" s="2467" t="s">
        <v>2259</v>
      </c>
      <c r="D5" s="2464"/>
      <c r="E5" s="2468"/>
      <c r="F5" s="323" t="s">
        <v>2260</v>
      </c>
      <c r="G5" s="2469" t="s">
        <v>2261</v>
      </c>
      <c r="H5" s="798"/>
      <c r="I5" s="798"/>
      <c r="J5" s="798"/>
      <c r="K5" s="798"/>
      <c r="L5" s="798"/>
      <c r="M5" s="798"/>
      <c r="N5" s="798"/>
      <c r="O5" s="798"/>
      <c r="P5" s="798"/>
      <c r="Q5" s="798"/>
      <c r="R5" s="798"/>
    </row>
    <row r="6" spans="1:29" ht="36">
      <c r="A6" s="2441"/>
      <c r="B6" s="323" t="s">
        <v>2262</v>
      </c>
      <c r="C6" s="2469" t="s">
        <v>2257</v>
      </c>
      <c r="D6" s="2464"/>
      <c r="E6" s="2468"/>
      <c r="F6" s="323" t="s">
        <v>2263</v>
      </c>
      <c r="G6" s="2469" t="s">
        <v>2264</v>
      </c>
      <c r="H6" s="798"/>
      <c r="I6" s="798"/>
      <c r="J6" s="798"/>
      <c r="K6" s="798"/>
      <c r="L6" s="798"/>
      <c r="M6" s="798"/>
      <c r="N6" s="798"/>
      <c r="O6" s="798"/>
      <c r="P6" s="798"/>
      <c r="Q6" s="798"/>
      <c r="R6" s="798"/>
    </row>
    <row r="7" spans="1:29" ht="24.75" thickBot="1">
      <c r="A7" s="2441"/>
      <c r="B7" s="323" t="s">
        <v>2260</v>
      </c>
      <c r="C7" s="2469" t="s">
        <v>2261</v>
      </c>
      <c r="D7" s="2470"/>
      <c r="E7" s="2471"/>
      <c r="F7" s="2472" t="s">
        <v>2265</v>
      </c>
      <c r="G7" s="2473" t="s">
        <v>2266</v>
      </c>
      <c r="H7" s="798"/>
      <c r="I7" s="798"/>
      <c r="J7" s="798"/>
      <c r="K7" s="798"/>
      <c r="L7" s="798"/>
      <c r="M7" s="798"/>
      <c r="N7" s="798"/>
      <c r="O7" s="798"/>
      <c r="P7" s="798"/>
      <c r="Q7" s="798"/>
      <c r="R7" s="798"/>
    </row>
    <row r="8" spans="1:29">
      <c r="A8" s="2441"/>
      <c r="B8" s="323" t="s">
        <v>2263</v>
      </c>
      <c r="C8" s="2469" t="s">
        <v>2264</v>
      </c>
      <c r="D8" s="2470"/>
      <c r="E8" s="2470"/>
      <c r="F8" s="2474"/>
      <c r="G8" s="2474"/>
      <c r="H8" s="798"/>
      <c r="I8" s="798"/>
      <c r="J8" s="798"/>
      <c r="K8" s="798"/>
      <c r="L8" s="798"/>
      <c r="M8" s="798"/>
      <c r="N8" s="798"/>
      <c r="O8" s="798"/>
      <c r="P8" s="798"/>
      <c r="Q8" s="798"/>
      <c r="R8" s="798"/>
    </row>
    <row r="9" spans="1:29" ht="24">
      <c r="A9" s="2441"/>
      <c r="B9" s="323" t="s">
        <v>2267</v>
      </c>
      <c r="C9" s="2467" t="s">
        <v>2268</v>
      </c>
      <c r="D9" s="2464"/>
      <c r="E9" s="2470"/>
      <c r="F9" s="2474"/>
      <c r="G9" s="2474"/>
      <c r="H9" s="798"/>
      <c r="I9" s="798"/>
      <c r="J9" s="798"/>
      <c r="K9" s="798"/>
      <c r="L9" s="798"/>
      <c r="M9" s="798"/>
      <c r="N9" s="798"/>
      <c r="O9" s="798"/>
      <c r="P9" s="798"/>
      <c r="Q9" s="798"/>
      <c r="R9" s="798"/>
    </row>
    <row r="10" spans="1:29" s="2480" customFormat="1" ht="15" thickBot="1">
      <c r="A10" s="2442"/>
      <c r="B10" s="2475" t="s">
        <v>2269</v>
      </c>
      <c r="C10" s="2476"/>
      <c r="D10" s="2464"/>
      <c r="E10" s="2464"/>
      <c r="F10" s="2474"/>
      <c r="G10" s="2474"/>
      <c r="H10" s="2477"/>
      <c r="I10" s="2478"/>
      <c r="J10" s="2479"/>
      <c r="K10" s="2477"/>
      <c r="L10" s="2478"/>
      <c r="M10" s="2479"/>
      <c r="N10" s="2477"/>
      <c r="O10" s="2478"/>
      <c r="P10" s="2479"/>
      <c r="Q10" s="2477"/>
      <c r="R10" s="2478"/>
      <c r="S10" s="798"/>
      <c r="T10" s="798"/>
      <c r="U10" s="798"/>
      <c r="V10" s="798"/>
      <c r="W10" s="798"/>
      <c r="X10" s="798"/>
      <c r="Y10" s="798"/>
      <c r="Z10" s="798"/>
      <c r="AA10" s="798"/>
      <c r="AB10" s="798"/>
      <c r="AC10" s="798"/>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8"/>
      <c r="T11" s="798"/>
      <c r="U11" s="798"/>
      <c r="V11" s="798"/>
      <c r="W11" s="798"/>
      <c r="X11" s="798"/>
      <c r="Y11" s="798"/>
      <c r="Z11" s="798"/>
      <c r="AA11" s="798"/>
      <c r="AB11" s="798"/>
      <c r="AC11" s="798"/>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2287</v>
      </c>
      <c r="B13" s="2483"/>
      <c r="C13" s="2483"/>
      <c r="D13" s="2481"/>
      <c r="E13" s="2483"/>
      <c r="F13" s="2483"/>
      <c r="G13" s="2483"/>
    </row>
    <row r="14" spans="1:29" ht="15" thickBot="1">
      <c r="A14" s="2493"/>
      <c r="B14" s="2493"/>
      <c r="C14" s="2494" t="s">
        <v>2270</v>
      </c>
      <c r="D14" s="2464"/>
      <c r="E14" s="2495"/>
      <c r="F14" s="2495"/>
      <c r="G14" s="2459" t="s">
        <v>2271</v>
      </c>
    </row>
    <row r="15" spans="1:29" ht="51">
      <c r="A15" s="2443" t="s">
        <v>2272</v>
      </c>
      <c r="B15" s="2496" t="s">
        <v>2252</v>
      </c>
      <c r="C15" s="2497" t="str">
        <f>C3</f>
        <v>估价对象周边居住用地比例、居住小区规模和社区发展完善程度，综合评价居住社区成熟度一般</v>
      </c>
      <c r="D15" s="2464"/>
      <c r="E15" s="2444" t="s">
        <v>2273</v>
      </c>
      <c r="F15" s="2496" t="s">
        <v>2274</v>
      </c>
      <c r="G15" s="2498" t="str">
        <f>G3</f>
        <v>估价对象位于XX开发区，园区建设成熟度XX，产业集聚程度XX</v>
      </c>
    </row>
    <row r="16" spans="1:29" ht="38.25">
      <c r="A16" s="2445"/>
      <c r="B16" s="2499" t="s">
        <v>2254</v>
      </c>
      <c r="C16" s="2500" t="str">
        <f>C4</f>
        <v>估价对象位于XX商圈，周边商业氛围成熟，人流量大，商业繁华度好</v>
      </c>
      <c r="D16" s="2464"/>
      <c r="E16" s="2446"/>
      <c r="F16" s="2501" t="s">
        <v>2256</v>
      </c>
      <c r="G16" s="2502" t="str">
        <f>G4</f>
        <v>估价对象周边道路状况、公共交通通达情况、停车便捷程度，综合评价交通便捷度较好</v>
      </c>
    </row>
    <row r="17" spans="1:18" ht="38.25">
      <c r="A17" s="2445"/>
      <c r="B17" s="2499" t="s">
        <v>2258</v>
      </c>
      <c r="C17" s="2500" t="str">
        <f>C5</f>
        <v>估价对象位于XX商圈，周边办公楼项目较多，入驻率高，办公集聚程度较好</v>
      </c>
      <c r="D17" s="2470"/>
      <c r="E17" s="2446"/>
      <c r="F17" s="2501" t="s">
        <v>2275</v>
      </c>
      <c r="G17" s="2503"/>
    </row>
    <row r="18" spans="1:18" ht="38.25">
      <c r="A18" s="2445"/>
      <c r="B18" s="2501" t="s">
        <v>2262</v>
      </c>
      <c r="C18" s="2502" t="str">
        <f>C6</f>
        <v>估价对象周边道路状况、公共交通通达情况、停车便捷程度，综合评价交通便捷度较好</v>
      </c>
      <c r="D18" s="2470"/>
      <c r="E18" s="2446"/>
      <c r="F18" s="2501" t="s">
        <v>2265</v>
      </c>
      <c r="G18" s="2502" t="str">
        <f>G7</f>
        <v>该园区内是否有污染型企业，绿化情况，卫生条件，整体环境状况判断</v>
      </c>
    </row>
    <row r="19" spans="1:18" ht="25.5">
      <c r="A19" s="2445"/>
      <c r="B19" s="2501" t="s">
        <v>2276</v>
      </c>
      <c r="C19" s="2503"/>
      <c r="D19" s="2464"/>
      <c r="E19" s="2446"/>
      <c r="F19" s="323" t="s">
        <v>2260</v>
      </c>
      <c r="G19" s="2502" t="str">
        <f>G5</f>
        <v>估价对象所在区域公共配套设施齐备情况</v>
      </c>
    </row>
    <row r="20" spans="1:18" ht="25.5">
      <c r="A20" s="2445"/>
      <c r="B20" s="2501" t="s">
        <v>2277</v>
      </c>
      <c r="C20" s="2500" t="str">
        <f>C9</f>
        <v>区域自然环境：；人文环境；综合评价环境状况一般</v>
      </c>
      <c r="D20" s="2470"/>
      <c r="E20" s="2446"/>
      <c r="F20" s="323" t="s">
        <v>2263</v>
      </c>
      <c r="G20" s="2502" t="str">
        <f>G6</f>
        <v>估价对象所在区域基础设施水平</v>
      </c>
    </row>
    <row r="21" spans="1:18" ht="25.5">
      <c r="A21" s="2445"/>
      <c r="B21" s="323" t="s">
        <v>2260</v>
      </c>
      <c r="C21" s="2502" t="str">
        <f>C7</f>
        <v>估价对象所在区域公共配套设施齐备情况</v>
      </c>
      <c r="D21" s="2464"/>
      <c r="E21" s="2446"/>
      <c r="F21" s="2501" t="s">
        <v>2278</v>
      </c>
      <c r="G21" s="2504"/>
    </row>
    <row r="22" spans="1:18" ht="13.5" customHeight="1">
      <c r="A22" s="2445"/>
      <c r="B22" s="323" t="s">
        <v>2263</v>
      </c>
      <c r="C22" s="2502" t="str">
        <f>C8</f>
        <v>估价对象所在区域基础设施水平</v>
      </c>
      <c r="D22" s="2464"/>
      <c r="E22" s="2446"/>
      <c r="F22" s="2501" t="s">
        <v>2269</v>
      </c>
      <c r="G22" s="2503"/>
    </row>
    <row r="23" spans="1:18" s="798" customFormat="1" ht="15" thickBot="1">
      <c r="A23" s="2445"/>
      <c r="B23" s="2501" t="s">
        <v>2278</v>
      </c>
      <c r="C23" s="2504"/>
      <c r="D23" s="1740"/>
      <c r="E23" s="2447"/>
      <c r="F23" s="2505" t="s">
        <v>2279</v>
      </c>
      <c r="G23" s="2506"/>
      <c r="H23" s="2490"/>
      <c r="I23" s="2491"/>
      <c r="J23" s="2490"/>
      <c r="K23" s="2490"/>
      <c r="L23" s="2491"/>
      <c r="M23" s="2490"/>
      <c r="N23" s="2490"/>
      <c r="O23" s="2491"/>
      <c r="P23" s="2490"/>
      <c r="Q23" s="2490"/>
      <c r="R23" s="2492"/>
    </row>
    <row r="24" spans="1:18" s="798" customFormat="1" ht="15" thickBot="1">
      <c r="A24" s="2448"/>
      <c r="B24" s="2505" t="s">
        <v>2280</v>
      </c>
      <c r="C24" s="2507">
        <f>C10</f>
        <v>0</v>
      </c>
      <c r="D24" s="1740"/>
      <c r="E24" s="2438"/>
      <c r="F24" s="2438"/>
      <c r="G24" s="2508"/>
      <c r="H24" s="2490"/>
      <c r="I24" s="2491"/>
      <c r="J24" s="2490"/>
      <c r="K24" s="2490"/>
      <c r="L24" s="2491"/>
      <c r="M24" s="2490"/>
      <c r="N24" s="2490"/>
      <c r="O24" s="2491"/>
      <c r="P24" s="2490"/>
      <c r="Q24" s="2490"/>
      <c r="R24" s="2492"/>
    </row>
    <row r="25" spans="1:18" s="798" customFormat="1">
      <c r="B25" s="2490"/>
      <c r="C25" s="2490"/>
      <c r="D25" s="2490"/>
      <c r="H25" s="2490"/>
      <c r="I25" s="2491"/>
      <c r="J25" s="2490"/>
      <c r="K25" s="2490"/>
      <c r="L25" s="2491"/>
      <c r="M25" s="2490"/>
      <c r="N25" s="2490"/>
      <c r="O25" s="2491"/>
      <c r="P25" s="2490"/>
      <c r="Q25" s="2490"/>
      <c r="R25" s="2492"/>
    </row>
    <row r="26" spans="1:18" s="798" customFormat="1">
      <c r="B26" s="2490"/>
      <c r="C26" s="2490"/>
      <c r="D26" s="2490"/>
      <c r="H26" s="2490"/>
      <c r="I26" s="2491"/>
      <c r="J26" s="2490"/>
      <c r="K26" s="2490"/>
      <c r="L26" s="2491"/>
      <c r="M26" s="2490"/>
      <c r="N26" s="2490"/>
      <c r="O26" s="2491"/>
      <c r="P26" s="2490"/>
      <c r="Q26" s="2490"/>
      <c r="R26" s="2492"/>
    </row>
    <row r="27" spans="1:18" s="798" customFormat="1">
      <c r="B27" s="2490"/>
      <c r="C27" s="2490"/>
      <c r="D27" s="2490"/>
      <c r="H27" s="2490"/>
      <c r="I27" s="2491"/>
      <c r="J27" s="2490"/>
      <c r="K27" s="2490"/>
      <c r="L27" s="2491"/>
      <c r="M27" s="2490"/>
      <c r="N27" s="2490"/>
      <c r="O27" s="2491"/>
      <c r="P27" s="2490"/>
      <c r="Q27" s="2490"/>
      <c r="R27" s="2492"/>
    </row>
    <row r="28" spans="1:18" s="798" customFormat="1">
      <c r="B28" s="2490"/>
      <c r="C28" s="2490"/>
      <c r="D28" s="2490"/>
      <c r="H28" s="2490"/>
      <c r="I28" s="2491"/>
      <c r="J28" s="2490"/>
      <c r="K28" s="2490"/>
      <c r="L28" s="2491"/>
      <c r="M28" s="2490"/>
      <c r="N28" s="2490"/>
      <c r="O28" s="2491"/>
      <c r="P28" s="2490"/>
      <c r="Q28" s="2490"/>
      <c r="R28" s="2492"/>
    </row>
    <row r="29" spans="1:18" s="798" customFormat="1">
      <c r="B29" s="2490"/>
      <c r="C29" s="2490"/>
      <c r="D29" s="2490"/>
      <c r="H29" s="2490"/>
      <c r="I29" s="2491"/>
      <c r="J29" s="2490"/>
      <c r="K29" s="2490"/>
      <c r="L29" s="2491"/>
      <c r="M29" s="2490"/>
      <c r="N29" s="2490"/>
      <c r="O29" s="2491"/>
      <c r="P29" s="2490"/>
      <c r="Q29" s="2490"/>
      <c r="R29" s="2492"/>
    </row>
    <row r="30" spans="1:18" s="798" customFormat="1">
      <c r="B30" s="2490"/>
      <c r="C30" s="2490"/>
      <c r="D30" s="2490"/>
      <c r="H30" s="2490"/>
      <c r="I30" s="2491"/>
      <c r="J30" s="2490"/>
      <c r="K30" s="2490"/>
      <c r="L30" s="2491"/>
      <c r="M30" s="2490"/>
      <c r="N30" s="2490"/>
      <c r="O30" s="2491"/>
      <c r="P30" s="2490"/>
      <c r="Q30" s="2490"/>
      <c r="R30" s="2492"/>
    </row>
    <row r="31" spans="1:18" s="798" customFormat="1">
      <c r="B31" s="2490"/>
      <c r="C31" s="2490"/>
      <c r="D31" s="2490"/>
      <c r="H31" s="2490"/>
      <c r="I31" s="2491"/>
      <c r="J31" s="2490"/>
      <c r="K31" s="2490"/>
      <c r="L31" s="2491"/>
      <c r="M31" s="2490"/>
      <c r="N31" s="2490"/>
      <c r="O31" s="2491"/>
      <c r="P31" s="2490"/>
      <c r="Q31" s="2490"/>
      <c r="R31" s="2492"/>
    </row>
    <row r="32" spans="1:18" s="798" customFormat="1">
      <c r="B32" s="2490"/>
      <c r="C32" s="2490"/>
      <c r="D32" s="2490"/>
      <c r="H32" s="2490"/>
      <c r="I32" s="2491"/>
      <c r="J32" s="2490"/>
      <c r="K32" s="2490"/>
      <c r="L32" s="2491"/>
      <c r="M32" s="2490"/>
      <c r="N32" s="2490"/>
      <c r="O32" s="2491"/>
      <c r="P32" s="2490"/>
      <c r="Q32" s="2490"/>
      <c r="R32" s="2492"/>
    </row>
    <row r="33" spans="2:18" s="798" customFormat="1">
      <c r="B33" s="2490"/>
      <c r="C33" s="2490"/>
      <c r="D33" s="2490"/>
      <c r="H33" s="2490"/>
      <c r="I33" s="2491"/>
      <c r="J33" s="2490"/>
      <c r="K33" s="2490"/>
      <c r="L33" s="2491"/>
      <c r="M33" s="2490"/>
      <c r="N33" s="2490"/>
      <c r="O33" s="2491"/>
      <c r="P33" s="2490"/>
      <c r="Q33" s="2490"/>
      <c r="R33" s="2492"/>
    </row>
    <row r="34" spans="2:18" s="798" customFormat="1">
      <c r="B34" s="2490"/>
      <c r="C34" s="2490"/>
      <c r="D34" s="2490"/>
      <c r="H34" s="2490"/>
      <c r="I34" s="2491"/>
      <c r="J34" s="2490"/>
      <c r="K34" s="2490"/>
      <c r="L34" s="2491"/>
      <c r="M34" s="2490"/>
      <c r="N34" s="2490"/>
      <c r="O34" s="2491"/>
      <c r="P34" s="2490"/>
      <c r="Q34" s="2490"/>
      <c r="R34" s="2492"/>
    </row>
    <row r="35" spans="2:18" s="798" customFormat="1">
      <c r="B35" s="2490"/>
      <c r="C35" s="2490"/>
      <c r="D35" s="2490"/>
      <c r="H35" s="2490"/>
      <c r="I35" s="2491"/>
      <c r="J35" s="2490"/>
      <c r="K35" s="2490"/>
      <c r="L35" s="2491"/>
      <c r="M35" s="2490"/>
      <c r="N35" s="2490"/>
      <c r="O35" s="2491"/>
      <c r="P35" s="2490"/>
      <c r="Q35" s="2490"/>
      <c r="R35" s="2492"/>
    </row>
    <row r="36" spans="2:18" s="798" customFormat="1">
      <c r="B36" s="2490"/>
      <c r="C36" s="2490"/>
      <c r="D36" s="2490"/>
      <c r="H36" s="2490"/>
      <c r="I36" s="2491"/>
      <c r="J36" s="2490"/>
      <c r="K36" s="2490"/>
      <c r="L36" s="2491"/>
      <c r="M36" s="2490"/>
      <c r="N36" s="2490"/>
      <c r="O36" s="2491"/>
      <c r="P36" s="2490"/>
      <c r="Q36" s="2490"/>
      <c r="R36" s="2492"/>
    </row>
    <row r="37" spans="2:18" s="798" customFormat="1">
      <c r="B37" s="2490"/>
      <c r="C37" s="2490"/>
      <c r="D37" s="2490"/>
      <c r="H37" s="2490"/>
      <c r="I37" s="2491"/>
      <c r="J37" s="2490"/>
      <c r="K37" s="2490"/>
      <c r="L37" s="2491"/>
      <c r="M37" s="2490"/>
      <c r="N37" s="2490"/>
      <c r="O37" s="2491"/>
      <c r="P37" s="2490"/>
      <c r="Q37" s="2490"/>
      <c r="R37" s="2492"/>
    </row>
    <row r="38" spans="2:18" s="798" customFormat="1">
      <c r="B38" s="2490"/>
      <c r="C38" s="2490"/>
      <c r="D38" s="2490"/>
      <c r="E38" s="2490"/>
      <c r="F38" s="2490"/>
      <c r="G38" s="2491"/>
      <c r="H38" s="2490"/>
      <c r="I38" s="2491"/>
      <c r="J38" s="2490"/>
      <c r="K38" s="2490"/>
      <c r="L38" s="2491"/>
      <c r="M38" s="2490"/>
      <c r="N38" s="2490"/>
      <c r="O38" s="2491"/>
      <c r="P38" s="2490"/>
      <c r="Q38" s="2490"/>
      <c r="R38" s="2492"/>
    </row>
    <row r="39" spans="2:18" s="798" customFormat="1">
      <c r="B39" s="2490"/>
      <c r="C39" s="2490"/>
      <c r="D39" s="2490"/>
      <c r="E39" s="2490"/>
      <c r="F39" s="2490"/>
      <c r="G39" s="2491"/>
      <c r="H39" s="2490"/>
      <c r="I39" s="2491"/>
      <c r="J39" s="2490"/>
      <c r="K39" s="2490"/>
      <c r="L39" s="2491"/>
      <c r="M39" s="2490"/>
      <c r="N39" s="2490"/>
      <c r="O39" s="2491"/>
      <c r="P39" s="2490"/>
      <c r="Q39" s="2490"/>
      <c r="R39" s="2492"/>
    </row>
    <row r="40" spans="2:18" s="798" customFormat="1">
      <c r="B40" s="2490"/>
      <c r="C40" s="2490"/>
      <c r="D40" s="2490"/>
      <c r="E40" s="2490"/>
      <c r="F40" s="2490"/>
      <c r="G40" s="2491"/>
      <c r="H40" s="2490"/>
      <c r="I40" s="2491"/>
      <c r="J40" s="2490"/>
      <c r="K40" s="2490"/>
      <c r="L40" s="2491"/>
      <c r="M40" s="2490"/>
      <c r="N40" s="2490"/>
      <c r="O40" s="2491"/>
      <c r="P40" s="2490"/>
      <c r="Q40" s="2490"/>
      <c r="R40" s="2492"/>
    </row>
    <row r="41" spans="2:18" s="798" customFormat="1">
      <c r="B41" s="2490"/>
      <c r="C41" s="2490"/>
      <c r="D41" s="2490"/>
      <c r="E41" s="2490"/>
      <c r="F41" s="2490"/>
      <c r="G41" s="2491"/>
      <c r="H41" s="2490"/>
      <c r="I41" s="2491"/>
      <c r="J41" s="2490"/>
      <c r="K41" s="2490"/>
      <c r="L41" s="2491"/>
      <c r="M41" s="2490"/>
      <c r="N41" s="2490"/>
      <c r="O41" s="2491"/>
      <c r="P41" s="2490"/>
      <c r="Q41" s="2490"/>
      <c r="R41" s="2492"/>
    </row>
    <row r="42" spans="2:18" s="798" customFormat="1">
      <c r="B42" s="2490"/>
      <c r="C42" s="2490"/>
      <c r="D42" s="2490"/>
      <c r="E42" s="2490"/>
      <c r="F42" s="2490"/>
      <c r="G42" s="2491"/>
      <c r="H42" s="2490"/>
      <c r="I42" s="2491"/>
      <c r="J42" s="2490"/>
      <c r="K42" s="2490"/>
      <c r="L42" s="2491"/>
      <c r="M42" s="2490"/>
      <c r="N42" s="2490"/>
      <c r="O42" s="2491"/>
      <c r="P42" s="2490"/>
      <c r="Q42" s="2490"/>
      <c r="R42" s="2492"/>
    </row>
    <row r="43" spans="2:18" s="798" customFormat="1">
      <c r="B43" s="2490"/>
      <c r="C43" s="2490"/>
      <c r="D43" s="2490"/>
      <c r="E43" s="2490"/>
      <c r="F43" s="2490"/>
      <c r="G43" s="2491"/>
      <c r="H43" s="2490"/>
      <c r="I43" s="2491"/>
      <c r="J43" s="2490"/>
      <c r="K43" s="2490"/>
      <c r="L43" s="2491"/>
      <c r="M43" s="2490"/>
      <c r="N43" s="2490"/>
      <c r="O43" s="2491"/>
      <c r="P43" s="2490"/>
      <c r="Q43" s="2490"/>
      <c r="R43" s="2492"/>
    </row>
    <row r="44" spans="2:18" s="798" customFormat="1">
      <c r="B44" s="2490"/>
      <c r="C44" s="2490"/>
      <c r="D44" s="2490"/>
      <c r="E44" s="2490"/>
      <c r="F44" s="2490"/>
      <c r="G44" s="2491"/>
      <c r="H44" s="2490"/>
      <c r="I44" s="2491"/>
      <c r="J44" s="2490"/>
      <c r="K44" s="2490"/>
      <c r="L44" s="2491"/>
      <c r="M44" s="2490"/>
      <c r="N44" s="2490"/>
      <c r="O44" s="2491"/>
      <c r="P44" s="2490"/>
      <c r="Q44" s="2490"/>
      <c r="R44" s="2492"/>
    </row>
    <row r="45" spans="2:18" s="798" customFormat="1">
      <c r="B45" s="2490"/>
      <c r="C45" s="2490"/>
      <c r="D45" s="2490"/>
      <c r="E45" s="2490"/>
      <c r="F45" s="2490"/>
      <c r="G45" s="2491"/>
      <c r="H45" s="2490"/>
      <c r="I45" s="2491"/>
      <c r="J45" s="2490"/>
      <c r="K45" s="2490"/>
      <c r="L45" s="2491"/>
      <c r="M45" s="2490"/>
      <c r="N45" s="2490"/>
      <c r="O45" s="2491"/>
      <c r="P45" s="2490"/>
      <c r="Q45" s="2490"/>
      <c r="R45" s="2492"/>
    </row>
    <row r="46" spans="2:18" s="798" customFormat="1">
      <c r="B46" s="2490"/>
      <c r="C46" s="2490"/>
      <c r="D46" s="2490"/>
      <c r="E46" s="2490"/>
      <c r="F46" s="2490"/>
      <c r="G46" s="2491"/>
      <c r="H46" s="2490"/>
      <c r="I46" s="2491"/>
      <c r="J46" s="2490"/>
      <c r="K46" s="2490"/>
      <c r="L46" s="2491"/>
      <c r="M46" s="2490"/>
      <c r="N46" s="2490"/>
      <c r="O46" s="2491"/>
      <c r="P46" s="2490"/>
      <c r="Q46" s="2490"/>
      <c r="R46" s="2492"/>
    </row>
    <row r="47" spans="2:18" s="798" customFormat="1">
      <c r="B47" s="2490"/>
      <c r="C47" s="2490"/>
      <c r="D47" s="2490"/>
      <c r="E47" s="2490"/>
      <c r="F47" s="2490"/>
      <c r="G47" s="2491"/>
      <c r="H47" s="2490"/>
      <c r="I47" s="2491"/>
      <c r="J47" s="2490"/>
      <c r="K47" s="2490"/>
      <c r="L47" s="2491"/>
      <c r="M47" s="2490"/>
      <c r="N47" s="2490"/>
      <c r="O47" s="2491"/>
      <c r="P47" s="2490"/>
      <c r="Q47" s="2490"/>
      <c r="R47" s="2492"/>
    </row>
    <row r="48" spans="2:18" s="798" customFormat="1">
      <c r="B48" s="2490"/>
      <c r="C48" s="2490"/>
      <c r="D48" s="2490"/>
      <c r="E48" s="2490"/>
      <c r="F48" s="2490"/>
      <c r="G48" s="2491"/>
      <c r="H48" s="2490"/>
      <c r="I48" s="2491"/>
      <c r="J48" s="2490"/>
      <c r="K48" s="2490"/>
      <c r="L48" s="2491"/>
      <c r="M48" s="2490"/>
      <c r="N48" s="2490"/>
      <c r="O48" s="2491"/>
      <c r="P48" s="2490"/>
      <c r="Q48" s="2490"/>
      <c r="R48" s="2492"/>
    </row>
    <row r="49" spans="2:18" s="798" customFormat="1">
      <c r="B49" s="2490"/>
      <c r="C49" s="2490"/>
      <c r="D49" s="2490"/>
      <c r="E49" s="2490"/>
      <c r="F49" s="2490"/>
      <c r="G49" s="2491"/>
      <c r="H49" s="2490"/>
      <c r="I49" s="2491"/>
      <c r="J49" s="2490"/>
      <c r="K49" s="2490"/>
      <c r="L49" s="2491"/>
      <c r="M49" s="2490"/>
      <c r="N49" s="2490"/>
      <c r="O49" s="2491"/>
      <c r="P49" s="2490"/>
      <c r="Q49" s="2490"/>
      <c r="R49" s="2492"/>
    </row>
    <row r="50" spans="2:18" s="798" customFormat="1">
      <c r="B50" s="2490"/>
      <c r="C50" s="2490"/>
      <c r="D50" s="2490"/>
      <c r="E50" s="2490"/>
      <c r="F50" s="2490"/>
      <c r="G50" s="2491"/>
      <c r="H50" s="2490"/>
      <c r="I50" s="2491"/>
      <c r="J50" s="2490"/>
      <c r="K50" s="2490"/>
      <c r="L50" s="2491"/>
      <c r="M50" s="2490"/>
      <c r="N50" s="2490"/>
      <c r="O50" s="2491"/>
      <c r="P50" s="2490"/>
      <c r="Q50" s="2490"/>
      <c r="R50" s="2492"/>
    </row>
    <row r="51" spans="2:18" s="798" customFormat="1">
      <c r="B51" s="2490"/>
      <c r="C51" s="2490"/>
      <c r="D51" s="2490"/>
      <c r="E51" s="2490"/>
      <c r="F51" s="2490"/>
      <c r="G51" s="2491"/>
      <c r="H51" s="2490"/>
      <c r="I51" s="2491"/>
      <c r="J51" s="2490"/>
      <c r="K51" s="2490"/>
      <c r="L51" s="2491"/>
      <c r="M51" s="2490"/>
      <c r="N51" s="2490"/>
      <c r="O51" s="2491"/>
      <c r="P51" s="2490"/>
      <c r="Q51" s="2490"/>
      <c r="R51" s="2492"/>
    </row>
    <row r="52" spans="2:18" s="798" customFormat="1">
      <c r="B52" s="2490"/>
      <c r="C52" s="2490"/>
      <c r="D52" s="2490"/>
      <c r="E52" s="2490"/>
      <c r="F52" s="2490"/>
      <c r="G52" s="2491"/>
      <c r="H52" s="2490"/>
      <c r="I52" s="2491"/>
      <c r="J52" s="2490"/>
      <c r="K52" s="2490"/>
      <c r="L52" s="2491"/>
      <c r="M52" s="2490"/>
      <c r="N52" s="2490"/>
      <c r="O52" s="2491"/>
      <c r="P52" s="2490"/>
      <c r="Q52" s="2490"/>
      <c r="R52" s="2492"/>
    </row>
    <row r="53" spans="2:18" s="798" customFormat="1">
      <c r="B53" s="2490"/>
      <c r="C53" s="2490"/>
      <c r="D53" s="2490"/>
      <c r="E53" s="2490"/>
      <c r="F53" s="2490"/>
      <c r="G53" s="2491"/>
      <c r="H53" s="2490"/>
      <c r="I53" s="2491"/>
      <c r="J53" s="2490"/>
      <c r="K53" s="2490"/>
      <c r="L53" s="2491"/>
      <c r="M53" s="2490"/>
      <c r="N53" s="2490"/>
      <c r="O53" s="2491"/>
      <c r="P53" s="2490"/>
      <c r="Q53" s="2490"/>
      <c r="R53" s="2492"/>
    </row>
    <row r="54" spans="2:18" s="798" customFormat="1">
      <c r="B54" s="2490"/>
      <c r="C54" s="2490"/>
      <c r="D54" s="2490"/>
      <c r="E54" s="2490"/>
      <c r="F54" s="2490"/>
      <c r="G54" s="2491"/>
      <c r="H54" s="2490"/>
      <c r="I54" s="2491"/>
      <c r="J54" s="2490"/>
      <c r="K54" s="2490"/>
      <c r="L54" s="2491"/>
      <c r="M54" s="2490"/>
      <c r="N54" s="2490"/>
      <c r="O54" s="2491"/>
      <c r="P54" s="2490"/>
      <c r="Q54" s="2490"/>
      <c r="R54" s="2492"/>
    </row>
    <row r="55" spans="2:18" s="798" customFormat="1">
      <c r="B55" s="2490"/>
      <c r="C55" s="2490"/>
      <c r="D55" s="2490"/>
      <c r="E55" s="2490"/>
      <c r="F55" s="2490"/>
      <c r="G55" s="2491"/>
      <c r="H55" s="2490"/>
      <c r="I55" s="2491"/>
      <c r="J55" s="2490"/>
      <c r="K55" s="2490"/>
      <c r="L55" s="2491"/>
      <c r="M55" s="2490"/>
      <c r="N55" s="2490"/>
      <c r="O55" s="2491"/>
      <c r="P55" s="2490"/>
      <c r="Q55" s="2490"/>
      <c r="R55" s="2492"/>
    </row>
    <row r="56" spans="2:18" s="798" customFormat="1">
      <c r="B56" s="2490"/>
      <c r="C56" s="2490"/>
      <c r="D56" s="2490"/>
      <c r="E56" s="2490"/>
      <c r="F56" s="2490"/>
      <c r="G56" s="2491"/>
      <c r="H56" s="2490"/>
      <c r="I56" s="2491"/>
      <c r="J56" s="2490"/>
      <c r="K56" s="2490"/>
      <c r="L56" s="2491"/>
      <c r="M56" s="2490"/>
      <c r="N56" s="2490"/>
      <c r="O56" s="2491"/>
      <c r="P56" s="2490"/>
      <c r="Q56" s="2490"/>
      <c r="R56" s="2492"/>
    </row>
    <row r="57" spans="2:18" s="798" customFormat="1">
      <c r="B57" s="2490"/>
      <c r="C57" s="2490"/>
      <c r="D57" s="2490"/>
      <c r="E57" s="2490"/>
      <c r="F57" s="2490"/>
      <c r="G57" s="2491"/>
      <c r="H57" s="2490"/>
      <c r="I57" s="2491"/>
      <c r="J57" s="2490"/>
      <c r="K57" s="2490"/>
      <c r="L57" s="2491"/>
      <c r="M57" s="2490"/>
      <c r="N57" s="2490"/>
      <c r="O57" s="2491"/>
      <c r="P57" s="2490"/>
      <c r="Q57" s="2490"/>
      <c r="R57" s="2492"/>
    </row>
    <row r="58" spans="2:18" s="798" customFormat="1">
      <c r="B58" s="2490"/>
      <c r="C58" s="2490"/>
      <c r="D58" s="2490"/>
      <c r="E58" s="2490"/>
      <c r="F58" s="2490"/>
      <c r="G58" s="2491"/>
      <c r="H58" s="2490"/>
      <c r="I58" s="2491"/>
      <c r="J58" s="2490"/>
      <c r="K58" s="2490"/>
      <c r="L58" s="2491"/>
      <c r="M58" s="2490"/>
      <c r="N58" s="2490"/>
      <c r="O58" s="2491"/>
      <c r="P58" s="2490"/>
      <c r="Q58" s="2490"/>
      <c r="R58" s="2492"/>
    </row>
    <row r="59" spans="2:18" s="798" customFormat="1">
      <c r="B59" s="2490"/>
      <c r="C59" s="2490"/>
      <c r="D59" s="2490"/>
      <c r="E59" s="2490"/>
      <c r="F59" s="2490"/>
      <c r="G59" s="2491"/>
      <c r="H59" s="2490"/>
      <c r="I59" s="2491"/>
      <c r="J59" s="2490"/>
      <c r="K59" s="2490"/>
      <c r="L59" s="2491"/>
      <c r="M59" s="2490"/>
      <c r="N59" s="2490"/>
      <c r="O59" s="2491"/>
      <c r="P59" s="2490"/>
      <c r="Q59" s="2490"/>
      <c r="R59" s="2492"/>
    </row>
    <row r="60" spans="2:18" s="798" customFormat="1">
      <c r="B60" s="2490"/>
      <c r="C60" s="2490"/>
      <c r="D60" s="2490"/>
      <c r="E60" s="2490"/>
      <c r="F60" s="2490"/>
      <c r="G60" s="2491"/>
      <c r="H60" s="2490"/>
      <c r="I60" s="2491"/>
      <c r="J60" s="2490"/>
      <c r="K60" s="2490"/>
      <c r="L60" s="2491"/>
      <c r="M60" s="2490"/>
      <c r="N60" s="2490"/>
      <c r="O60" s="2491"/>
      <c r="P60" s="2490"/>
      <c r="Q60" s="2490"/>
      <c r="R60" s="2492"/>
    </row>
    <row r="61" spans="2:18" s="798" customFormat="1">
      <c r="B61" s="2490"/>
      <c r="C61" s="2490"/>
      <c r="D61" s="2490"/>
      <c r="E61" s="2490"/>
      <c r="F61" s="2490"/>
      <c r="G61" s="2491"/>
      <c r="H61" s="2490"/>
      <c r="I61" s="2491"/>
      <c r="J61" s="2490"/>
      <c r="K61" s="2490"/>
      <c r="L61" s="2491"/>
      <c r="M61" s="2490"/>
      <c r="N61" s="2490"/>
      <c r="O61" s="2491"/>
      <c r="P61" s="2490"/>
      <c r="Q61" s="2490"/>
      <c r="R61" s="2492"/>
    </row>
    <row r="62" spans="2:18" s="798" customFormat="1">
      <c r="B62" s="2490"/>
      <c r="C62" s="2490"/>
      <c r="D62" s="2490"/>
      <c r="E62" s="2490"/>
      <c r="F62" s="2490"/>
      <c r="G62" s="2491"/>
      <c r="H62" s="2490"/>
      <c r="I62" s="2491"/>
      <c r="J62" s="2490"/>
      <c r="K62" s="2490"/>
      <c r="L62" s="2491"/>
      <c r="M62" s="2490"/>
      <c r="N62" s="2490"/>
      <c r="O62" s="2491"/>
      <c r="P62" s="2490"/>
      <c r="Q62" s="2490"/>
      <c r="R62" s="2492"/>
    </row>
    <row r="63" spans="2:18" s="798" customFormat="1">
      <c r="B63" s="2490"/>
      <c r="C63" s="2490"/>
      <c r="D63" s="2490"/>
      <c r="E63" s="2490"/>
      <c r="F63" s="2490"/>
      <c r="G63" s="2491"/>
      <c r="H63" s="2490"/>
      <c r="I63" s="2491"/>
      <c r="J63" s="2490"/>
      <c r="K63" s="2490"/>
      <c r="L63" s="2491"/>
      <c r="M63" s="2490"/>
      <c r="N63" s="2490"/>
      <c r="O63" s="2491"/>
      <c r="P63" s="2490"/>
      <c r="Q63" s="2490"/>
      <c r="R63" s="2492"/>
    </row>
    <row r="64" spans="2:18" s="798" customFormat="1">
      <c r="B64" s="2490"/>
      <c r="C64" s="2490"/>
      <c r="D64" s="2490"/>
      <c r="E64" s="2490"/>
      <c r="F64" s="2490"/>
      <c r="G64" s="2491"/>
      <c r="H64" s="2490"/>
      <c r="I64" s="2491"/>
      <c r="J64" s="2490"/>
      <c r="K64" s="2490"/>
      <c r="L64" s="2491"/>
      <c r="M64" s="2490"/>
      <c r="N64" s="2490"/>
      <c r="O64" s="2491"/>
      <c r="P64" s="2490"/>
      <c r="Q64" s="2490"/>
      <c r="R64" s="2492"/>
    </row>
    <row r="65" spans="2:18" s="798" customFormat="1">
      <c r="B65" s="2490"/>
      <c r="C65" s="2490"/>
      <c r="D65" s="2490"/>
      <c r="E65" s="2490"/>
      <c r="F65" s="2490"/>
      <c r="G65" s="2491"/>
      <c r="H65" s="2490"/>
      <c r="I65" s="2491"/>
      <c r="J65" s="2490"/>
      <c r="K65" s="2490"/>
      <c r="L65" s="2491"/>
      <c r="M65" s="2490"/>
      <c r="N65" s="2490"/>
      <c r="O65" s="2491"/>
      <c r="P65" s="2490"/>
      <c r="Q65" s="2490"/>
      <c r="R65" s="2492"/>
    </row>
    <row r="66" spans="2:18" s="798" customFormat="1">
      <c r="B66" s="2490"/>
      <c r="C66" s="2490"/>
      <c r="D66" s="2490"/>
      <c r="E66" s="2490"/>
      <c r="F66" s="2490"/>
      <c r="G66" s="2491"/>
      <c r="H66" s="2490"/>
      <c r="I66" s="2491"/>
      <c r="J66" s="2490"/>
      <c r="K66" s="2490"/>
      <c r="L66" s="2491"/>
      <c r="M66" s="2490"/>
      <c r="N66" s="2490"/>
      <c r="O66" s="2491"/>
      <c r="P66" s="2490"/>
      <c r="Q66" s="2490"/>
      <c r="R66" s="2492"/>
    </row>
    <row r="67" spans="2:18" s="798" customFormat="1">
      <c r="B67" s="2490"/>
      <c r="C67" s="2490"/>
      <c r="D67" s="2490"/>
      <c r="E67" s="2490"/>
      <c r="F67" s="2490"/>
      <c r="G67" s="2491"/>
      <c r="H67" s="2490"/>
      <c r="I67" s="2491"/>
      <c r="J67" s="2490"/>
      <c r="K67" s="2490"/>
      <c r="L67" s="2491"/>
      <c r="M67" s="2490"/>
      <c r="N67" s="2490"/>
      <c r="O67" s="2491"/>
      <c r="P67" s="2490"/>
      <c r="Q67" s="2490"/>
      <c r="R67" s="2492"/>
    </row>
    <row r="68" spans="2:18" s="798" customFormat="1">
      <c r="B68" s="2490"/>
      <c r="C68" s="2490"/>
      <c r="D68" s="2490"/>
      <c r="E68" s="2490"/>
      <c r="F68" s="2490"/>
      <c r="G68" s="2491"/>
      <c r="H68" s="2490"/>
      <c r="I68" s="2491"/>
      <c r="J68" s="2490"/>
      <c r="K68" s="2490"/>
      <c r="L68" s="2491"/>
      <c r="M68" s="2490"/>
      <c r="N68" s="2490"/>
      <c r="O68" s="2491"/>
      <c r="P68" s="2490"/>
      <c r="Q68" s="2490"/>
      <c r="R68" s="2492"/>
    </row>
    <row r="69" spans="2:18" s="798" customFormat="1">
      <c r="B69" s="2490"/>
      <c r="C69" s="2490"/>
      <c r="D69" s="2490"/>
      <c r="E69" s="2490"/>
      <c r="F69" s="2490"/>
      <c r="G69" s="2491"/>
      <c r="H69" s="2490"/>
      <c r="I69" s="2491"/>
      <c r="J69" s="2490"/>
      <c r="K69" s="2490"/>
      <c r="L69" s="2491"/>
      <c r="M69" s="2490"/>
      <c r="N69" s="2490"/>
      <c r="O69" s="2491"/>
      <c r="P69" s="2490"/>
      <c r="Q69" s="2490"/>
      <c r="R69" s="2492"/>
    </row>
    <row r="70" spans="2:18" s="798" customFormat="1">
      <c r="B70" s="2490"/>
      <c r="C70" s="2490"/>
      <c r="D70" s="2490"/>
      <c r="E70" s="2490"/>
      <c r="F70" s="2490"/>
      <c r="G70" s="2491"/>
      <c r="H70" s="2490"/>
      <c r="I70" s="2491"/>
      <c r="J70" s="2490"/>
      <c r="K70" s="2490"/>
      <c r="L70" s="2491"/>
      <c r="M70" s="2490"/>
      <c r="N70" s="2490"/>
      <c r="O70" s="2491"/>
      <c r="P70" s="2490"/>
      <c r="Q70" s="2490"/>
      <c r="R70" s="2492"/>
    </row>
    <row r="71" spans="2:18" s="798" customFormat="1">
      <c r="B71" s="2490"/>
      <c r="C71" s="2490"/>
      <c r="D71" s="2490"/>
      <c r="E71" s="2490"/>
      <c r="F71" s="2490"/>
      <c r="G71" s="2491"/>
      <c r="H71" s="2490"/>
      <c r="I71" s="2491"/>
      <c r="J71" s="2490"/>
      <c r="K71" s="2490"/>
      <c r="L71" s="2491"/>
      <c r="M71" s="2490"/>
      <c r="N71" s="2490"/>
      <c r="O71" s="2491"/>
      <c r="P71" s="2490"/>
      <c r="Q71" s="2490"/>
      <c r="R71" s="2492"/>
    </row>
    <row r="72" spans="2:18" s="798" customFormat="1">
      <c r="B72" s="2490"/>
      <c r="C72" s="2490"/>
      <c r="D72" s="2490"/>
      <c r="E72" s="2490"/>
      <c r="F72" s="2490"/>
      <c r="G72" s="2491"/>
      <c r="H72" s="2490"/>
      <c r="I72" s="2491"/>
      <c r="J72" s="2490"/>
      <c r="K72" s="2490"/>
      <c r="L72" s="2491"/>
      <c r="M72" s="2490"/>
      <c r="N72" s="2490"/>
      <c r="O72" s="2491"/>
      <c r="P72" s="2490"/>
      <c r="Q72" s="2490"/>
      <c r="R72" s="2492"/>
    </row>
    <row r="73" spans="2:18" s="798" customFormat="1">
      <c r="B73" s="2490"/>
      <c r="C73" s="2490"/>
      <c r="D73" s="2490"/>
      <c r="E73" s="2490"/>
      <c r="F73" s="2490"/>
      <c r="G73" s="2491"/>
      <c r="H73" s="2490"/>
      <c r="I73" s="2491"/>
      <c r="J73" s="2490"/>
      <c r="K73" s="2490"/>
      <c r="L73" s="2491"/>
      <c r="M73" s="2490"/>
      <c r="N73" s="2490"/>
      <c r="O73" s="2491"/>
      <c r="P73" s="2490"/>
      <c r="Q73" s="2490"/>
      <c r="R73" s="2492"/>
    </row>
    <row r="74" spans="2:18" s="798" customFormat="1">
      <c r="B74" s="2490"/>
      <c r="C74" s="2490"/>
      <c r="D74" s="2490"/>
      <c r="E74" s="2490"/>
      <c r="F74" s="2490"/>
      <c r="G74" s="2491"/>
      <c r="H74" s="2490"/>
      <c r="I74" s="2491"/>
      <c r="J74" s="2490"/>
      <c r="K74" s="2490"/>
      <c r="L74" s="2491"/>
      <c r="M74" s="2490"/>
      <c r="N74" s="2490"/>
      <c r="O74" s="2491"/>
      <c r="P74" s="2490"/>
      <c r="Q74" s="2490"/>
      <c r="R74" s="2492"/>
    </row>
    <row r="75" spans="2:18" s="798" customFormat="1">
      <c r="B75" s="2490"/>
      <c r="C75" s="2490"/>
      <c r="D75" s="2490"/>
      <c r="E75" s="2490"/>
      <c r="F75" s="2490"/>
      <c r="G75" s="2491"/>
      <c r="H75" s="2490"/>
      <c r="I75" s="2491"/>
      <c r="J75" s="2490"/>
      <c r="K75" s="2490"/>
      <c r="L75" s="2491"/>
      <c r="M75" s="2490"/>
      <c r="N75" s="2490"/>
      <c r="O75" s="2491"/>
      <c r="P75" s="2490"/>
      <c r="Q75" s="2490"/>
      <c r="R75" s="2492"/>
    </row>
    <row r="76" spans="2:18" s="798" customFormat="1">
      <c r="B76" s="2490"/>
      <c r="C76" s="2490"/>
      <c r="D76" s="2490"/>
      <c r="E76" s="2490"/>
      <c r="F76" s="2490"/>
      <c r="G76" s="2491"/>
      <c r="H76" s="2490"/>
      <c r="I76" s="2491"/>
      <c r="J76" s="2490"/>
      <c r="K76" s="2490"/>
      <c r="L76" s="2491"/>
      <c r="M76" s="2490"/>
      <c r="N76" s="2490"/>
      <c r="O76" s="2491"/>
      <c r="P76" s="2490"/>
      <c r="Q76" s="2490"/>
      <c r="R76" s="2492"/>
    </row>
    <row r="77" spans="2:18" s="798" customFormat="1">
      <c r="B77" s="2490"/>
      <c r="C77" s="2490"/>
      <c r="D77" s="2490"/>
      <c r="E77" s="2490"/>
      <c r="F77" s="2490"/>
      <c r="G77" s="2491"/>
      <c r="H77" s="2490"/>
      <c r="I77" s="2491"/>
      <c r="J77" s="2490"/>
      <c r="K77" s="2490"/>
      <c r="L77" s="2491"/>
      <c r="M77" s="2490"/>
      <c r="N77" s="2490"/>
      <c r="O77" s="2491"/>
      <c r="P77" s="2490"/>
      <c r="Q77" s="2490"/>
      <c r="R77" s="2492"/>
    </row>
    <row r="78" spans="2:18" s="798" customFormat="1">
      <c r="B78" s="2490"/>
      <c r="C78" s="2490"/>
      <c r="D78" s="2490"/>
      <c r="E78" s="2490"/>
      <c r="F78" s="2490"/>
      <c r="G78" s="2491"/>
      <c r="H78" s="2490"/>
      <c r="I78" s="2491"/>
      <c r="J78" s="2490"/>
      <c r="K78" s="2490"/>
      <c r="L78" s="2491"/>
      <c r="M78" s="2490"/>
      <c r="N78" s="2490"/>
      <c r="O78" s="2491"/>
      <c r="P78" s="2490"/>
      <c r="Q78" s="2490"/>
      <c r="R78" s="2492"/>
    </row>
    <row r="79" spans="2:18" s="798" customFormat="1">
      <c r="B79" s="2490"/>
      <c r="C79" s="2490"/>
      <c r="D79" s="2490"/>
      <c r="E79" s="2490"/>
      <c r="F79" s="2490"/>
      <c r="G79" s="2491"/>
      <c r="H79" s="2490"/>
      <c r="I79" s="2491"/>
      <c r="J79" s="2490"/>
      <c r="K79" s="2490"/>
      <c r="L79" s="2491"/>
      <c r="M79" s="2490"/>
      <c r="N79" s="2490"/>
      <c r="O79" s="2491"/>
      <c r="P79" s="2490"/>
      <c r="Q79" s="2490"/>
      <c r="R79" s="2492"/>
    </row>
    <row r="80" spans="2:18" s="798" customFormat="1">
      <c r="B80" s="2490"/>
      <c r="C80" s="2490"/>
      <c r="D80" s="2490"/>
      <c r="E80" s="2490"/>
      <c r="F80" s="2490"/>
      <c r="G80" s="2491"/>
      <c r="H80" s="2490"/>
      <c r="I80" s="2491"/>
      <c r="J80" s="2490"/>
      <c r="K80" s="2490"/>
      <c r="L80" s="2491"/>
      <c r="M80" s="2490"/>
      <c r="N80" s="2490"/>
      <c r="O80" s="2491"/>
      <c r="P80" s="2490"/>
      <c r="Q80" s="2490"/>
      <c r="R80" s="2492"/>
    </row>
    <row r="81" spans="2:18" s="798" customFormat="1">
      <c r="B81" s="2490"/>
      <c r="C81" s="2490"/>
      <c r="D81" s="2490"/>
      <c r="E81" s="2490"/>
      <c r="F81" s="2490"/>
      <c r="G81" s="2491"/>
      <c r="H81" s="2490"/>
      <c r="I81" s="2491"/>
      <c r="J81" s="2490"/>
      <c r="K81" s="2490"/>
      <c r="L81" s="2491"/>
      <c r="M81" s="2490"/>
      <c r="N81" s="2490"/>
      <c r="O81" s="2491"/>
      <c r="P81" s="2490"/>
      <c r="Q81" s="2490"/>
      <c r="R81" s="2492"/>
    </row>
    <row r="82" spans="2:18" s="798" customFormat="1">
      <c r="B82" s="2490"/>
      <c r="C82" s="2490"/>
      <c r="D82" s="2490"/>
      <c r="E82" s="2490"/>
      <c r="F82" s="2490"/>
      <c r="G82" s="2491"/>
      <c r="H82" s="2490"/>
      <c r="I82" s="2491"/>
      <c r="J82" s="2490"/>
      <c r="K82" s="2490"/>
      <c r="L82" s="2491"/>
      <c r="M82" s="2490"/>
      <c r="N82" s="2490"/>
      <c r="O82" s="2491"/>
      <c r="P82" s="2490"/>
      <c r="Q82" s="2490"/>
      <c r="R82" s="2492"/>
    </row>
    <row r="83" spans="2:18" s="798" customFormat="1">
      <c r="B83" s="2490"/>
      <c r="C83" s="2490"/>
      <c r="D83" s="2490"/>
      <c r="E83" s="2490"/>
      <c r="F83" s="2490"/>
      <c r="G83" s="2491"/>
      <c r="H83" s="2490"/>
      <c r="I83" s="2491"/>
      <c r="J83" s="2490"/>
      <c r="K83" s="2490"/>
      <c r="L83" s="2491"/>
      <c r="M83" s="2490"/>
      <c r="N83" s="2490"/>
      <c r="O83" s="2491"/>
      <c r="P83" s="2490"/>
      <c r="Q83" s="2490"/>
      <c r="R83" s="2492"/>
    </row>
    <row r="84" spans="2:18" s="798" customFormat="1">
      <c r="B84" s="2490"/>
      <c r="C84" s="2490"/>
      <c r="D84" s="2490"/>
      <c r="E84" s="2490"/>
      <c r="F84" s="2490"/>
      <c r="G84" s="2491"/>
      <c r="H84" s="2490"/>
      <c r="I84" s="2491"/>
      <c r="J84" s="2490"/>
      <c r="K84" s="2490"/>
      <c r="L84" s="2491"/>
      <c r="M84" s="2490"/>
      <c r="N84" s="2490"/>
      <c r="O84" s="2491"/>
      <c r="P84" s="2490"/>
      <c r="Q84" s="2490"/>
      <c r="R84" s="2492"/>
    </row>
    <row r="85" spans="2:18" s="798" customFormat="1">
      <c r="B85" s="2490"/>
      <c r="C85" s="2490"/>
      <c r="D85" s="2490"/>
      <c r="E85" s="2490"/>
      <c r="F85" s="2490"/>
      <c r="G85" s="2491"/>
      <c r="H85" s="2490"/>
      <c r="I85" s="2491"/>
      <c r="J85" s="2490"/>
      <c r="K85" s="2490"/>
      <c r="L85" s="2491"/>
      <c r="M85" s="2490"/>
      <c r="N85" s="2490"/>
      <c r="O85" s="2491"/>
      <c r="P85" s="2490"/>
      <c r="Q85" s="2490"/>
      <c r="R85" s="2492"/>
    </row>
    <row r="86" spans="2:18" s="798" customFormat="1">
      <c r="B86" s="2490"/>
      <c r="C86" s="2490"/>
      <c r="D86" s="2490"/>
      <c r="E86" s="2490"/>
      <c r="F86" s="2490"/>
      <c r="G86" s="2491"/>
      <c r="H86" s="2490"/>
      <c r="I86" s="2491"/>
      <c r="J86" s="2490"/>
      <c r="K86" s="2490"/>
      <c r="L86" s="2491"/>
      <c r="M86" s="2490"/>
      <c r="N86" s="2490"/>
      <c r="O86" s="2491"/>
      <c r="P86" s="2490"/>
      <c r="Q86" s="2490"/>
      <c r="R86" s="2492"/>
    </row>
    <row r="87" spans="2:18" s="798" customFormat="1">
      <c r="B87" s="2490"/>
      <c r="C87" s="2490"/>
      <c r="D87" s="2490"/>
      <c r="E87" s="2490"/>
      <c r="F87" s="2490"/>
      <c r="G87" s="2491"/>
      <c r="H87" s="2490"/>
      <c r="I87" s="2491"/>
      <c r="J87" s="2490"/>
      <c r="K87" s="2490"/>
      <c r="L87" s="2491"/>
      <c r="M87" s="2490"/>
      <c r="N87" s="2490"/>
      <c r="O87" s="2491"/>
      <c r="P87" s="2490"/>
      <c r="Q87" s="2490"/>
      <c r="R87" s="2492"/>
    </row>
    <row r="88" spans="2:18" s="798" customFormat="1">
      <c r="B88" s="2490"/>
      <c r="C88" s="2490"/>
      <c r="D88" s="2490"/>
      <c r="E88" s="2490"/>
      <c r="F88" s="2490"/>
      <c r="G88" s="2491"/>
      <c r="H88" s="2490"/>
      <c r="I88" s="2491"/>
      <c r="J88" s="2490"/>
      <c r="K88" s="2490"/>
      <c r="L88" s="2491"/>
      <c r="M88" s="2490"/>
      <c r="N88" s="2490"/>
      <c r="O88" s="2491"/>
      <c r="P88" s="2490"/>
      <c r="Q88" s="2490"/>
      <c r="R88" s="2492"/>
    </row>
    <row r="89" spans="2:18" s="798" customFormat="1">
      <c r="B89" s="2490"/>
      <c r="C89" s="2490"/>
      <c r="D89" s="2490"/>
      <c r="E89" s="2490"/>
      <c r="F89" s="2490"/>
      <c r="G89" s="2491"/>
      <c r="H89" s="2490"/>
      <c r="I89" s="2491"/>
      <c r="J89" s="2490"/>
      <c r="K89" s="2490"/>
      <c r="L89" s="2491"/>
      <c r="M89" s="2490"/>
      <c r="N89" s="2490"/>
      <c r="O89" s="2491"/>
      <c r="P89" s="2490"/>
      <c r="Q89" s="2490"/>
      <c r="R89" s="2492"/>
    </row>
    <row r="90" spans="2:18" s="798" customFormat="1">
      <c r="B90" s="2490"/>
      <c r="C90" s="2490"/>
      <c r="D90" s="2490"/>
      <c r="E90" s="2490"/>
      <c r="F90" s="2490"/>
      <c r="G90" s="2491"/>
      <c r="H90" s="2490"/>
      <c r="I90" s="2491"/>
      <c r="J90" s="2490"/>
      <c r="K90" s="2490"/>
      <c r="L90" s="2491"/>
      <c r="M90" s="2490"/>
      <c r="N90" s="2490"/>
      <c r="O90" s="2491"/>
      <c r="P90" s="2490"/>
      <c r="Q90" s="2490"/>
      <c r="R90" s="2492"/>
    </row>
    <row r="91" spans="2:18" s="798" customFormat="1">
      <c r="B91" s="2490"/>
      <c r="C91" s="2490"/>
      <c r="D91" s="2490"/>
      <c r="E91" s="2490"/>
      <c r="F91" s="2490"/>
      <c r="G91" s="2491"/>
      <c r="H91" s="2490"/>
      <c r="I91" s="2491"/>
      <c r="J91" s="2490"/>
      <c r="K91" s="2490"/>
      <c r="L91" s="2491"/>
      <c r="M91" s="2490"/>
      <c r="N91" s="2490"/>
      <c r="O91" s="2491"/>
      <c r="P91" s="2490"/>
      <c r="Q91" s="2490"/>
      <c r="R91" s="2492"/>
    </row>
    <row r="92" spans="2:18" s="798" customFormat="1">
      <c r="B92" s="2490"/>
      <c r="C92" s="2490"/>
      <c r="D92" s="2490"/>
      <c r="E92" s="2490"/>
      <c r="F92" s="2490"/>
      <c r="G92" s="2491"/>
      <c r="H92" s="2490"/>
      <c r="I92" s="2491"/>
      <c r="J92" s="2490"/>
      <c r="K92" s="2490"/>
      <c r="L92" s="2491"/>
      <c r="M92" s="2490"/>
      <c r="N92" s="2490"/>
      <c r="O92" s="2491"/>
      <c r="P92" s="2490"/>
      <c r="Q92" s="2490"/>
      <c r="R92" s="2492"/>
    </row>
    <row r="93" spans="2:18" s="798" customFormat="1">
      <c r="B93" s="2490"/>
      <c r="C93" s="2490"/>
      <c r="D93" s="2490"/>
      <c r="E93" s="2490"/>
      <c r="F93" s="2490"/>
      <c r="G93" s="2491"/>
      <c r="H93" s="2490"/>
      <c r="I93" s="2491"/>
      <c r="J93" s="2490"/>
      <c r="K93" s="2490"/>
      <c r="L93" s="2491"/>
      <c r="M93" s="2490"/>
      <c r="N93" s="2490"/>
      <c r="O93" s="2491"/>
      <c r="P93" s="2490"/>
      <c r="Q93" s="2490"/>
      <c r="R93" s="2492"/>
    </row>
    <row r="94" spans="2:18" s="798" customFormat="1">
      <c r="B94" s="2490"/>
      <c r="C94" s="2490"/>
      <c r="D94" s="2490"/>
      <c r="E94" s="2490"/>
      <c r="F94" s="2490"/>
      <c r="G94" s="2491"/>
      <c r="H94" s="2490"/>
      <c r="I94" s="2491"/>
      <c r="J94" s="2490"/>
      <c r="K94" s="2490"/>
      <c r="L94" s="2491"/>
      <c r="M94" s="2490"/>
      <c r="N94" s="2490"/>
      <c r="O94" s="2491"/>
      <c r="P94" s="2490"/>
      <c r="Q94" s="2490"/>
      <c r="R94" s="2492"/>
    </row>
    <row r="95" spans="2:18" s="798" customFormat="1">
      <c r="B95" s="2490"/>
      <c r="C95" s="2490"/>
      <c r="D95" s="2490"/>
      <c r="E95" s="2490"/>
      <c r="F95" s="2490"/>
      <c r="G95" s="2491"/>
      <c r="H95" s="2490"/>
      <c r="I95" s="2491"/>
      <c r="J95" s="2490"/>
      <c r="K95" s="2490"/>
      <c r="L95" s="2491"/>
      <c r="M95" s="2490"/>
      <c r="N95" s="2490"/>
      <c r="O95" s="2491"/>
      <c r="P95" s="2490"/>
      <c r="Q95" s="2490"/>
      <c r="R95" s="2492"/>
    </row>
    <row r="96" spans="2:18" s="798" customFormat="1">
      <c r="B96" s="2490"/>
      <c r="C96" s="2490"/>
      <c r="D96" s="2490"/>
      <c r="E96" s="2490"/>
      <c r="F96" s="2490"/>
      <c r="G96" s="2491"/>
      <c r="H96" s="2490"/>
      <c r="I96" s="2491"/>
      <c r="J96" s="2490"/>
      <c r="K96" s="2490"/>
      <c r="L96" s="2491"/>
      <c r="M96" s="2490"/>
      <c r="N96" s="2490"/>
      <c r="O96" s="2491"/>
      <c r="P96" s="2490"/>
      <c r="Q96" s="2490"/>
      <c r="R96" s="2492"/>
    </row>
    <row r="97" spans="2:18" s="798" customFormat="1">
      <c r="B97" s="2490"/>
      <c r="C97" s="2490"/>
      <c r="D97" s="2490"/>
      <c r="E97" s="2490"/>
      <c r="F97" s="2490"/>
      <c r="G97" s="2491"/>
      <c r="H97" s="2490"/>
      <c r="I97" s="2491"/>
      <c r="J97" s="2490"/>
      <c r="K97" s="2490"/>
      <c r="L97" s="2491"/>
      <c r="M97" s="2490"/>
      <c r="N97" s="2490"/>
      <c r="O97" s="2491"/>
      <c r="P97" s="2490"/>
      <c r="Q97" s="2490"/>
      <c r="R97" s="2492"/>
    </row>
    <row r="98" spans="2:18" s="798" customFormat="1">
      <c r="B98" s="2490"/>
      <c r="C98" s="2490"/>
      <c r="D98" s="2490"/>
      <c r="E98" s="2490"/>
      <c r="F98" s="2490"/>
      <c r="G98" s="2491"/>
      <c r="H98" s="2490"/>
      <c r="I98" s="2491"/>
      <c r="J98" s="2490"/>
      <c r="K98" s="2490"/>
      <c r="L98" s="2491"/>
      <c r="M98" s="2490"/>
      <c r="N98" s="2490"/>
      <c r="O98" s="2491"/>
      <c r="P98" s="2490"/>
      <c r="Q98" s="2490"/>
      <c r="R98" s="2492"/>
    </row>
    <row r="99" spans="2:18" s="798" customFormat="1">
      <c r="B99" s="2490"/>
      <c r="C99" s="2490"/>
      <c r="D99" s="2490"/>
      <c r="E99" s="2490"/>
      <c r="F99" s="2490"/>
      <c r="G99" s="2491"/>
      <c r="H99" s="2490"/>
      <c r="I99" s="2491"/>
      <c r="J99" s="2490"/>
      <c r="K99" s="2490"/>
      <c r="L99" s="2491"/>
      <c r="M99" s="2490"/>
      <c r="N99" s="2490"/>
      <c r="O99" s="2491"/>
      <c r="P99" s="2490"/>
      <c r="Q99" s="2490"/>
      <c r="R99" s="2492"/>
    </row>
    <row r="100" spans="2:18" s="798" customFormat="1">
      <c r="B100" s="2490"/>
      <c r="C100" s="2490"/>
      <c r="D100" s="2490"/>
      <c r="E100" s="2490"/>
      <c r="F100" s="2490"/>
      <c r="G100" s="2491"/>
      <c r="H100" s="2490"/>
      <c r="I100" s="2491"/>
      <c r="J100" s="2490"/>
      <c r="K100" s="2490"/>
      <c r="L100" s="2491"/>
      <c r="M100" s="2490"/>
      <c r="N100" s="2490"/>
      <c r="O100" s="2491"/>
      <c r="P100" s="2490"/>
      <c r="Q100" s="2490"/>
      <c r="R100" s="2492"/>
    </row>
    <row r="101" spans="2:18" s="798" customFormat="1">
      <c r="B101" s="2490"/>
      <c r="C101" s="2490"/>
      <c r="D101" s="2490"/>
      <c r="E101" s="2490"/>
      <c r="F101" s="2490"/>
      <c r="G101" s="2491"/>
      <c r="H101" s="2490"/>
      <c r="I101" s="2491"/>
      <c r="J101" s="2490"/>
      <c r="K101" s="2490"/>
      <c r="L101" s="2491"/>
      <c r="M101" s="2490"/>
      <c r="N101" s="2490"/>
      <c r="O101" s="2491"/>
      <c r="P101" s="2490"/>
      <c r="Q101" s="2490"/>
      <c r="R101" s="2492"/>
    </row>
    <row r="102" spans="2:18" s="798" customFormat="1">
      <c r="B102" s="2490"/>
      <c r="C102" s="2490"/>
      <c r="D102" s="2490"/>
      <c r="E102" s="2490"/>
      <c r="F102" s="2490"/>
      <c r="G102" s="2491"/>
      <c r="H102" s="2490"/>
      <c r="I102" s="2491"/>
      <c r="J102" s="2490"/>
      <c r="K102" s="2490"/>
      <c r="L102" s="2491"/>
      <c r="M102" s="2490"/>
      <c r="N102" s="2490"/>
      <c r="O102" s="2491"/>
      <c r="P102" s="2490"/>
      <c r="Q102" s="2490"/>
      <c r="R102" s="2492"/>
    </row>
    <row r="103" spans="2:18" s="798" customFormat="1">
      <c r="B103" s="2490"/>
      <c r="C103" s="2490"/>
      <c r="D103" s="2490"/>
      <c r="E103" s="2490"/>
      <c r="F103" s="2490"/>
      <c r="G103" s="2491"/>
      <c r="H103" s="2490"/>
      <c r="I103" s="2491"/>
      <c r="J103" s="2490"/>
      <c r="K103" s="2490"/>
      <c r="L103" s="2491"/>
      <c r="M103" s="2490"/>
      <c r="N103" s="2490"/>
      <c r="O103" s="2491"/>
      <c r="P103" s="2490"/>
      <c r="Q103" s="2490"/>
      <c r="R103" s="2492"/>
    </row>
    <row r="104" spans="2:18" s="798" customFormat="1">
      <c r="B104" s="2490"/>
      <c r="C104" s="2490"/>
      <c r="D104" s="2490"/>
      <c r="E104" s="2490"/>
      <c r="F104" s="2490"/>
      <c r="G104" s="2491"/>
      <c r="H104" s="2490"/>
      <c r="I104" s="2491"/>
      <c r="J104" s="2490"/>
      <c r="K104" s="2490"/>
      <c r="L104" s="2491"/>
      <c r="M104" s="2490"/>
      <c r="N104" s="2490"/>
      <c r="O104" s="2491"/>
      <c r="P104" s="2490"/>
      <c r="Q104" s="2490"/>
      <c r="R104" s="2492"/>
    </row>
    <row r="105" spans="2:18" s="798" customFormat="1">
      <c r="B105" s="2490"/>
      <c r="C105" s="2490"/>
      <c r="D105" s="2490"/>
      <c r="E105" s="2490"/>
      <c r="F105" s="2490"/>
      <c r="G105" s="2491"/>
      <c r="H105" s="2490"/>
      <c r="I105" s="2491"/>
      <c r="J105" s="2490"/>
      <c r="K105" s="2490"/>
      <c r="L105" s="2491"/>
      <c r="M105" s="2490"/>
      <c r="N105" s="2490"/>
      <c r="O105" s="2491"/>
      <c r="P105" s="2490"/>
      <c r="Q105" s="2490"/>
      <c r="R105" s="2492"/>
    </row>
    <row r="106" spans="2:18" s="798" customFormat="1">
      <c r="B106" s="2490"/>
      <c r="C106" s="2490"/>
      <c r="D106" s="2490"/>
      <c r="E106" s="2490"/>
      <c r="F106" s="2490"/>
      <c r="G106" s="2491"/>
      <c r="H106" s="2490"/>
      <c r="I106" s="2491"/>
      <c r="J106" s="2490"/>
      <c r="K106" s="2490"/>
      <c r="L106" s="2491"/>
      <c r="M106" s="2490"/>
      <c r="N106" s="2490"/>
      <c r="O106" s="2491"/>
      <c r="P106" s="2490"/>
      <c r="Q106" s="2490"/>
      <c r="R106" s="2492"/>
    </row>
    <row r="107" spans="2:18" s="798" customFormat="1">
      <c r="B107" s="2490"/>
      <c r="C107" s="2490"/>
      <c r="D107" s="2490"/>
      <c r="E107" s="2490"/>
      <c r="F107" s="2490"/>
      <c r="G107" s="2491"/>
      <c r="H107" s="2490"/>
      <c r="I107" s="2491"/>
      <c r="J107" s="2490"/>
      <c r="K107" s="2490"/>
      <c r="L107" s="2491"/>
      <c r="M107" s="2490"/>
      <c r="N107" s="2490"/>
      <c r="O107" s="2491"/>
      <c r="P107" s="2490"/>
      <c r="Q107" s="2490"/>
      <c r="R107" s="2492"/>
    </row>
    <row r="108" spans="2:18" s="798" customFormat="1">
      <c r="B108" s="2490"/>
      <c r="C108" s="2490"/>
      <c r="D108" s="2490"/>
      <c r="E108" s="2490"/>
      <c r="F108" s="2490"/>
      <c r="G108" s="2491"/>
      <c r="H108" s="2490"/>
      <c r="I108" s="2491"/>
      <c r="J108" s="2490"/>
      <c r="K108" s="2490"/>
      <c r="L108" s="2491"/>
      <c r="M108" s="2490"/>
      <c r="N108" s="2490"/>
      <c r="O108" s="2491"/>
      <c r="P108" s="2490"/>
      <c r="Q108" s="2490"/>
      <c r="R108" s="2492"/>
    </row>
    <row r="109" spans="2:18" s="798" customFormat="1">
      <c r="B109" s="2490"/>
      <c r="C109" s="2490"/>
      <c r="D109" s="2490"/>
      <c r="E109" s="2490"/>
      <c r="F109" s="2490"/>
      <c r="G109" s="2491"/>
      <c r="H109" s="2490"/>
      <c r="I109" s="2491"/>
      <c r="J109" s="2490"/>
      <c r="K109" s="2490"/>
      <c r="L109" s="2491"/>
      <c r="M109" s="2490"/>
      <c r="N109" s="2490"/>
      <c r="O109" s="2491"/>
      <c r="P109" s="2490"/>
      <c r="Q109" s="2490"/>
      <c r="R109" s="2492"/>
    </row>
    <row r="110" spans="2:18" s="798" customFormat="1">
      <c r="B110" s="2490"/>
      <c r="C110" s="2490"/>
      <c r="D110" s="2490"/>
      <c r="E110" s="2490"/>
      <c r="F110" s="2490"/>
      <c r="G110" s="2491"/>
      <c r="H110" s="2490"/>
      <c r="I110" s="2491"/>
      <c r="J110" s="2490"/>
      <c r="K110" s="2490"/>
      <c r="L110" s="2491"/>
      <c r="M110" s="2490"/>
      <c r="N110" s="2490"/>
      <c r="O110" s="2491"/>
      <c r="P110" s="2490"/>
      <c r="Q110" s="2490"/>
      <c r="R110" s="2492"/>
    </row>
    <row r="111" spans="2:18" s="798" customFormat="1">
      <c r="B111" s="2490"/>
      <c r="C111" s="2490"/>
      <c r="D111" s="2490"/>
      <c r="E111" s="2490"/>
      <c r="F111" s="2490"/>
      <c r="G111" s="2491"/>
      <c r="H111" s="2490"/>
      <c r="I111" s="2491"/>
      <c r="J111" s="2490"/>
      <c r="K111" s="2490"/>
      <c r="L111" s="2491"/>
      <c r="M111" s="2490"/>
      <c r="N111" s="2490"/>
      <c r="O111" s="2491"/>
      <c r="P111" s="2490"/>
      <c r="Q111" s="2490"/>
      <c r="R111" s="2492"/>
    </row>
    <row r="112" spans="2:18" s="798" customFormat="1">
      <c r="B112" s="2490"/>
      <c r="C112" s="2490"/>
      <c r="D112" s="2490"/>
      <c r="E112" s="2490"/>
      <c r="F112" s="2490"/>
      <c r="G112" s="2491"/>
      <c r="H112" s="2490"/>
      <c r="I112" s="2491"/>
      <c r="J112" s="2490"/>
      <c r="K112" s="2490"/>
      <c r="L112" s="2491"/>
      <c r="M112" s="2490"/>
      <c r="N112" s="2490"/>
      <c r="O112" s="2491"/>
      <c r="P112" s="2490"/>
      <c r="Q112" s="2490"/>
      <c r="R112" s="2492"/>
    </row>
    <row r="113" spans="2:18" s="798" customFormat="1">
      <c r="B113" s="2490"/>
      <c r="C113" s="2490"/>
      <c r="D113" s="2490"/>
      <c r="E113" s="2490"/>
      <c r="F113" s="2490"/>
      <c r="G113" s="2491"/>
      <c r="H113" s="2490"/>
      <c r="I113" s="2491"/>
      <c r="J113" s="2490"/>
      <c r="K113" s="2490"/>
      <c r="L113" s="2491"/>
      <c r="M113" s="2490"/>
      <c r="N113" s="2490"/>
      <c r="O113" s="2491"/>
      <c r="P113" s="2490"/>
      <c r="Q113" s="2490"/>
      <c r="R113" s="2492"/>
    </row>
    <row r="114" spans="2:18" s="798" customFormat="1">
      <c r="B114" s="2490"/>
      <c r="C114" s="2490"/>
      <c r="D114" s="2490"/>
      <c r="E114" s="2490"/>
      <c r="F114" s="2490"/>
      <c r="G114" s="2491"/>
      <c r="H114" s="2490"/>
      <c r="I114" s="2491"/>
      <c r="J114" s="2490"/>
      <c r="K114" s="2490"/>
      <c r="L114" s="2491"/>
      <c r="M114" s="2490"/>
      <c r="N114" s="2490"/>
      <c r="O114" s="2491"/>
      <c r="P114" s="2490"/>
      <c r="Q114" s="2490"/>
      <c r="R114" s="2492"/>
    </row>
    <row r="115" spans="2:18" s="798" customFormat="1">
      <c r="B115" s="2490"/>
      <c r="C115" s="2490"/>
      <c r="D115" s="2490"/>
      <c r="E115" s="2490"/>
      <c r="F115" s="2490"/>
      <c r="G115" s="2491"/>
      <c r="H115" s="2490"/>
      <c r="I115" s="2491"/>
      <c r="J115" s="2490"/>
      <c r="K115" s="2490"/>
      <c r="L115" s="2491"/>
      <c r="M115" s="2490"/>
      <c r="N115" s="2490"/>
      <c r="O115" s="2491"/>
      <c r="P115" s="2490"/>
      <c r="Q115" s="2490"/>
      <c r="R115" s="2492"/>
    </row>
    <row r="116" spans="2:18" s="798" customFormat="1">
      <c r="B116" s="2490"/>
      <c r="C116" s="2490"/>
      <c r="D116" s="2490"/>
      <c r="E116" s="2490"/>
      <c r="F116" s="2490"/>
      <c r="G116" s="2491"/>
      <c r="H116" s="2490"/>
      <c r="I116" s="2491"/>
      <c r="J116" s="2490"/>
      <c r="K116" s="2490"/>
      <c r="L116" s="2491"/>
      <c r="M116" s="2490"/>
      <c r="N116" s="2490"/>
      <c r="O116" s="2491"/>
      <c r="P116" s="2490"/>
      <c r="Q116" s="2490"/>
      <c r="R116" s="2492"/>
    </row>
    <row r="117" spans="2:18" s="798" customFormat="1">
      <c r="B117" s="2490"/>
      <c r="C117" s="2490"/>
      <c r="D117" s="2490"/>
      <c r="E117" s="2490"/>
      <c r="F117" s="2490"/>
      <c r="G117" s="2491"/>
      <c r="H117" s="2490"/>
      <c r="I117" s="2491"/>
      <c r="J117" s="2490"/>
      <c r="K117" s="2490"/>
      <c r="L117" s="2491"/>
      <c r="M117" s="2490"/>
      <c r="N117" s="2490"/>
      <c r="O117" s="2491"/>
      <c r="P117" s="2490"/>
      <c r="Q117" s="2490"/>
      <c r="R117" s="2492"/>
    </row>
    <row r="118" spans="2:18" s="798" customFormat="1">
      <c r="B118" s="2490"/>
      <c r="C118" s="2490"/>
      <c r="D118" s="2490"/>
      <c r="E118" s="2490"/>
      <c r="F118" s="2490"/>
      <c r="G118" s="2491"/>
      <c r="H118" s="2490"/>
      <c r="I118" s="2491"/>
      <c r="J118" s="2490"/>
      <c r="K118" s="2490"/>
      <c r="L118" s="2491"/>
      <c r="M118" s="2490"/>
      <c r="N118" s="2490"/>
      <c r="O118" s="2491"/>
      <c r="P118" s="2490"/>
      <c r="Q118" s="2490"/>
      <c r="R118" s="2492"/>
    </row>
    <row r="119" spans="2:18" s="798" customFormat="1">
      <c r="B119" s="2490"/>
      <c r="C119" s="2490"/>
      <c r="D119" s="2490"/>
      <c r="E119" s="2490"/>
      <c r="F119" s="2490"/>
      <c r="G119" s="2491"/>
      <c r="H119" s="2490"/>
      <c r="I119" s="2491"/>
      <c r="J119" s="2490"/>
      <c r="K119" s="2490"/>
      <c r="L119" s="2491"/>
      <c r="M119" s="2490"/>
      <c r="N119" s="2490"/>
      <c r="O119" s="2491"/>
      <c r="P119" s="2490"/>
      <c r="Q119" s="2490"/>
      <c r="R119" s="2492"/>
    </row>
    <row r="120" spans="2:18" s="798" customFormat="1">
      <c r="B120" s="2490"/>
      <c r="C120" s="2490"/>
      <c r="D120" s="2490"/>
      <c r="E120" s="2490"/>
      <c r="F120" s="2490"/>
      <c r="G120" s="2491"/>
      <c r="H120" s="2490"/>
      <c r="I120" s="2491"/>
      <c r="J120" s="2490"/>
      <c r="K120" s="2490"/>
      <c r="L120" s="2491"/>
      <c r="M120" s="2490"/>
      <c r="N120" s="2490"/>
      <c r="O120" s="2491"/>
      <c r="P120" s="2490"/>
      <c r="Q120" s="2490"/>
      <c r="R120" s="2492"/>
    </row>
    <row r="121" spans="2:18" s="798" customFormat="1">
      <c r="B121" s="2490"/>
      <c r="C121" s="2490"/>
      <c r="D121" s="2490"/>
      <c r="E121" s="2490"/>
      <c r="F121" s="2490"/>
      <c r="G121" s="2491"/>
      <c r="H121" s="2490"/>
      <c r="I121" s="2491"/>
      <c r="J121" s="2490"/>
      <c r="K121" s="2490"/>
      <c r="L121" s="2491"/>
      <c r="M121" s="2490"/>
      <c r="N121" s="2490"/>
      <c r="O121" s="2491"/>
      <c r="P121" s="2490"/>
      <c r="Q121" s="2490"/>
      <c r="R121" s="2492"/>
    </row>
    <row r="122" spans="2:18" s="798" customFormat="1">
      <c r="B122" s="2490"/>
      <c r="C122" s="2490"/>
      <c r="D122" s="2490"/>
      <c r="E122" s="2490"/>
      <c r="F122" s="2490"/>
      <c r="G122" s="2491"/>
      <c r="H122" s="2490"/>
      <c r="I122" s="2491"/>
      <c r="J122" s="2490"/>
      <c r="K122" s="2490"/>
      <c r="L122" s="2491"/>
      <c r="M122" s="2490"/>
      <c r="N122" s="2490"/>
      <c r="O122" s="2491"/>
      <c r="P122" s="2490"/>
      <c r="Q122" s="2490"/>
      <c r="R122" s="2492"/>
    </row>
    <row r="123" spans="2:18" s="798" customFormat="1">
      <c r="B123" s="2490"/>
      <c r="C123" s="2490"/>
      <c r="D123" s="2490"/>
      <c r="E123" s="2490"/>
      <c r="F123" s="2490"/>
      <c r="G123" s="2491"/>
      <c r="H123" s="2490"/>
      <c r="I123" s="2491"/>
      <c r="J123" s="2490"/>
      <c r="K123" s="2490"/>
      <c r="L123" s="2491"/>
      <c r="M123" s="2490"/>
      <c r="N123" s="2490"/>
      <c r="O123" s="2491"/>
      <c r="P123" s="2490"/>
      <c r="Q123" s="2490"/>
      <c r="R123" s="2492"/>
    </row>
    <row r="124" spans="2:18" s="798" customFormat="1">
      <c r="B124" s="2490"/>
      <c r="C124" s="2490"/>
      <c r="D124" s="2490"/>
      <c r="E124" s="2490"/>
      <c r="F124" s="2490"/>
      <c r="G124" s="2491"/>
      <c r="H124" s="2490"/>
      <c r="I124" s="2491"/>
      <c r="J124" s="2490"/>
      <c r="K124" s="2490"/>
      <c r="L124" s="2491"/>
      <c r="M124" s="2490"/>
      <c r="N124" s="2490"/>
      <c r="O124" s="2491"/>
      <c r="P124" s="2490"/>
      <c r="Q124" s="2490"/>
      <c r="R124" s="2492"/>
    </row>
    <row r="125" spans="2:18" s="798" customFormat="1">
      <c r="B125" s="2490"/>
      <c r="C125" s="2490"/>
      <c r="D125" s="2490"/>
      <c r="E125" s="2490"/>
      <c r="F125" s="2490"/>
      <c r="G125" s="2491"/>
      <c r="H125" s="2490"/>
      <c r="I125" s="2491"/>
      <c r="J125" s="2490"/>
      <c r="K125" s="2490"/>
      <c r="L125" s="2491"/>
      <c r="M125" s="2490"/>
      <c r="N125" s="2490"/>
      <c r="O125" s="2491"/>
      <c r="P125" s="2490"/>
      <c r="Q125" s="2490"/>
      <c r="R125" s="2492"/>
    </row>
    <row r="126" spans="2:18" s="798" customFormat="1">
      <c r="B126" s="2490"/>
      <c r="C126" s="2490"/>
      <c r="D126" s="2490"/>
      <c r="E126" s="2490"/>
      <c r="F126" s="2490"/>
      <c r="G126" s="2491"/>
      <c r="H126" s="2490"/>
      <c r="I126" s="2491"/>
      <c r="J126" s="2490"/>
      <c r="K126" s="2490"/>
      <c r="L126" s="2491"/>
      <c r="M126" s="2490"/>
      <c r="N126" s="2490"/>
      <c r="O126" s="2491"/>
      <c r="P126" s="2490"/>
      <c r="Q126" s="2490"/>
      <c r="R126" s="2492"/>
    </row>
    <row r="127" spans="2:18" s="798" customFormat="1">
      <c r="B127" s="2490"/>
      <c r="C127" s="2490"/>
      <c r="D127" s="2490"/>
      <c r="E127" s="2490"/>
      <c r="F127" s="2490"/>
      <c r="G127" s="2491"/>
      <c r="H127" s="2490"/>
      <c r="I127" s="2491"/>
      <c r="J127" s="2490"/>
      <c r="K127" s="2490"/>
      <c r="L127" s="2491"/>
      <c r="M127" s="2490"/>
      <c r="N127" s="2490"/>
      <c r="O127" s="2491"/>
      <c r="P127" s="2490"/>
      <c r="Q127" s="2490"/>
      <c r="R127" s="2492"/>
    </row>
    <row r="128" spans="2:18" s="798" customFormat="1">
      <c r="B128" s="2490"/>
      <c r="C128" s="2490"/>
      <c r="D128" s="2490"/>
      <c r="E128" s="2490"/>
      <c r="F128" s="2490"/>
      <c r="G128" s="2491"/>
      <c r="H128" s="2490"/>
      <c r="I128" s="2491"/>
      <c r="J128" s="2490"/>
      <c r="K128" s="2490"/>
      <c r="L128" s="2491"/>
      <c r="M128" s="2490"/>
      <c r="N128" s="2490"/>
      <c r="O128" s="2491"/>
      <c r="P128" s="2490"/>
      <c r="Q128" s="2490"/>
      <c r="R128" s="2492"/>
    </row>
    <row r="129" spans="2:18" s="798" customFormat="1">
      <c r="B129" s="2490"/>
      <c r="C129" s="2490"/>
      <c r="D129" s="2490"/>
      <c r="E129" s="2490"/>
      <c r="F129" s="2490"/>
      <c r="G129" s="2491"/>
      <c r="H129" s="2490"/>
      <c r="I129" s="2491"/>
      <c r="J129" s="2490"/>
      <c r="K129" s="2490"/>
      <c r="L129" s="2491"/>
      <c r="M129" s="2490"/>
      <c r="N129" s="2490"/>
      <c r="O129" s="2491"/>
      <c r="P129" s="2490"/>
      <c r="Q129" s="2490"/>
      <c r="R129" s="2492"/>
    </row>
    <row r="130" spans="2:18" s="798" customFormat="1">
      <c r="B130" s="2490"/>
      <c r="C130" s="2490"/>
      <c r="D130" s="2490"/>
      <c r="E130" s="2490"/>
      <c r="F130" s="2490"/>
      <c r="G130" s="2491"/>
      <c r="H130" s="2490"/>
      <c r="I130" s="2491"/>
      <c r="J130" s="2490"/>
      <c r="K130" s="2490"/>
      <c r="L130" s="2491"/>
      <c r="M130" s="2490"/>
      <c r="N130" s="2490"/>
      <c r="O130" s="2491"/>
      <c r="P130" s="2490"/>
      <c r="Q130" s="2490"/>
      <c r="R130" s="2492"/>
    </row>
    <row r="131" spans="2:18" s="798" customFormat="1">
      <c r="B131" s="2490"/>
      <c r="C131" s="2490"/>
      <c r="D131" s="2490"/>
      <c r="E131" s="2490"/>
      <c r="F131" s="2490"/>
      <c r="G131" s="2491"/>
      <c r="H131" s="2490"/>
      <c r="I131" s="2491"/>
      <c r="J131" s="2490"/>
      <c r="K131" s="2490"/>
      <c r="L131" s="2491"/>
      <c r="M131" s="2490"/>
      <c r="N131" s="2490"/>
      <c r="O131" s="2491"/>
      <c r="P131" s="2490"/>
      <c r="Q131" s="2490"/>
      <c r="R131" s="2492"/>
    </row>
    <row r="132" spans="2:18" s="798" customFormat="1">
      <c r="B132" s="2490"/>
      <c r="C132" s="2490"/>
      <c r="D132" s="2490"/>
      <c r="E132" s="2490"/>
      <c r="F132" s="2490"/>
      <c r="G132" s="2491"/>
      <c r="H132" s="2490"/>
      <c r="I132" s="2491"/>
      <c r="J132" s="2490"/>
      <c r="K132" s="2490"/>
      <c r="L132" s="2491"/>
      <c r="M132" s="2490"/>
      <c r="N132" s="2490"/>
      <c r="O132" s="2491"/>
      <c r="P132" s="2490"/>
      <c r="Q132" s="2490"/>
      <c r="R132" s="2492"/>
    </row>
    <row r="133" spans="2:18" s="798" customFormat="1">
      <c r="B133" s="2490"/>
      <c r="C133" s="2490"/>
      <c r="D133" s="2490"/>
      <c r="E133" s="2490"/>
      <c r="F133" s="2490"/>
      <c r="G133" s="2491"/>
      <c r="H133" s="2490"/>
      <c r="I133" s="2491"/>
      <c r="J133" s="2490"/>
      <c r="K133" s="2490"/>
      <c r="L133" s="2491"/>
      <c r="M133" s="2490"/>
      <c r="N133" s="2490"/>
      <c r="O133" s="2491"/>
      <c r="P133" s="2490"/>
      <c r="Q133" s="2490"/>
      <c r="R133" s="2492"/>
    </row>
    <row r="134" spans="2:18" s="798" customFormat="1">
      <c r="B134" s="2490"/>
      <c r="C134" s="2490"/>
      <c r="D134" s="2490"/>
      <c r="E134" s="2490"/>
      <c r="F134" s="2490"/>
      <c r="G134" s="2491"/>
      <c r="H134" s="2490"/>
      <c r="I134" s="2491"/>
      <c r="J134" s="2490"/>
      <c r="K134" s="2490"/>
      <c r="L134" s="2491"/>
      <c r="M134" s="2490"/>
      <c r="N134" s="2490"/>
      <c r="O134" s="2491"/>
      <c r="P134" s="2490"/>
      <c r="Q134" s="2490"/>
      <c r="R134" s="2492"/>
    </row>
    <row r="135" spans="2:18" s="798" customFormat="1">
      <c r="B135" s="2490"/>
      <c r="C135" s="2490"/>
      <c r="D135" s="2490"/>
      <c r="E135" s="2490"/>
      <c r="F135" s="2490"/>
      <c r="G135" s="2491"/>
      <c r="H135" s="2490"/>
      <c r="I135" s="2491"/>
      <c r="J135" s="2490"/>
      <c r="K135" s="2490"/>
      <c r="L135" s="2491"/>
      <c r="M135" s="2490"/>
      <c r="N135" s="2490"/>
      <c r="O135" s="2491"/>
      <c r="P135" s="2490"/>
      <c r="Q135" s="2490"/>
      <c r="R135" s="2492"/>
    </row>
    <row r="136" spans="2:18" s="798" customFormat="1">
      <c r="B136" s="2490"/>
      <c r="C136" s="2490"/>
      <c r="D136" s="2490"/>
      <c r="E136" s="2490"/>
      <c r="F136" s="2490"/>
      <c r="G136" s="2491"/>
      <c r="H136" s="2490"/>
      <c r="I136" s="2491"/>
      <c r="J136" s="2490"/>
      <c r="K136" s="2490"/>
      <c r="L136" s="2491"/>
      <c r="M136" s="2490"/>
      <c r="N136" s="2490"/>
      <c r="O136" s="2491"/>
      <c r="P136" s="2490"/>
      <c r="Q136" s="2490"/>
      <c r="R136" s="2492"/>
    </row>
    <row r="137" spans="2:18" s="798" customFormat="1">
      <c r="B137" s="2490"/>
      <c r="C137" s="2490"/>
      <c r="D137" s="2490"/>
      <c r="E137" s="2490"/>
      <c r="F137" s="2490"/>
      <c r="G137" s="2491"/>
      <c r="H137" s="2490"/>
      <c r="I137" s="2491"/>
      <c r="J137" s="2490"/>
      <c r="K137" s="2490"/>
      <c r="L137" s="2491"/>
      <c r="M137" s="2490"/>
      <c r="N137" s="2490"/>
      <c r="O137" s="2491"/>
      <c r="P137" s="2490"/>
      <c r="Q137" s="2490"/>
      <c r="R137" s="2492"/>
    </row>
    <row r="138" spans="2:18" s="798" customFormat="1">
      <c r="B138" s="2490"/>
      <c r="C138" s="2490"/>
      <c r="D138" s="2490"/>
      <c r="E138" s="2490"/>
      <c r="F138" s="2490"/>
      <c r="G138" s="2491"/>
      <c r="H138" s="2490"/>
      <c r="I138" s="2491"/>
      <c r="J138" s="2490"/>
      <c r="K138" s="2490"/>
      <c r="L138" s="2491"/>
      <c r="M138" s="2490"/>
      <c r="N138" s="2490"/>
      <c r="O138" s="2491"/>
      <c r="P138" s="2490"/>
      <c r="Q138" s="2490"/>
      <c r="R138" s="2492"/>
    </row>
    <row r="139" spans="2:18" s="798" customFormat="1">
      <c r="B139" s="2490"/>
      <c r="C139" s="2490"/>
      <c r="D139" s="2490"/>
      <c r="E139" s="2490"/>
      <c r="F139" s="2490"/>
      <c r="G139" s="2491"/>
      <c r="H139" s="2490"/>
      <c r="I139" s="2491"/>
      <c r="J139" s="2490"/>
      <c r="K139" s="2490"/>
      <c r="L139" s="2491"/>
      <c r="M139" s="2490"/>
      <c r="N139" s="2490"/>
      <c r="O139" s="2491"/>
      <c r="P139" s="2490"/>
      <c r="Q139" s="2490"/>
      <c r="R139" s="2492"/>
    </row>
    <row r="140" spans="2:18" s="798" customFormat="1">
      <c r="B140" s="2490"/>
      <c r="C140" s="2490"/>
      <c r="D140" s="2490"/>
      <c r="E140" s="2490"/>
      <c r="F140" s="2490"/>
      <c r="G140" s="2491"/>
      <c r="H140" s="2490"/>
      <c r="I140" s="2491"/>
      <c r="J140" s="2490"/>
      <c r="K140" s="2490"/>
      <c r="L140" s="2491"/>
      <c r="M140" s="2490"/>
      <c r="N140" s="2490"/>
      <c r="O140" s="2491"/>
      <c r="P140" s="2490"/>
      <c r="Q140" s="2490"/>
      <c r="R140" s="2492"/>
    </row>
    <row r="141" spans="2:18" s="798" customFormat="1">
      <c r="B141" s="2490"/>
      <c r="C141" s="2490"/>
      <c r="D141" s="2490"/>
      <c r="E141" s="2490"/>
      <c r="F141" s="2490"/>
      <c r="G141" s="2491"/>
      <c r="H141" s="2490"/>
      <c r="I141" s="2491"/>
      <c r="J141" s="2490"/>
      <c r="K141" s="2490"/>
      <c r="L141" s="2491"/>
      <c r="M141" s="2490"/>
      <c r="N141" s="2490"/>
      <c r="O141" s="2491"/>
      <c r="P141" s="2490"/>
      <c r="Q141" s="2490"/>
      <c r="R141" s="2492"/>
    </row>
    <row r="142" spans="2:18" s="798" customFormat="1">
      <c r="B142" s="2490"/>
      <c r="C142" s="2490"/>
      <c r="D142" s="2490"/>
      <c r="E142" s="2490"/>
      <c r="F142" s="2490"/>
      <c r="G142" s="2491"/>
      <c r="H142" s="2490"/>
      <c r="I142" s="2491"/>
      <c r="J142" s="2490"/>
      <c r="K142" s="2490"/>
      <c r="L142" s="2491"/>
      <c r="M142" s="2490"/>
      <c r="N142" s="2490"/>
      <c r="O142" s="2491"/>
      <c r="P142" s="2490"/>
      <c r="Q142" s="2490"/>
      <c r="R142" s="2492"/>
    </row>
    <row r="143" spans="2:18" s="798" customFormat="1">
      <c r="B143" s="2490"/>
      <c r="C143" s="2490"/>
      <c r="D143" s="2490"/>
      <c r="E143" s="2490"/>
      <c r="F143" s="2490"/>
      <c r="G143" s="2491"/>
      <c r="H143" s="2490"/>
      <c r="I143" s="2491"/>
      <c r="J143" s="2490"/>
      <c r="K143" s="2490"/>
      <c r="L143" s="2491"/>
      <c r="M143" s="2490"/>
      <c r="N143" s="2490"/>
      <c r="O143" s="2491"/>
      <c r="P143" s="2490"/>
      <c r="Q143" s="2490"/>
      <c r="R143" s="2492"/>
    </row>
    <row r="144" spans="2:18" s="798" customFormat="1">
      <c r="B144" s="2490"/>
      <c r="C144" s="2490"/>
      <c r="D144" s="2490"/>
      <c r="E144" s="2490"/>
      <c r="F144" s="2490"/>
      <c r="G144" s="2491"/>
      <c r="H144" s="2490"/>
      <c r="I144" s="2491"/>
      <c r="J144" s="2490"/>
      <c r="K144" s="2490"/>
      <c r="L144" s="2491"/>
      <c r="M144" s="2490"/>
      <c r="N144" s="2490"/>
      <c r="O144" s="2491"/>
      <c r="P144" s="2490"/>
      <c r="Q144" s="2490"/>
      <c r="R144" s="2492"/>
    </row>
    <row r="145" spans="2:18" s="798" customFormat="1">
      <c r="B145" s="2490"/>
      <c r="C145" s="2490"/>
      <c r="D145" s="2490"/>
      <c r="E145" s="2490"/>
      <c r="F145" s="2490"/>
      <c r="G145" s="2491"/>
      <c r="H145" s="2490"/>
      <c r="I145" s="2491"/>
      <c r="J145" s="2490"/>
      <c r="K145" s="2490"/>
      <c r="L145" s="2491"/>
      <c r="M145" s="2490"/>
      <c r="N145" s="2490"/>
      <c r="O145" s="2491"/>
      <c r="P145" s="2490"/>
      <c r="Q145" s="2490"/>
      <c r="R145" s="2492"/>
    </row>
    <row r="146" spans="2:18" s="798" customFormat="1">
      <c r="B146" s="2490"/>
      <c r="C146" s="2490"/>
      <c r="D146" s="2490"/>
      <c r="E146" s="2490"/>
      <c r="F146" s="2490"/>
      <c r="G146" s="2491"/>
      <c r="H146" s="2490"/>
      <c r="I146" s="2491"/>
      <c r="J146" s="2490"/>
      <c r="K146" s="2490"/>
      <c r="L146" s="2491"/>
      <c r="M146" s="2490"/>
      <c r="N146" s="2490"/>
      <c r="O146" s="2491"/>
      <c r="P146" s="2490"/>
      <c r="Q146" s="2490"/>
      <c r="R146" s="2492"/>
    </row>
    <row r="147" spans="2:18" s="798" customFormat="1">
      <c r="B147" s="2490"/>
      <c r="C147" s="2490"/>
      <c r="D147" s="2490"/>
      <c r="E147" s="2490"/>
      <c r="F147" s="2490"/>
      <c r="G147" s="2491"/>
      <c r="H147" s="2490"/>
      <c r="I147" s="2491"/>
      <c r="J147" s="2490"/>
      <c r="K147" s="2490"/>
      <c r="L147" s="2491"/>
      <c r="M147" s="2490"/>
      <c r="N147" s="2490"/>
      <c r="O147" s="2491"/>
      <c r="P147" s="2490"/>
      <c r="Q147" s="2490"/>
      <c r="R147" s="2492"/>
    </row>
    <row r="148" spans="2:18" s="798" customFormat="1">
      <c r="B148" s="2490"/>
      <c r="C148" s="2490"/>
      <c r="D148" s="2490"/>
      <c r="E148" s="2490"/>
      <c r="F148" s="2490"/>
      <c r="G148" s="2491"/>
      <c r="H148" s="2490"/>
      <c r="I148" s="2491"/>
      <c r="J148" s="2490"/>
      <c r="K148" s="2490"/>
      <c r="L148" s="2491"/>
      <c r="M148" s="2490"/>
      <c r="N148" s="2490"/>
      <c r="O148" s="2491"/>
      <c r="P148" s="2490"/>
      <c r="Q148" s="2490"/>
      <c r="R148" s="2492"/>
    </row>
    <row r="149" spans="2:18" s="798" customFormat="1">
      <c r="B149" s="2490"/>
      <c r="C149" s="2490"/>
      <c r="D149" s="2490"/>
      <c r="E149" s="2490"/>
      <c r="F149" s="2490"/>
      <c r="G149" s="2491"/>
      <c r="H149" s="2490"/>
      <c r="I149" s="2491"/>
      <c r="J149" s="2490"/>
      <c r="K149" s="2490"/>
      <c r="L149" s="2491"/>
      <c r="M149" s="2490"/>
      <c r="N149" s="2490"/>
      <c r="O149" s="2491"/>
      <c r="P149" s="2490"/>
      <c r="Q149" s="2490"/>
      <c r="R149" s="2492"/>
    </row>
    <row r="150" spans="2:18" s="798" customFormat="1">
      <c r="B150" s="2490"/>
      <c r="C150" s="2490"/>
      <c r="D150" s="2490"/>
      <c r="E150" s="2490"/>
      <c r="F150" s="2490"/>
      <c r="G150" s="2491"/>
      <c r="H150" s="2490"/>
      <c r="I150" s="2491"/>
      <c r="J150" s="2490"/>
      <c r="K150" s="2490"/>
      <c r="L150" s="2491"/>
      <c r="M150" s="2490"/>
      <c r="N150" s="2490"/>
      <c r="O150" s="2491"/>
      <c r="P150" s="2490"/>
      <c r="Q150" s="2490"/>
      <c r="R150" s="2492"/>
    </row>
    <row r="151" spans="2:18" s="798" customFormat="1">
      <c r="B151" s="2490"/>
      <c r="C151" s="2490"/>
      <c r="D151" s="2490"/>
      <c r="E151" s="2490"/>
      <c r="F151" s="2490"/>
      <c r="G151" s="2491"/>
      <c r="H151" s="2490"/>
      <c r="I151" s="2491"/>
      <c r="J151" s="2490"/>
      <c r="K151" s="2490"/>
      <c r="L151" s="2491"/>
      <c r="M151" s="2490"/>
      <c r="N151" s="2490"/>
      <c r="O151" s="2491"/>
      <c r="P151" s="2490"/>
      <c r="Q151" s="2490"/>
      <c r="R151" s="2492"/>
    </row>
    <row r="152" spans="2:18" s="798" customFormat="1">
      <c r="B152" s="2490"/>
      <c r="C152" s="2490"/>
      <c r="D152" s="2490"/>
      <c r="E152" s="2490"/>
      <c r="F152" s="2490"/>
      <c r="G152" s="2491"/>
      <c r="H152" s="2490"/>
      <c r="I152" s="2491"/>
      <c r="J152" s="2490"/>
      <c r="K152" s="2490"/>
      <c r="L152" s="2491"/>
      <c r="M152" s="2490"/>
      <c r="N152" s="2490"/>
      <c r="O152" s="2491"/>
      <c r="P152" s="2490"/>
      <c r="Q152" s="2490"/>
      <c r="R152" s="2492"/>
    </row>
    <row r="153" spans="2:18" s="798" customFormat="1">
      <c r="B153" s="2490"/>
      <c r="C153" s="2490"/>
      <c r="D153" s="2490"/>
      <c r="E153" s="2490"/>
      <c r="F153" s="2490"/>
      <c r="G153" s="2491"/>
      <c r="H153" s="2490"/>
      <c r="I153" s="2491"/>
      <c r="J153" s="2490"/>
      <c r="K153" s="2490"/>
      <c r="L153" s="2491"/>
      <c r="M153" s="2490"/>
      <c r="N153" s="2490"/>
      <c r="O153" s="2491"/>
      <c r="P153" s="2490"/>
      <c r="Q153" s="2490"/>
      <c r="R153" s="2492"/>
    </row>
    <row r="154" spans="2:18" s="798" customFormat="1">
      <c r="B154" s="2490"/>
      <c r="C154" s="2490"/>
      <c r="D154" s="2490"/>
      <c r="E154" s="2490"/>
      <c r="F154" s="2490"/>
      <c r="G154" s="2491"/>
      <c r="H154" s="2490"/>
      <c r="I154" s="2491"/>
      <c r="J154" s="2490"/>
      <c r="K154" s="2490"/>
      <c r="L154" s="2491"/>
      <c r="M154" s="2490"/>
      <c r="N154" s="2490"/>
      <c r="O154" s="2491"/>
      <c r="P154" s="2490"/>
      <c r="Q154" s="2490"/>
      <c r="R154" s="2492"/>
    </row>
    <row r="155" spans="2:18" s="798" customFormat="1">
      <c r="B155" s="2490"/>
      <c r="C155" s="2490"/>
      <c r="D155" s="2490"/>
      <c r="E155" s="2490"/>
      <c r="F155" s="2490"/>
      <c r="G155" s="2491"/>
      <c r="H155" s="2490"/>
      <c r="I155" s="2491"/>
      <c r="J155" s="2490"/>
      <c r="K155" s="2490"/>
      <c r="L155" s="2491"/>
      <c r="M155" s="2490"/>
      <c r="N155" s="2490"/>
      <c r="O155" s="2491"/>
      <c r="P155" s="2490"/>
      <c r="Q155" s="2490"/>
      <c r="R155" s="2492"/>
    </row>
    <row r="156" spans="2:18" s="798" customFormat="1">
      <c r="B156" s="2490"/>
      <c r="C156" s="2490"/>
      <c r="D156" s="2490"/>
      <c r="E156" s="2490"/>
      <c r="F156" s="2490"/>
      <c r="G156" s="2491"/>
      <c r="H156" s="2490"/>
      <c r="I156" s="2491"/>
      <c r="J156" s="2490"/>
      <c r="K156" s="2490"/>
      <c r="L156" s="2491"/>
      <c r="M156" s="2490"/>
      <c r="N156" s="2490"/>
      <c r="O156" s="2491"/>
      <c r="P156" s="2490"/>
      <c r="Q156" s="2490"/>
      <c r="R156" s="2492"/>
    </row>
    <row r="157" spans="2:18" s="798" customFormat="1">
      <c r="B157" s="2490"/>
      <c r="C157" s="2490"/>
      <c r="D157" s="2490"/>
      <c r="E157" s="2490"/>
      <c r="F157" s="2490"/>
      <c r="G157" s="2491"/>
      <c r="H157" s="2490"/>
      <c r="I157" s="2491"/>
      <c r="J157" s="2490"/>
      <c r="K157" s="2490"/>
      <c r="L157" s="2491"/>
      <c r="M157" s="2490"/>
      <c r="N157" s="2490"/>
      <c r="O157" s="2491"/>
      <c r="P157" s="2490"/>
      <c r="Q157" s="2490"/>
      <c r="R157" s="2492"/>
    </row>
    <row r="158" spans="2:18" s="798" customFormat="1">
      <c r="B158" s="2490"/>
      <c r="C158" s="2490"/>
      <c r="D158" s="2490"/>
      <c r="E158" s="2490"/>
      <c r="F158" s="2490"/>
      <c r="G158" s="2491"/>
      <c r="H158" s="2490"/>
      <c r="I158" s="2491"/>
      <c r="J158" s="2490"/>
      <c r="K158" s="2490"/>
      <c r="L158" s="2491"/>
      <c r="M158" s="2490"/>
      <c r="N158" s="2490"/>
      <c r="O158" s="2491"/>
      <c r="P158" s="2490"/>
      <c r="Q158" s="2490"/>
      <c r="R158" s="2492"/>
    </row>
    <row r="159" spans="2:18" s="798" customFormat="1">
      <c r="B159" s="2490"/>
      <c r="C159" s="2490"/>
      <c r="D159" s="2490"/>
      <c r="E159" s="2490"/>
      <c r="F159" s="2490"/>
      <c r="G159" s="2491"/>
      <c r="H159" s="2490"/>
      <c r="I159" s="2491"/>
      <c r="J159" s="2490"/>
      <c r="K159" s="2490"/>
      <c r="L159" s="2491"/>
      <c r="M159" s="2490"/>
      <c r="N159" s="2490"/>
      <c r="O159" s="2491"/>
      <c r="P159" s="2490"/>
      <c r="Q159" s="2490"/>
      <c r="R159" s="2492"/>
    </row>
    <row r="160" spans="2:18" s="798" customFormat="1">
      <c r="B160" s="2490"/>
      <c r="C160" s="2490"/>
      <c r="D160" s="2490"/>
      <c r="E160" s="2490"/>
      <c r="F160" s="2490"/>
      <c r="G160" s="2491"/>
      <c r="H160" s="2490"/>
      <c r="I160" s="2491"/>
      <c r="J160" s="2490"/>
      <c r="K160" s="2490"/>
      <c r="L160" s="2491"/>
      <c r="M160" s="2490"/>
      <c r="N160" s="2490"/>
      <c r="O160" s="2491"/>
      <c r="P160" s="2490"/>
      <c r="Q160" s="2490"/>
      <c r="R160" s="2492"/>
    </row>
    <row r="161" spans="2:18" s="798" customFormat="1">
      <c r="B161" s="2490"/>
      <c r="C161" s="2490"/>
      <c r="D161" s="2490"/>
      <c r="E161" s="2490"/>
      <c r="F161" s="2490"/>
      <c r="G161" s="2491"/>
      <c r="H161" s="2490"/>
      <c r="I161" s="2491"/>
      <c r="J161" s="2490"/>
      <c r="K161" s="2490"/>
      <c r="L161" s="2491"/>
      <c r="M161" s="2490"/>
      <c r="N161" s="2490"/>
      <c r="O161" s="2491"/>
      <c r="P161" s="2490"/>
      <c r="Q161" s="2490"/>
      <c r="R161" s="2492"/>
    </row>
    <row r="162" spans="2:18" s="798" customFormat="1">
      <c r="B162" s="2490"/>
      <c r="C162" s="2490"/>
      <c r="D162" s="2490"/>
      <c r="E162" s="2490"/>
      <c r="F162" s="2490"/>
      <c r="G162" s="2491"/>
      <c r="H162" s="2490"/>
      <c r="I162" s="2491"/>
      <c r="J162" s="2490"/>
      <c r="K162" s="2490"/>
      <c r="L162" s="2491"/>
      <c r="M162" s="2490"/>
      <c r="N162" s="2490"/>
      <c r="O162" s="2491"/>
      <c r="P162" s="2490"/>
      <c r="Q162" s="2490"/>
      <c r="R162" s="2492"/>
    </row>
    <row r="163" spans="2:18" s="798" customFormat="1">
      <c r="B163" s="2490"/>
      <c r="C163" s="2490"/>
      <c r="D163" s="2490"/>
      <c r="E163" s="2490"/>
      <c r="F163" s="2490"/>
      <c r="G163" s="2491"/>
      <c r="H163" s="2490"/>
      <c r="I163" s="2491"/>
      <c r="J163" s="2490"/>
      <c r="K163" s="2490"/>
      <c r="L163" s="2491"/>
      <c r="M163" s="2490"/>
      <c r="N163" s="2490"/>
      <c r="O163" s="2491"/>
      <c r="P163" s="2490"/>
      <c r="Q163" s="2490"/>
      <c r="R163" s="2492"/>
    </row>
    <row r="164" spans="2:18" s="798" customFormat="1">
      <c r="B164" s="2490"/>
      <c r="C164" s="2490"/>
      <c r="D164" s="2490"/>
      <c r="E164" s="2490"/>
      <c r="F164" s="2490"/>
      <c r="G164" s="2491"/>
      <c r="H164" s="2490"/>
      <c r="I164" s="2491"/>
      <c r="J164" s="2490"/>
      <c r="K164" s="2490"/>
      <c r="L164" s="2491"/>
      <c r="M164" s="2490"/>
      <c r="N164" s="2490"/>
      <c r="O164" s="2491"/>
      <c r="P164" s="2490"/>
      <c r="Q164" s="2490"/>
      <c r="R164" s="2492"/>
    </row>
    <row r="165" spans="2:18" s="798" customFormat="1">
      <c r="B165" s="2490"/>
      <c r="C165" s="2490"/>
      <c r="D165" s="2490"/>
      <c r="E165" s="2490"/>
      <c r="F165" s="2490"/>
      <c r="G165" s="2491"/>
      <c r="H165" s="2490"/>
      <c r="I165" s="2491"/>
      <c r="J165" s="2490"/>
      <c r="K165" s="2490"/>
      <c r="L165" s="2491"/>
      <c r="M165" s="2490"/>
      <c r="N165" s="2490"/>
      <c r="O165" s="2491"/>
      <c r="P165" s="2490"/>
      <c r="Q165" s="2490"/>
      <c r="R165" s="2492"/>
    </row>
    <row r="166" spans="2:18" s="798" customFormat="1">
      <c r="B166" s="2490"/>
      <c r="C166" s="2490"/>
      <c r="D166" s="2490"/>
      <c r="E166" s="2490"/>
      <c r="F166" s="2490"/>
      <c r="G166" s="2491"/>
      <c r="H166" s="2490"/>
      <c r="I166" s="2491"/>
      <c r="J166" s="2490"/>
      <c r="K166" s="2490"/>
      <c r="L166" s="2491"/>
      <c r="M166" s="2490"/>
      <c r="N166" s="2490"/>
      <c r="O166" s="2491"/>
      <c r="P166" s="2490"/>
      <c r="Q166" s="2490"/>
      <c r="R166" s="2492"/>
    </row>
    <row r="167" spans="2:18" s="798" customFormat="1">
      <c r="B167" s="2490"/>
      <c r="C167" s="2490"/>
      <c r="D167" s="2490"/>
      <c r="E167" s="2490"/>
      <c r="F167" s="2490"/>
      <c r="G167" s="2491"/>
      <c r="H167" s="2490"/>
      <c r="I167" s="2491"/>
      <c r="J167" s="2490"/>
      <c r="K167" s="2490"/>
      <c r="L167" s="2491"/>
      <c r="M167" s="2490"/>
      <c r="N167" s="2490"/>
      <c r="O167" s="2491"/>
      <c r="P167" s="2490"/>
      <c r="Q167" s="2490"/>
      <c r="R167" s="2492"/>
    </row>
    <row r="168" spans="2:18" s="798" customFormat="1">
      <c r="B168" s="2490"/>
      <c r="C168" s="2490"/>
      <c r="D168" s="2490"/>
      <c r="E168" s="2490"/>
      <c r="F168" s="2490"/>
      <c r="G168" s="2491"/>
      <c r="H168" s="2490"/>
      <c r="I168" s="2491"/>
      <c r="J168" s="2490"/>
      <c r="K168" s="2490"/>
      <c r="L168" s="2491"/>
      <c r="M168" s="2490"/>
      <c r="N168" s="2490"/>
      <c r="O168" s="2491"/>
      <c r="P168" s="2490"/>
      <c r="Q168" s="2490"/>
      <c r="R168" s="2492"/>
    </row>
    <row r="169" spans="2:18" s="798" customFormat="1">
      <c r="B169" s="2490"/>
      <c r="C169" s="2490"/>
      <c r="D169" s="2490"/>
      <c r="E169" s="2490"/>
      <c r="F169" s="2490"/>
      <c r="G169" s="2491"/>
      <c r="H169" s="2490"/>
      <c r="I169" s="2491"/>
      <c r="J169" s="2490"/>
      <c r="K169" s="2490"/>
      <c r="L169" s="2491"/>
      <c r="M169" s="2490"/>
      <c r="N169" s="2490"/>
      <c r="O169" s="2491"/>
      <c r="P169" s="2490"/>
      <c r="Q169" s="2490"/>
      <c r="R169" s="2492"/>
    </row>
    <row r="170" spans="2:18" s="798" customFormat="1">
      <c r="B170" s="2490"/>
      <c r="C170" s="2490"/>
      <c r="D170" s="2490"/>
      <c r="E170" s="2490"/>
      <c r="F170" s="2490"/>
      <c r="G170" s="2491"/>
      <c r="H170" s="2490"/>
      <c r="I170" s="2491"/>
      <c r="J170" s="2490"/>
      <c r="K170" s="2490"/>
      <c r="L170" s="2491"/>
      <c r="M170" s="2490"/>
      <c r="N170" s="2490"/>
      <c r="O170" s="2491"/>
      <c r="P170" s="2490"/>
      <c r="Q170" s="2490"/>
      <c r="R170" s="2492"/>
    </row>
    <row r="171" spans="2:18" s="798" customFormat="1">
      <c r="B171" s="2490"/>
      <c r="C171" s="2490"/>
      <c r="D171" s="2490"/>
      <c r="E171" s="2490"/>
      <c r="F171" s="2490"/>
      <c r="G171" s="2491"/>
      <c r="H171" s="2490"/>
      <c r="I171" s="2491"/>
      <c r="J171" s="2490"/>
      <c r="K171" s="2490"/>
      <c r="L171" s="2491"/>
      <c r="M171" s="2490"/>
      <c r="N171" s="2490"/>
      <c r="O171" s="2491"/>
      <c r="P171" s="2490"/>
      <c r="Q171" s="2490"/>
      <c r="R171" s="2492"/>
    </row>
    <row r="172" spans="2:18" s="798" customFormat="1">
      <c r="B172" s="2490"/>
      <c r="C172" s="2490"/>
      <c r="D172" s="2490"/>
      <c r="E172" s="2490"/>
      <c r="F172" s="2490"/>
      <c r="G172" s="2491"/>
      <c r="H172" s="2490"/>
      <c r="I172" s="2491"/>
      <c r="J172" s="2490"/>
      <c r="K172" s="2490"/>
      <c r="L172" s="2491"/>
      <c r="M172" s="2490"/>
      <c r="N172" s="2490"/>
      <c r="O172" s="2491"/>
      <c r="P172" s="2490"/>
      <c r="Q172" s="2490"/>
      <c r="R172" s="2492"/>
    </row>
    <row r="173" spans="2:18" s="798" customFormat="1">
      <c r="B173" s="2490"/>
      <c r="C173" s="2490"/>
      <c r="D173" s="2490"/>
      <c r="E173" s="2490"/>
      <c r="F173" s="2490"/>
      <c r="G173" s="2491"/>
      <c r="H173" s="2490"/>
      <c r="I173" s="2491"/>
      <c r="J173" s="2490"/>
      <c r="K173" s="2490"/>
      <c r="L173" s="2491"/>
      <c r="M173" s="2490"/>
      <c r="N173" s="2490"/>
      <c r="O173" s="2491"/>
      <c r="P173" s="2490"/>
      <c r="Q173" s="2490"/>
      <c r="R173" s="2492"/>
    </row>
    <row r="174" spans="2:18" s="798" customFormat="1">
      <c r="B174" s="2490"/>
      <c r="C174" s="2490"/>
      <c r="D174" s="2490"/>
      <c r="E174" s="2490"/>
      <c r="F174" s="2490"/>
      <c r="G174" s="2491"/>
      <c r="H174" s="2490"/>
      <c r="I174" s="2491"/>
      <c r="J174" s="2490"/>
      <c r="K174" s="2490"/>
      <c r="L174" s="2491"/>
      <c r="M174" s="2490"/>
      <c r="N174" s="2490"/>
      <c r="O174" s="2491"/>
      <c r="P174" s="2490"/>
      <c r="Q174" s="2490"/>
      <c r="R174" s="2492"/>
    </row>
    <row r="175" spans="2:18" s="798" customFormat="1">
      <c r="B175" s="2490"/>
      <c r="C175" s="2490"/>
      <c r="D175" s="2490"/>
      <c r="E175" s="2490"/>
      <c r="F175" s="2490"/>
      <c r="G175" s="2491"/>
      <c r="H175" s="2490"/>
      <c r="I175" s="2491"/>
      <c r="J175" s="2490"/>
      <c r="K175" s="2490"/>
      <c r="L175" s="2491"/>
      <c r="M175" s="2490"/>
      <c r="N175" s="2490"/>
      <c r="O175" s="2491"/>
      <c r="P175" s="2490"/>
      <c r="Q175" s="2490"/>
      <c r="R175" s="2492"/>
    </row>
    <row r="176" spans="2:18" s="798" customFormat="1">
      <c r="B176" s="2490"/>
      <c r="C176" s="2490"/>
      <c r="D176" s="2490"/>
      <c r="E176" s="2490"/>
      <c r="F176" s="2490"/>
      <c r="G176" s="2491"/>
      <c r="H176" s="2490"/>
      <c r="I176" s="2491"/>
      <c r="J176" s="2490"/>
      <c r="K176" s="2490"/>
      <c r="L176" s="2491"/>
      <c r="M176" s="2490"/>
      <c r="N176" s="2490"/>
      <c r="O176" s="2491"/>
      <c r="P176" s="2490"/>
      <c r="Q176" s="2490"/>
      <c r="R176" s="2492"/>
    </row>
    <row r="177" spans="1:18" s="798" customFormat="1">
      <c r="B177" s="2490"/>
      <c r="C177" s="2490"/>
      <c r="D177" s="2490"/>
      <c r="E177" s="2490"/>
      <c r="F177" s="2490"/>
      <c r="G177" s="2491"/>
      <c r="H177" s="2490"/>
      <c r="I177" s="2491"/>
      <c r="J177" s="2490"/>
      <c r="K177" s="2490"/>
      <c r="L177" s="2491"/>
      <c r="M177" s="2490"/>
      <c r="N177" s="2490"/>
      <c r="O177" s="2491"/>
      <c r="P177" s="2490"/>
      <c r="Q177" s="2490"/>
      <c r="R177" s="2492"/>
    </row>
    <row r="178" spans="1:18" s="798" customFormat="1">
      <c r="B178" s="2490"/>
      <c r="C178" s="2490"/>
      <c r="D178" s="2490"/>
      <c r="E178" s="2490"/>
      <c r="F178" s="2490"/>
      <c r="G178" s="2491"/>
      <c r="H178" s="2490"/>
      <c r="I178" s="2491"/>
      <c r="J178" s="2490"/>
      <c r="K178" s="2490"/>
      <c r="L178" s="2491"/>
      <c r="M178" s="2490"/>
      <c r="N178" s="2490"/>
      <c r="O178" s="2491"/>
      <c r="P178" s="2490"/>
      <c r="Q178" s="2490"/>
      <c r="R178" s="2492"/>
    </row>
    <row r="179" spans="1:18" s="798" customFormat="1">
      <c r="B179" s="2490"/>
      <c r="C179" s="2490"/>
      <c r="D179" s="2490"/>
      <c r="E179" s="2490"/>
      <c r="F179" s="2490"/>
      <c r="G179" s="2491"/>
      <c r="H179" s="2490"/>
      <c r="I179" s="2491"/>
      <c r="J179" s="2490"/>
      <c r="K179" s="2490"/>
      <c r="L179" s="2491"/>
      <c r="M179" s="2490"/>
      <c r="N179" s="2490"/>
      <c r="O179" s="2491"/>
      <c r="P179" s="2490"/>
      <c r="Q179" s="2490"/>
      <c r="R179" s="2492"/>
    </row>
    <row r="180" spans="1:18" s="798" customFormat="1">
      <c r="B180" s="2490"/>
      <c r="C180" s="2490"/>
      <c r="D180" s="2490"/>
      <c r="E180" s="2490"/>
      <c r="F180" s="2490"/>
      <c r="G180" s="2491"/>
      <c r="H180" s="2490"/>
      <c r="I180" s="2491"/>
      <c r="J180" s="2490"/>
      <c r="K180" s="2490"/>
      <c r="L180" s="2491"/>
      <c r="M180" s="2490"/>
      <c r="N180" s="2490"/>
      <c r="O180" s="2491"/>
      <c r="P180" s="2490"/>
      <c r="Q180" s="2490"/>
      <c r="R180" s="2492"/>
    </row>
    <row r="181" spans="1:18" s="798" customFormat="1">
      <c r="B181" s="2490"/>
      <c r="C181" s="2490"/>
      <c r="D181" s="2490"/>
      <c r="E181" s="2490"/>
      <c r="F181" s="2490"/>
      <c r="G181" s="2491"/>
      <c r="H181" s="2490"/>
      <c r="I181" s="2491"/>
      <c r="J181" s="2490"/>
      <c r="K181" s="2490"/>
      <c r="L181" s="2491"/>
      <c r="M181" s="2490"/>
      <c r="N181" s="2490"/>
      <c r="O181" s="2491"/>
      <c r="P181" s="2490"/>
      <c r="Q181" s="2490"/>
      <c r="R181" s="2492"/>
    </row>
    <row r="182" spans="1:18" s="798" customFormat="1">
      <c r="B182" s="2490"/>
      <c r="C182" s="2490"/>
      <c r="D182" s="2490"/>
      <c r="E182" s="2490"/>
      <c r="F182" s="2490"/>
      <c r="G182" s="2491"/>
      <c r="H182" s="2490"/>
      <c r="I182" s="2491"/>
      <c r="J182" s="2490"/>
      <c r="K182" s="2490"/>
      <c r="L182" s="2491"/>
      <c r="M182" s="2490"/>
      <c r="N182" s="2490"/>
      <c r="O182" s="2491"/>
      <c r="P182" s="2490"/>
      <c r="Q182" s="2490"/>
      <c r="R182" s="2492"/>
    </row>
    <row r="183" spans="1:18" s="798" customFormat="1">
      <c r="B183" s="2490"/>
      <c r="C183" s="2490"/>
      <c r="D183" s="2490"/>
      <c r="E183" s="2490"/>
      <c r="F183" s="2490"/>
      <c r="G183" s="2491"/>
      <c r="H183" s="2490"/>
      <c r="I183" s="2491"/>
      <c r="J183" s="2490"/>
      <c r="K183" s="2490"/>
      <c r="L183" s="2491"/>
      <c r="M183" s="2490"/>
      <c r="N183" s="2490"/>
      <c r="O183" s="2491"/>
      <c r="P183" s="2490"/>
      <c r="Q183" s="2490"/>
      <c r="R183" s="2492"/>
    </row>
    <row r="184" spans="1:18" s="798" customFormat="1">
      <c r="B184" s="2490"/>
      <c r="C184" s="2490"/>
      <c r="D184" s="2490"/>
      <c r="E184" s="2490"/>
      <c r="F184" s="2490"/>
      <c r="G184" s="2491"/>
      <c r="H184" s="2490"/>
      <c r="I184" s="2491"/>
      <c r="J184" s="2490"/>
      <c r="K184" s="2490"/>
      <c r="L184" s="2491"/>
      <c r="M184" s="2490"/>
      <c r="N184" s="2490"/>
      <c r="O184" s="2491"/>
      <c r="P184" s="2490"/>
      <c r="Q184" s="2490"/>
      <c r="R184" s="2492"/>
    </row>
    <row r="185" spans="1:18" s="798"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8"/>
      <c r="B186" s="2490"/>
      <c r="C186" s="2490"/>
      <c r="E186" s="2490"/>
      <c r="F186" s="2490"/>
      <c r="G186" s="2491"/>
    </row>
    <row r="187" spans="1:18">
      <c r="A187" s="798"/>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I16" sqref="I16"/>
    </sheetView>
  </sheetViews>
  <sheetFormatPr defaultColWidth="9" defaultRowHeight="13.5"/>
  <cols>
    <col min="1" max="1" width="25" style="2512" customWidth="1"/>
    <col min="2" max="9" width="15.75" style="2512" customWidth="1"/>
    <col min="10" max="16384" width="9" style="2512"/>
  </cols>
  <sheetData>
    <row r="1" spans="1:11" ht="16.5">
      <c r="A1" s="2511" t="s">
        <v>665</v>
      </c>
      <c r="B1" s="2511">
        <f>SUM(B14:B23)</f>
        <v>557.98</v>
      </c>
      <c r="C1" s="2685"/>
      <c r="D1" s="2685"/>
      <c r="E1" s="2685"/>
      <c r="F1" s="2685"/>
      <c r="G1" s="2686"/>
      <c r="H1" s="2687"/>
      <c r="I1" s="2687"/>
      <c r="J1" s="2687"/>
      <c r="K1" s="2687"/>
    </row>
    <row r="2" spans="1:11" ht="16.5">
      <c r="A2" s="2511" t="s">
        <v>653</v>
      </c>
      <c r="B2" s="2511">
        <f>SUM(C14:C23)</f>
        <v>0</v>
      </c>
      <c r="C2" s="2685"/>
      <c r="D2" s="2685"/>
      <c r="E2" s="2685"/>
      <c r="F2" s="2685"/>
      <c r="G2" s="2686"/>
      <c r="H2" s="2687"/>
      <c r="I2" s="2687"/>
      <c r="J2" s="2687"/>
      <c r="K2" s="2687"/>
    </row>
    <row r="3" spans="1:11" ht="16.5">
      <c r="A3" s="2511" t="s">
        <v>662</v>
      </c>
      <c r="B3" s="2513">
        <f>项目基本情况!D3</f>
        <v>45805</v>
      </c>
      <c r="C3" s="2685"/>
      <c r="D3" s="2685"/>
      <c r="E3" s="2685"/>
      <c r="F3" s="2685"/>
      <c r="G3" s="2686"/>
      <c r="H3" s="2687"/>
      <c r="I3" s="2687"/>
      <c r="J3" s="2687"/>
      <c r="K3" s="2687"/>
    </row>
    <row r="4" spans="1:11" ht="33">
      <c r="A4" s="2511" t="s">
        <v>661</v>
      </c>
      <c r="B4" s="2511" t="s">
        <v>660</v>
      </c>
      <c r="C4" s="2511" t="s">
        <v>659</v>
      </c>
      <c r="D4" s="2511" t="s">
        <v>658</v>
      </c>
      <c r="E4" s="2685"/>
      <c r="F4" s="2686"/>
      <c r="G4" s="2686"/>
      <c r="H4" s="2687"/>
      <c r="I4" s="2687"/>
      <c r="J4" s="2687"/>
      <c r="K4" s="2687"/>
    </row>
    <row r="5" spans="1:11" ht="16.5">
      <c r="A5" s="2511" t="s">
        <v>657</v>
      </c>
      <c r="B5" s="2511">
        <f ca="1">SUM(D14:D23)</f>
        <v>1547</v>
      </c>
      <c r="C5" s="2511">
        <f ca="1">IF(B5=D14,'结果表-1层'!H102,ROUND(B5*10000/$B$1,0))</f>
        <v>27725</v>
      </c>
      <c r="D5" s="2511" t="e">
        <f ca="1">ROUND(B5*10000/$B$2,0)</f>
        <v>#DIV/0!</v>
      </c>
      <c r="E5" s="2685"/>
      <c r="F5" s="2686"/>
      <c r="G5" s="2686"/>
      <c r="H5" s="2687"/>
      <c r="I5" s="2687"/>
      <c r="J5" s="2687"/>
      <c r="K5" s="2687"/>
    </row>
    <row r="6" spans="1:11" ht="16.5">
      <c r="A6" s="2511" t="s">
        <v>656</v>
      </c>
      <c r="B6" s="2511">
        <f ca="1">SUM(G14:G23)</f>
        <v>1547</v>
      </c>
      <c r="C6" s="2511">
        <f ca="1">IF(B6=G14,'结果表-1层'!H108,ROUND(B6*10000/$B$1,0))</f>
        <v>27725</v>
      </c>
      <c r="D6" s="2511" t="e">
        <f ca="1">ROUND(B6*10000/$B$2,0)</f>
        <v>#DIV/0!</v>
      </c>
      <c r="E6" s="2685"/>
      <c r="F6" s="2686"/>
      <c r="G6" s="2686"/>
      <c r="H6" s="2687"/>
      <c r="I6" s="2687"/>
      <c r="J6" s="2687"/>
      <c r="K6" s="2687"/>
    </row>
    <row r="7" spans="1:11" ht="16.5">
      <c r="A7" s="2511" t="s">
        <v>664</v>
      </c>
      <c r="B7" s="2511">
        <f>SUM(H14:H23)</f>
        <v>0</v>
      </c>
      <c r="C7" s="2511" t="str">
        <f>IF(B7=H14,'结果表-1层'!H110,ROUND(B7*10000/$B$1,0))</f>
        <v>——</v>
      </c>
      <c r="D7" s="2511" t="e">
        <f>ROUND(B7*10000/$B$2,0)</f>
        <v>#DIV/0!</v>
      </c>
      <c r="E7" s="2685"/>
      <c r="F7" s="2686"/>
      <c r="G7" s="2686"/>
      <c r="H7" s="2687"/>
      <c r="I7" s="2687"/>
      <c r="J7" s="2687"/>
      <c r="K7" s="2687"/>
    </row>
    <row r="8" spans="1:11" ht="16.5">
      <c r="A8" s="2511" t="s">
        <v>587</v>
      </c>
      <c r="B8" s="2511">
        <f ca="1">SUM(I14:I23)</f>
        <v>1546</v>
      </c>
      <c r="C8" s="2511">
        <f ca="1">IF(B8=I14,'结果表-1层'!H112,ROUND(B8*10000/$B$1,0))</f>
        <v>27707</v>
      </c>
      <c r="D8" s="2511" t="e">
        <f ca="1">ROUND(B8*10000/$B$2,0)</f>
        <v>#DIV/0!</v>
      </c>
      <c r="E8" s="2685"/>
      <c r="F8" s="2686"/>
      <c r="G8" s="2686"/>
      <c r="H8" s="2687"/>
      <c r="I8" s="2687"/>
      <c r="J8" s="2687"/>
      <c r="K8" s="2687"/>
    </row>
    <row r="9" spans="1:11" ht="16.5">
      <c r="A9" s="2511" t="s">
        <v>655</v>
      </c>
      <c r="B9" s="2519"/>
      <c r="C9" s="2685"/>
      <c r="D9" s="2685"/>
      <c r="E9" s="2685"/>
      <c r="F9" s="2686"/>
      <c r="G9" s="2686"/>
      <c r="H9" s="2687"/>
      <c r="I9" s="2687"/>
      <c r="J9" s="2687"/>
      <c r="K9" s="2687"/>
    </row>
    <row r="10" spans="1:11" ht="16.5">
      <c r="A10" s="2511" t="s">
        <v>654</v>
      </c>
      <c r="B10" s="2511">
        <f>IF(E10="",0,ROUND(B1*(E10*365/G10)/10000,0))</f>
        <v>0</v>
      </c>
      <c r="C10" s="2511" t="s">
        <v>3355</v>
      </c>
      <c r="D10" s="2511" t="s">
        <v>3356</v>
      </c>
      <c r="E10" s="3440"/>
      <c r="F10" s="3444" t="s">
        <v>3357</v>
      </c>
      <c r="G10" s="3441"/>
      <c r="H10" s="2687"/>
      <c r="I10" s="2687"/>
      <c r="J10" s="2687"/>
      <c r="K10" s="2687"/>
    </row>
    <row r="11" spans="1:11" ht="16.5">
      <c r="A11" s="2511" t="s">
        <v>670</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669</v>
      </c>
      <c r="B13" s="2515" t="s">
        <v>666</v>
      </c>
      <c r="C13" s="2515" t="s">
        <v>668</v>
      </c>
      <c r="D13" s="2515" t="s">
        <v>667</v>
      </c>
      <c r="E13" s="2511" t="s">
        <v>659</v>
      </c>
      <c r="F13" s="2511" t="s">
        <v>658</v>
      </c>
      <c r="G13" s="2515" t="s">
        <v>652</v>
      </c>
      <c r="H13" s="2515" t="s">
        <v>663</v>
      </c>
      <c r="I13" s="2515" t="s">
        <v>651</v>
      </c>
      <c r="J13" s="2686"/>
      <c r="K13" s="2687"/>
    </row>
    <row r="14" spans="1:11" ht="16.5">
      <c r="A14" s="2516" t="s">
        <v>650</v>
      </c>
      <c r="B14" s="2517">
        <f>'数据-汇总表'!F19</f>
        <v>121.8</v>
      </c>
      <c r="C14" s="2517"/>
      <c r="D14" s="2517">
        <f ca="1">'结果表-1层'!H118</f>
        <v>403</v>
      </c>
      <c r="E14" s="2517">
        <f ca="1">'结果表-1层'!I118</f>
        <v>33055</v>
      </c>
      <c r="F14" s="2517" t="e">
        <f ca="1">ROUND(D14*10000/C14,0)</f>
        <v>#DIV/0!</v>
      </c>
      <c r="G14" s="2517">
        <f ca="1">D14</f>
        <v>403</v>
      </c>
      <c r="H14" s="2517"/>
      <c r="I14" s="2517">
        <f ca="1">'结果表-1层'!H111</f>
        <v>403</v>
      </c>
      <c r="J14" s="2686"/>
      <c r="K14" s="2687"/>
    </row>
    <row r="15" spans="1:11" ht="16.5">
      <c r="A15" s="2516" t="s">
        <v>649</v>
      </c>
      <c r="B15" s="2518">
        <f>'结果表-2层'!B118</f>
        <v>436.18</v>
      </c>
      <c r="C15" s="2518"/>
      <c r="D15" s="2518">
        <f ca="1">'结果表-2层'!H118</f>
        <v>1144</v>
      </c>
      <c r="E15" s="2517">
        <f t="shared" ref="E15:E23" ca="1" si="0">ROUND(D15*10000/B15,0)</f>
        <v>26228</v>
      </c>
      <c r="F15" s="2517" t="e">
        <f t="shared" ref="F15:F23" ca="1" si="1">ROUND(D15*10000/C15,0)</f>
        <v>#DIV/0!</v>
      </c>
      <c r="G15" s="1330">
        <f ca="1">D15</f>
        <v>1144</v>
      </c>
      <c r="H15" s="1330"/>
      <c r="I15" s="2518">
        <f ca="1">'结果表-2层'!H111</f>
        <v>1143</v>
      </c>
      <c r="J15" s="2686"/>
      <c r="K15" s="2687"/>
    </row>
    <row r="16" spans="1:11" ht="16.5">
      <c r="A16" s="2516" t="s">
        <v>648</v>
      </c>
      <c r="B16" s="2518"/>
      <c r="C16" s="2518"/>
      <c r="D16" s="2518"/>
      <c r="E16" s="2517" t="e">
        <f t="shared" si="0"/>
        <v>#DIV/0!</v>
      </c>
      <c r="F16" s="2517" t="e">
        <f t="shared" si="1"/>
        <v>#DIV/0!</v>
      </c>
      <c r="G16" s="1330"/>
      <c r="H16" s="1330"/>
      <c r="I16" s="2518"/>
      <c r="J16" s="2687"/>
      <c r="K16" s="2687"/>
    </row>
    <row r="17" spans="1:11" ht="16.5">
      <c r="A17" s="2516" t="s">
        <v>647</v>
      </c>
      <c r="B17" s="2518"/>
      <c r="C17" s="2518"/>
      <c r="D17" s="2518"/>
      <c r="E17" s="2517" t="e">
        <f t="shared" si="0"/>
        <v>#DIV/0!</v>
      </c>
      <c r="F17" s="2517" t="e">
        <f t="shared" si="1"/>
        <v>#DIV/0!</v>
      </c>
      <c r="G17" s="1330"/>
      <c r="H17" s="1330"/>
      <c r="I17" s="2518"/>
      <c r="J17" s="2687"/>
      <c r="K17" s="2687"/>
    </row>
    <row r="18" spans="1:11" ht="16.5">
      <c r="A18" s="2516" t="s">
        <v>646</v>
      </c>
      <c r="B18" s="2518"/>
      <c r="C18" s="2518"/>
      <c r="D18" s="2518"/>
      <c r="E18" s="2517" t="e">
        <f t="shared" si="0"/>
        <v>#DIV/0!</v>
      </c>
      <c r="F18" s="2517" t="e">
        <f t="shared" si="1"/>
        <v>#DIV/0!</v>
      </c>
      <c r="G18" s="2518"/>
      <c r="H18" s="2518"/>
      <c r="I18" s="2518"/>
      <c r="J18" s="2687"/>
      <c r="K18" s="2687"/>
    </row>
    <row r="19" spans="1:11" ht="16.5">
      <c r="A19" s="2516" t="s">
        <v>645</v>
      </c>
      <c r="B19" s="2518"/>
      <c r="C19" s="2518"/>
      <c r="D19" s="2518"/>
      <c r="E19" s="2517" t="e">
        <f t="shared" si="0"/>
        <v>#DIV/0!</v>
      </c>
      <c r="F19" s="2517" t="e">
        <f t="shared" si="1"/>
        <v>#DIV/0!</v>
      </c>
      <c r="G19" s="2518"/>
      <c r="H19" s="2518"/>
      <c r="I19" s="2518"/>
      <c r="J19" s="2687"/>
      <c r="K19" s="2687"/>
    </row>
    <row r="20" spans="1:11" ht="16.5">
      <c r="A20" s="2516" t="s">
        <v>644</v>
      </c>
      <c r="B20" s="2518"/>
      <c r="C20" s="2518"/>
      <c r="D20" s="2518"/>
      <c r="E20" s="2517" t="e">
        <f t="shared" si="0"/>
        <v>#DIV/0!</v>
      </c>
      <c r="F20" s="2517" t="e">
        <f t="shared" si="1"/>
        <v>#DIV/0!</v>
      </c>
      <c r="G20" s="2518"/>
      <c r="H20" s="2518"/>
      <c r="I20" s="2518"/>
      <c r="J20" s="2687"/>
      <c r="K20" s="2687"/>
    </row>
    <row r="21" spans="1:11" ht="16.5">
      <c r="A21" s="2516" t="s">
        <v>643</v>
      </c>
      <c r="B21" s="2518"/>
      <c r="C21" s="2518"/>
      <c r="D21" s="2518"/>
      <c r="E21" s="2517" t="e">
        <f t="shared" si="0"/>
        <v>#DIV/0!</v>
      </c>
      <c r="F21" s="2517" t="e">
        <f t="shared" si="1"/>
        <v>#DIV/0!</v>
      </c>
      <c r="G21" s="2518"/>
      <c r="H21" s="2518"/>
      <c r="I21" s="2518"/>
      <c r="J21" s="2687"/>
      <c r="K21" s="2687"/>
    </row>
    <row r="22" spans="1:11" ht="16.5">
      <c r="A22" s="2516" t="s">
        <v>642</v>
      </c>
      <c r="B22" s="2518"/>
      <c r="C22" s="2518"/>
      <c r="D22" s="2518"/>
      <c r="E22" s="2517" t="e">
        <f t="shared" si="0"/>
        <v>#DIV/0!</v>
      </c>
      <c r="F22" s="2517" t="e">
        <f t="shared" si="1"/>
        <v>#DIV/0!</v>
      </c>
      <c r="G22" s="2518"/>
      <c r="H22" s="2518"/>
      <c r="I22" s="2518"/>
      <c r="J22" s="2687"/>
      <c r="K22" s="2687"/>
    </row>
    <row r="23" spans="1:11" ht="16.5">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88" zoomScale="85" zoomScaleNormal="100" zoomScaleSheetLayoutView="85" zoomScalePageLayoutView="80" workbookViewId="0">
      <selection activeCell="C67" sqref="C67"/>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1262</v>
      </c>
      <c r="B1" s="1746"/>
      <c r="C1" s="1747" t="s">
        <v>3446</v>
      </c>
      <c r="D1" s="1746"/>
      <c r="E1" s="1746"/>
      <c r="F1" s="1748" t="s">
        <v>1263</v>
      </c>
      <c r="G1" s="1560"/>
      <c r="H1" s="1749" t="str">
        <f>IF(G1="现房","——","估价对象范围")</f>
        <v>估价对象范围</v>
      </c>
      <c r="I1" s="1750"/>
    </row>
    <row r="2" spans="1:12" ht="21.75" customHeight="1" thickBot="1">
      <c r="A2" s="3654" t="str">
        <f>项目基本情况!S2</f>
        <v>北京市房地产</v>
      </c>
      <c r="B2" s="3655"/>
      <c r="C2" s="3655"/>
      <c r="D2" s="3655"/>
      <c r="E2" s="3655"/>
      <c r="F2" s="3655"/>
      <c r="G2" s="3655"/>
      <c r="H2" s="3655"/>
      <c r="I2" s="3656"/>
    </row>
    <row r="3" spans="1:12" ht="12.75">
      <c r="A3" s="3658" t="s">
        <v>1264</v>
      </c>
      <c r="B3" s="3659"/>
      <c r="C3" s="3659"/>
      <c r="D3" s="3659"/>
      <c r="E3" s="3659"/>
      <c r="F3" s="3659"/>
      <c r="G3" s="3659"/>
      <c r="H3" s="3659"/>
      <c r="I3" s="3659"/>
    </row>
    <row r="4" spans="1:12" ht="14.25">
      <c r="A4" s="1753" t="s">
        <v>1265</v>
      </c>
      <c r="B4" s="1754" t="s">
        <v>1266</v>
      </c>
      <c r="C4" s="1755" t="s">
        <v>3480</v>
      </c>
      <c r="D4" s="1755" t="s">
        <v>3421</v>
      </c>
      <c r="E4" s="3663" t="s">
        <v>1267</v>
      </c>
      <c r="F4" s="3664"/>
      <c r="G4" s="3664"/>
      <c r="H4" s="3664"/>
      <c r="I4" s="3665"/>
      <c r="K4" s="146" t="str">
        <f>IF(ISNUMBER(FIND("比较法",'结果表-1层'!C4)),"比较法",IF(ISNUMBER(FIND("成本法",'结果表-1层'!C4)),"成本法",IF(ISNUMBER(FIND("假设开发法",'结果表-1层'!C4)),"假设开发法",IF(ISNUMBER(FIND("收益法",'结果表-1层'!C4)),"收益法","基准地价系数修正法"))))</f>
        <v>比较法</v>
      </c>
      <c r="L4" s="146" t="str">
        <f>IF(ISNUMBER(FIND("比较法",'结果表-1层'!D4)),"比较法",IF(ISNUMBER(FIND("成本法",'结果表-1层'!D4)),"成本法",IF(ISNUMBER(FIND("假设开发法",'结果表-1层'!D4)),"假设开发法",IF(ISNUMBER(FIND("收益法",'结果表-1层'!D4)),"收益法","基准地价系数修正法"))))</f>
        <v>收益法</v>
      </c>
    </row>
    <row r="5" spans="1:12" ht="12.75">
      <c r="A5" s="3602" t="s">
        <v>1268</v>
      </c>
      <c r="B5" s="3657">
        <v>25</v>
      </c>
      <c r="C5" s="3660"/>
      <c r="D5" s="3648"/>
      <c r="E5" s="131" t="s">
        <v>1269</v>
      </c>
      <c r="F5" s="1756"/>
      <c r="G5" s="1756"/>
      <c r="H5" s="1756"/>
      <c r="I5" s="1372"/>
    </row>
    <row r="6" spans="1:12" ht="12.75">
      <c r="A6" s="3602"/>
      <c r="B6" s="3657"/>
      <c r="C6" s="3662"/>
      <c r="D6" s="3648"/>
      <c r="E6" s="131" t="s">
        <v>1270</v>
      </c>
      <c r="F6" s="1756"/>
      <c r="G6" s="1756"/>
      <c r="H6" s="1756"/>
      <c r="I6" s="1372"/>
    </row>
    <row r="7" spans="1:12" ht="12.75">
      <c r="A7" s="3602"/>
      <c r="B7" s="3657"/>
      <c r="C7" s="3661"/>
      <c r="D7" s="3648"/>
      <c r="E7" s="131" t="s">
        <v>1271</v>
      </c>
      <c r="F7" s="1756"/>
      <c r="G7" s="1756"/>
      <c r="H7" s="1756"/>
      <c r="I7" s="1372"/>
    </row>
    <row r="8" spans="1:12" ht="12.75">
      <c r="A8" s="3602" t="s">
        <v>1272</v>
      </c>
      <c r="B8" s="3657">
        <v>15</v>
      </c>
      <c r="C8" s="3660"/>
      <c r="D8" s="3648"/>
      <c r="E8" s="131" t="s">
        <v>1273</v>
      </c>
      <c r="F8" s="1756"/>
      <c r="G8" s="1756"/>
      <c r="H8" s="1756"/>
      <c r="I8" s="1372"/>
    </row>
    <row r="9" spans="1:12" ht="12.75">
      <c r="A9" s="3602"/>
      <c r="B9" s="3657"/>
      <c r="C9" s="3661"/>
      <c r="D9" s="3648"/>
      <c r="E9" s="131" t="s">
        <v>1274</v>
      </c>
      <c r="F9" s="1756"/>
      <c r="G9" s="1756"/>
      <c r="H9" s="1756"/>
      <c r="I9" s="1372"/>
    </row>
    <row r="10" spans="1:12" ht="12.75">
      <c r="A10" s="3602" t="s">
        <v>1275</v>
      </c>
      <c r="B10" s="3657">
        <v>15</v>
      </c>
      <c r="C10" s="3660"/>
      <c r="D10" s="3648"/>
      <c r="E10" s="131" t="s">
        <v>1276</v>
      </c>
      <c r="F10" s="1756"/>
      <c r="G10" s="1756"/>
      <c r="H10" s="1756"/>
      <c r="I10" s="1372"/>
    </row>
    <row r="11" spans="1:12" ht="12.75">
      <c r="A11" s="3602"/>
      <c r="B11" s="3657"/>
      <c r="C11" s="3661"/>
      <c r="D11" s="3648"/>
      <c r="E11" s="131" t="s">
        <v>1277</v>
      </c>
      <c r="F11" s="1756"/>
      <c r="G11" s="1756"/>
      <c r="H11" s="1756"/>
      <c r="I11" s="1372"/>
    </row>
    <row r="12" spans="1:12" ht="12.75">
      <c r="A12" s="3602" t="s">
        <v>1278</v>
      </c>
      <c r="B12" s="3657">
        <v>15</v>
      </c>
      <c r="C12" s="3660"/>
      <c r="D12" s="3648"/>
      <c r="E12" s="131" t="s">
        <v>1279</v>
      </c>
      <c r="F12" s="1756"/>
      <c r="G12" s="1756"/>
      <c r="H12" s="1756"/>
      <c r="I12" s="1372"/>
    </row>
    <row r="13" spans="1:12" ht="12.75">
      <c r="A13" s="3602"/>
      <c r="B13" s="3657"/>
      <c r="C13" s="3661"/>
      <c r="D13" s="3648"/>
      <c r="E13" s="131" t="s">
        <v>1280</v>
      </c>
      <c r="F13" s="1756"/>
      <c r="G13" s="1756"/>
      <c r="H13" s="1756"/>
      <c r="I13" s="1372"/>
    </row>
    <row r="14" spans="1:12" ht="12.75">
      <c r="A14" s="3602" t="s">
        <v>1281</v>
      </c>
      <c r="B14" s="3657">
        <v>30</v>
      </c>
      <c r="C14" s="3660">
        <v>7</v>
      </c>
      <c r="D14" s="3648">
        <v>3</v>
      </c>
      <c r="E14" s="131" t="s">
        <v>1282</v>
      </c>
      <c r="F14" s="1756"/>
      <c r="G14" s="1756"/>
      <c r="H14" s="1756"/>
      <c r="I14" s="1372"/>
    </row>
    <row r="15" spans="1:12" ht="12.75">
      <c r="A15" s="3602"/>
      <c r="B15" s="3657"/>
      <c r="C15" s="3662"/>
      <c r="D15" s="3648"/>
      <c r="E15" s="131" t="s">
        <v>1283</v>
      </c>
      <c r="F15" s="1756"/>
      <c r="G15" s="1756"/>
      <c r="H15" s="1756"/>
      <c r="I15" s="1372"/>
    </row>
    <row r="16" spans="1:12" ht="12.75">
      <c r="A16" s="3602"/>
      <c r="B16" s="3657"/>
      <c r="C16" s="3661"/>
      <c r="D16" s="3648"/>
      <c r="E16" s="131" t="s">
        <v>1284</v>
      </c>
      <c r="F16" s="1756"/>
      <c r="G16" s="1756"/>
      <c r="H16" s="1756"/>
      <c r="I16" s="1372"/>
    </row>
    <row r="17" spans="1:36" ht="15">
      <c r="A17" s="1757" t="s">
        <v>1285</v>
      </c>
      <c r="B17" s="56"/>
      <c r="C17" s="132">
        <f>SUM(C5:C16)</f>
        <v>7</v>
      </c>
      <c r="D17" s="132">
        <f>SUM(D5:D16)</f>
        <v>3</v>
      </c>
      <c r="E17" s="129"/>
      <c r="F17" s="129"/>
      <c r="G17" s="129"/>
      <c r="H17" s="129"/>
      <c r="I17" s="129"/>
      <c r="K17" s="302"/>
      <c r="L17" s="302" t="s">
        <v>1286</v>
      </c>
      <c r="M17" s="302" t="s">
        <v>1287</v>
      </c>
    </row>
    <row r="18" spans="1:36" ht="31.9" customHeight="1" thickBot="1">
      <c r="A18" s="1758" t="s">
        <v>1288</v>
      </c>
      <c r="B18" s="1759"/>
      <c r="C18" s="133">
        <f>ROUND(C17/SUM(C17:D17),2)</f>
        <v>0.7</v>
      </c>
      <c r="D18" s="133">
        <f>1-C18</f>
        <v>0.30000000000000004</v>
      </c>
      <c r="E18" s="3679" t="s">
        <v>2131</v>
      </c>
      <c r="F18" s="3680"/>
      <c r="G18" s="3680"/>
      <c r="H18" s="3680"/>
      <c r="I18" s="3680"/>
      <c r="K18" s="302" t="s">
        <v>1289</v>
      </c>
      <c r="L18" s="302">
        <f>IF(C1="",'数据-汇总表'!E3,SUMIF(项目类型,C1,'数据-汇总表'!E17:E26)+SUMIF(项目类型,C1,'数据-汇总表'!I17:I26))</f>
        <v>121.8</v>
      </c>
      <c r="M18" s="302">
        <f>IF(C1="",'数据-汇总表'!E3,SUMIF(项目类型,C1,'数据-汇总表'!E17:E26))</f>
        <v>121.8</v>
      </c>
    </row>
    <row r="19" spans="1:36" ht="15">
      <c r="A19" s="1760" t="s">
        <v>1290</v>
      </c>
      <c r="B19" s="1761" t="s">
        <v>1291</v>
      </c>
      <c r="C19" s="134">
        <f ca="1">SUMIF(INDIRECT("'"&amp;C4&amp;"'"&amp;"!A:A"),'结果表-1层'!B19,INDIRECT("'"&amp;C4&amp;"'"&amp;"!B:B"))</f>
        <v>456.35140000000001</v>
      </c>
      <c r="D19" s="135">
        <f ca="1">SUMIF(INDIRECT("'"&amp;D4&amp;"'"&amp;"!A:A"),'结果表-1层'!B19,INDIRECT("'"&amp;D4&amp;"'"&amp;"!B:B"))</f>
        <v>277.2319</v>
      </c>
      <c r="E19" s="1760" t="s">
        <v>1292</v>
      </c>
      <c r="F19" s="1761" t="s">
        <v>1291</v>
      </c>
      <c r="G19" s="136">
        <f ca="1">ROUND(C19*$C$18+D19*$D$18,0)</f>
        <v>403</v>
      </c>
      <c r="H19" s="1762"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3"/>
      <c r="B20" s="1025" t="s">
        <v>1295</v>
      </c>
      <c r="C20" s="137">
        <f ca="1">SUMIF(INDIRECT("'"&amp;C4&amp;"'"&amp;"!A:A"),'结果表-1层'!B20,INDIRECT("'"&amp;C4&amp;"'"&amp;"!B:B"))</f>
        <v>37467</v>
      </c>
      <c r="D20" s="138">
        <f ca="1">SUMIF(INDIRECT("'"&amp;D4&amp;"'"&amp;"!A:A"),'结果表-1层'!B20,INDIRECT("'"&amp;D4&amp;"'"&amp;"!B:B"))</f>
        <v>22761</v>
      </c>
      <c r="E20" s="1763"/>
      <c r="F20" s="1025" t="s">
        <v>1295</v>
      </c>
      <c r="G20" s="139">
        <f ca="1">ROUND(C20*$C$18+D20*$D$18,0)</f>
        <v>33055</v>
      </c>
      <c r="H20" s="807" t="s">
        <v>1296</v>
      </c>
      <c r="I20" s="129"/>
    </row>
    <row r="21" spans="1:36" ht="15" customHeight="1" thickBot="1">
      <c r="A21" s="827"/>
      <c r="B21" s="1764" t="s">
        <v>1297</v>
      </c>
      <c r="C21" s="718" t="e">
        <f ca="1">ROUND(C19*10000/L19,0)</f>
        <v>#DIV/0!</v>
      </c>
      <c r="D21" s="719" t="e">
        <f ca="1">ROUND(D19*10000/L19,0)</f>
        <v>#DIV/0!</v>
      </c>
      <c r="E21" s="827"/>
      <c r="F21" s="1764" t="s">
        <v>1297</v>
      </c>
      <c r="G21" s="140" t="e">
        <f ca="1">ROUND(G19*10000/L19,0)</f>
        <v>#DIV/0!</v>
      </c>
      <c r="H21" s="1765" t="s">
        <v>1296</v>
      </c>
      <c r="I21" s="129"/>
    </row>
    <row r="22" spans="1:36" ht="15" thickBot="1">
      <c r="A22" s="1687" t="s">
        <v>1298</v>
      </c>
      <c r="B22" s="1766"/>
      <c r="C22" s="1767"/>
      <c r="D22" s="720">
        <f ca="1">IF(C19&lt;D19,D19/C19-1,C19/D19-1)</f>
        <v>0.64609988965916276</v>
      </c>
      <c r="E22" s="129"/>
      <c r="F22" s="129"/>
      <c r="G22" s="129"/>
      <c r="H22" s="129"/>
      <c r="I22" s="129"/>
    </row>
    <row r="23" spans="1:36" ht="13.5" thickBot="1">
      <c r="A23" s="1746"/>
      <c r="B23" s="1746"/>
      <c r="C23" s="1746"/>
      <c r="D23" s="1746"/>
      <c r="E23" s="129"/>
      <c r="F23" s="3466" t="s">
        <v>3440</v>
      </c>
      <c r="G23" s="129"/>
      <c r="H23" s="129"/>
      <c r="I23" s="129"/>
    </row>
    <row r="24" spans="1:36" ht="14.25">
      <c r="A24" s="3672" t="s">
        <v>1299</v>
      </c>
      <c r="B24" s="1761" t="s">
        <v>1291</v>
      </c>
      <c r="C24" s="136">
        <f>IF(B30=0,0,D30)</f>
        <v>0</v>
      </c>
      <c r="D24" s="1768"/>
      <c r="E24" s="129"/>
      <c r="F24" s="3466" t="s">
        <v>3441</v>
      </c>
      <c r="G24" s="129">
        <v>500</v>
      </c>
      <c r="H24" s="129"/>
      <c r="I24" s="129"/>
    </row>
    <row r="25" spans="1:36" ht="14.25">
      <c r="A25" s="3673"/>
      <c r="B25" s="1025" t="s">
        <v>1295</v>
      </c>
      <c r="C25" s="141">
        <f>IF(B30=0,0,C30)</f>
        <v>0</v>
      </c>
      <c r="D25" s="1769"/>
      <c r="E25" s="129"/>
      <c r="F25" s="3466" t="s">
        <v>3442</v>
      </c>
      <c r="G25" s="129">
        <f>ROUND(G24/L18*10000,0)</f>
        <v>41051</v>
      </c>
      <c r="H25" s="129"/>
      <c r="I25" s="129"/>
    </row>
    <row r="26" spans="1:36" ht="13.5" customHeight="1">
      <c r="A26" s="1770" t="s">
        <v>1300</v>
      </c>
      <c r="B26" s="142" t="s">
        <v>1301</v>
      </c>
      <c r="C26" s="142" t="s">
        <v>1302</v>
      </c>
      <c r="D26" s="143" t="s">
        <v>1303</v>
      </c>
      <c r="E26" s="129"/>
      <c r="F26" s="129"/>
      <c r="G26" s="129"/>
      <c r="H26" s="129"/>
      <c r="I26" s="129"/>
    </row>
    <row r="27" spans="1:36" ht="14.25">
      <c r="A27" s="1770"/>
      <c r="B27" s="142">
        <v>0</v>
      </c>
      <c r="C27" s="142">
        <v>0</v>
      </c>
      <c r="D27" s="143">
        <f>ROUND(C27*B27/10000,0)</f>
        <v>0</v>
      </c>
      <c r="E27" s="129"/>
      <c r="F27" s="129"/>
      <c r="G27" s="129"/>
      <c r="H27" s="129"/>
      <c r="I27" s="129"/>
    </row>
    <row r="28" spans="1:36" ht="14.25">
      <c r="A28" s="1770"/>
      <c r="B28" s="142"/>
      <c r="C28" s="142"/>
      <c r="D28" s="143"/>
      <c r="E28" s="129"/>
      <c r="F28" s="129"/>
      <c r="G28" s="129"/>
      <c r="H28" s="129"/>
      <c r="I28" s="129"/>
    </row>
    <row r="29" spans="1:36" ht="14.25">
      <c r="A29" s="1770"/>
      <c r="B29" s="142"/>
      <c r="C29" s="142"/>
      <c r="D29" s="143"/>
      <c r="E29" s="129"/>
      <c r="F29" s="129"/>
      <c r="G29" s="129"/>
      <c r="H29" s="129"/>
      <c r="I29" s="129"/>
    </row>
    <row r="30" spans="1:36" ht="15" thickBot="1">
      <c r="A30" s="142" t="s">
        <v>1304</v>
      </c>
      <c r="B30" s="142"/>
      <c r="C30" s="142"/>
      <c r="D30" s="142"/>
      <c r="E30" s="2302" t="s">
        <v>2132</v>
      </c>
      <c r="F30" s="129"/>
      <c r="G30" s="129"/>
      <c r="H30" s="129"/>
      <c r="I30" s="129"/>
    </row>
    <row r="31" spans="1:36" s="2308" customFormat="1" ht="26.45" customHeight="1" thickTop="1" thickBot="1">
      <c r="A31" s="2303"/>
      <c r="B31" s="2304"/>
      <c r="C31" s="2304"/>
      <c r="D31" s="2304"/>
      <c r="E31" s="2304"/>
      <c r="F31" s="2304"/>
      <c r="G31" s="2304"/>
      <c r="H31" s="2304"/>
      <c r="I31" s="2305" t="s">
        <v>2133</v>
      </c>
      <c r="J31" s="2688"/>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1305</v>
      </c>
      <c r="B32" s="1773"/>
      <c r="C32" s="144">
        <f ca="1">IF(D32="总价",G19-C24,G20-C25)</f>
        <v>33055</v>
      </c>
      <c r="D32" s="1774" t="s">
        <v>3445</v>
      </c>
      <c r="E32" s="129"/>
      <c r="F32" s="129"/>
      <c r="G32" s="129"/>
      <c r="H32" s="129"/>
      <c r="I32" s="129"/>
    </row>
    <row r="33" spans="1:15" ht="15">
      <c r="A33" s="785" t="s">
        <v>1306</v>
      </c>
      <c r="B33" s="1775"/>
      <c r="C33" s="1776" t="s">
        <v>3483</v>
      </c>
      <c r="D33" s="1777"/>
      <c r="E33" s="1778" t="s">
        <v>1307</v>
      </c>
      <c r="F33" s="1779" t="str">
        <f>IF(D32="楼面单价","取值（单价）","取值（总价）")</f>
        <v>取值（单价）</v>
      </c>
      <c r="G33" s="129"/>
      <c r="H33" s="129"/>
      <c r="I33" s="129"/>
    </row>
    <row r="34" spans="1:15" ht="15">
      <c r="A34" s="1780"/>
      <c r="B34" s="1781" t="s">
        <v>1308</v>
      </c>
      <c r="C34" s="148">
        <f>IF(C33="自定义",F34,C32-C35)</f>
        <v>0</v>
      </c>
      <c r="D34" s="860">
        <f ca="1">IF(C33="自定义",ROUND(C34/C32,3),IF(C33="收益比率",SUMIF(INDIRECT("'"&amp;D33&amp;"'"&amp;"!b:b"),"土地收益比率",INDIRECT("'"&amp;D33&amp;"'"&amp;"!c:c")),SUMIF(INDIRECT("'"&amp;D33&amp;"'"&amp;"!b:b"),"土地成本比率",INDIRECT("'"&amp;D33&amp;"'"&amp;"!c:c"))))</f>
        <v>0</v>
      </c>
      <c r="E34" s="1782" t="s">
        <v>1309</v>
      </c>
      <c r="F34" s="1329"/>
      <c r="G34" s="129"/>
      <c r="H34" s="129"/>
      <c r="I34" s="129"/>
    </row>
    <row r="35" spans="1:15" ht="15.75" thickBot="1">
      <c r="A35" s="1783"/>
      <c r="B35" s="1784" t="s">
        <v>1310</v>
      </c>
      <c r="C35" s="1169">
        <f>IF(C33="自定义",F35,ROUND(C32*D35,0))</f>
        <v>0</v>
      </c>
      <c r="D35" s="1170">
        <f ca="1">IF(C33="自定义",ROUND(C35/C32,3),IF(C33="收益比率",SUMIF(INDIRECT("'"&amp;D33&amp;"'"&amp;"!b:b"),"建筑物收益比率",INDIRECT("'"&amp;D33&amp;"'"&amp;"!c:c")),SUMIF(INDIRECT("'"&amp;D33&amp;"'"&amp;"!b:b"),"建筑物成本比率",INDIRECT("'"&amp;D33&amp;"'"&amp;"!c:c"))))</f>
        <v>0</v>
      </c>
      <c r="E35" s="1785" t="s">
        <v>1311</v>
      </c>
      <c r="F35" s="154"/>
      <c r="G35" s="129"/>
      <c r="H35" s="129"/>
      <c r="I35" s="129"/>
    </row>
    <row r="36" spans="1:15" ht="15.75" thickBot="1">
      <c r="A36" s="3649" t="s">
        <v>1312</v>
      </c>
      <c r="B36" s="1786" t="s">
        <v>1313</v>
      </c>
      <c r="C36" s="145"/>
      <c r="D36" s="1787"/>
      <c r="E36" s="1788"/>
      <c r="F36" s="1789"/>
      <c r="G36" s="129"/>
      <c r="H36" s="129"/>
      <c r="I36" s="129"/>
    </row>
    <row r="37" spans="1:15" ht="15.75" thickBot="1">
      <c r="A37" s="3650"/>
      <c r="B37" s="1673" t="s">
        <v>1314</v>
      </c>
      <c r="C37" s="147"/>
      <c r="D37" s="1138"/>
      <c r="E37" s="1138"/>
      <c r="F37" s="1789"/>
      <c r="G37" s="129"/>
      <c r="H37" s="129"/>
      <c r="I37" s="129"/>
    </row>
    <row r="38" spans="1:15" ht="15.75" thickBot="1">
      <c r="A38" s="3651"/>
      <c r="B38" s="1790" t="s">
        <v>1315</v>
      </c>
      <c r="C38" s="673"/>
      <c r="D38" s="1791" t="s">
        <v>1316</v>
      </c>
      <c r="E38" s="1138"/>
      <c r="F38" s="1789"/>
      <c r="G38" s="129"/>
      <c r="H38" s="129"/>
      <c r="I38" s="129"/>
    </row>
    <row r="39" spans="1:15" ht="15">
      <c r="A39" s="1763" t="s">
        <v>1317</v>
      </c>
      <c r="B39" s="1792" t="s">
        <v>1318</v>
      </c>
      <c r="C39" s="1793" t="s">
        <v>1319</v>
      </c>
      <c r="D39" s="1793" t="s">
        <v>1320</v>
      </c>
      <c r="E39" s="1794" t="s">
        <v>1321</v>
      </c>
      <c r="F39" s="1789"/>
      <c r="G39" s="129"/>
      <c r="H39" s="129"/>
      <c r="I39" s="129"/>
    </row>
    <row r="40" spans="1:15" ht="14.25">
      <c r="A40" s="1795" t="s">
        <v>1322</v>
      </c>
      <c r="B40" s="149"/>
      <c r="C40" s="150"/>
      <c r="D40" s="150"/>
      <c r="E40" s="151"/>
      <c r="F40" s="1789"/>
      <c r="G40" s="129"/>
      <c r="H40" s="129"/>
      <c r="I40" s="129"/>
    </row>
    <row r="41" spans="1:15" ht="14.25">
      <c r="A41" s="1795" t="s">
        <v>1323</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669" t="s">
        <v>1326</v>
      </c>
      <c r="B45" s="3670"/>
      <c r="C45" s="3671"/>
      <c r="D45" s="155">
        <f ca="1">ROUND(H101*F45,0)</f>
        <v>403</v>
      </c>
      <c r="E45" s="156" t="s">
        <v>1327</v>
      </c>
      <c r="F45" s="157">
        <v>1</v>
      </c>
      <c r="G45" s="158" t="s">
        <v>1328</v>
      </c>
      <c r="H45" s="129"/>
      <c r="I45" s="129"/>
      <c r="J45" s="3589" t="s">
        <v>1329</v>
      </c>
      <c r="K45" s="3589"/>
      <c r="L45" s="3589"/>
      <c r="M45" s="3589"/>
      <c r="N45" s="3589"/>
      <c r="O45" s="3589"/>
    </row>
    <row r="46" spans="1:15" ht="14.25" customHeight="1">
      <c r="A46" s="3666" t="s">
        <v>1330</v>
      </c>
      <c r="B46" s="3667"/>
      <c r="C46" s="3667"/>
      <c r="D46" s="3667"/>
      <c r="E46" s="3667"/>
      <c r="F46" s="3667"/>
      <c r="G46" s="3668"/>
      <c r="H46" s="1805"/>
      <c r="I46" s="159"/>
      <c r="J46" s="2522">
        <v>1</v>
      </c>
      <c r="K46" s="3590" t="s">
        <v>1331</v>
      </c>
      <c r="L46" s="3590"/>
      <c r="M46" s="3591"/>
      <c r="N46" s="3591"/>
      <c r="O46" s="3591"/>
    </row>
    <row r="47" spans="1:15" ht="12" customHeight="1">
      <c r="A47" s="160" t="s">
        <v>1332</v>
      </c>
      <c r="B47" s="161"/>
      <c r="C47" s="162"/>
      <c r="D47" s="1086" t="s">
        <v>1333</v>
      </c>
      <c r="E47" s="302" t="s">
        <v>1334</v>
      </c>
      <c r="F47" s="163" t="s">
        <v>1335</v>
      </c>
      <c r="G47" s="2545" t="s">
        <v>1336</v>
      </c>
      <c r="H47" s="2546"/>
      <c r="I47" s="159"/>
      <c r="J47" s="2522">
        <v>2</v>
      </c>
      <c r="K47" s="3590" t="s">
        <v>1337</v>
      </c>
      <c r="L47" s="3590"/>
      <c r="M47" s="3592">
        <f>'数据-取费表'!B2</f>
        <v>45805</v>
      </c>
      <c r="N47" s="3592"/>
      <c r="O47" s="3592"/>
    </row>
    <row r="48" spans="1:15" ht="25.5">
      <c r="A48" s="3652" t="s">
        <v>1338</v>
      </c>
      <c r="B48" s="3653"/>
      <c r="C48" s="3653"/>
      <c r="D48" s="2323">
        <f ca="1">IF(H48="情况1",0,IF(H48="情况2",D52,IF(H48="情况3",D53,IF(H48="情况4",D54))))</f>
        <v>0</v>
      </c>
      <c r="E48" s="2333" t="str">
        <f>IF(H48="情况4","(销售额-原购置价)×税（费）率","销售额×税（费）率")</f>
        <v>(销售额-原购置价)×税（费）率</v>
      </c>
      <c r="F48" s="2547">
        <f>IF(H48="情况1","免征",'数据-取费表'!B41)</f>
        <v>5.6000000000000001E-2</v>
      </c>
      <c r="G48" s="2548" t="s">
        <v>1339</v>
      </c>
      <c r="H48" s="2549" t="s">
        <v>3496</v>
      </c>
      <c r="I48" s="1805"/>
      <c r="J48" s="2522">
        <v>3</v>
      </c>
      <c r="K48" s="3590" t="s">
        <v>1340</v>
      </c>
      <c r="L48" s="3590"/>
      <c r="M48" s="3593">
        <f ca="1">H101</f>
        <v>403</v>
      </c>
      <c r="N48" s="3593"/>
      <c r="O48" s="3593"/>
    </row>
    <row r="49" spans="1:35" ht="25.5" customHeight="1">
      <c r="A49" s="2332" t="s">
        <v>1341</v>
      </c>
      <c r="B49" s="3638" t="s">
        <v>1342</v>
      </c>
      <c r="C49" s="3638"/>
      <c r="D49" s="1589">
        <v>0</v>
      </c>
      <c r="E49" s="324" t="s">
        <v>1343</v>
      </c>
      <c r="F49" s="2423" t="s">
        <v>28</v>
      </c>
      <c r="G49" s="3621"/>
      <c r="H49" s="2309" t="s">
        <v>2134</v>
      </c>
      <c r="I49" s="2310"/>
      <c r="J49" s="2522">
        <v>4</v>
      </c>
      <c r="K49" s="3590" t="str">
        <f>IF(项目基本情况!E8="房地产抵押价值","房地产抵押价值","抵押担保权已注销时的房地产抵押价值")</f>
        <v>房地产抵押价值</v>
      </c>
      <c r="L49" s="3590"/>
      <c r="M49" s="3593">
        <f ca="1">IF(项目基本情况!E8="房地产抵押价值",H107,H109)</f>
        <v>403</v>
      </c>
      <c r="N49" s="3593"/>
      <c r="O49" s="3593"/>
    </row>
    <row r="50" spans="1:35" ht="25.5" customHeight="1">
      <c r="A50" s="2550"/>
      <c r="B50" s="3638" t="s">
        <v>1344</v>
      </c>
      <c r="C50" s="3638"/>
      <c r="D50" s="2551"/>
      <c r="E50" s="332"/>
      <c r="F50" s="2423"/>
      <c r="G50" s="3622"/>
      <c r="H50" s="2311" t="s">
        <v>2135</v>
      </c>
      <c r="I50" s="2310"/>
      <c r="J50" s="3589" t="s">
        <v>1345</v>
      </c>
      <c r="K50" s="3589"/>
      <c r="L50" s="3589"/>
      <c r="M50" s="3589"/>
      <c r="N50" s="3589"/>
      <c r="O50" s="3589"/>
    </row>
    <row r="51" spans="1:35" ht="20.45" customHeight="1">
      <c r="A51" s="2552"/>
      <c r="B51" s="3638" t="s">
        <v>1346</v>
      </c>
      <c r="C51" s="3638"/>
      <c r="D51" s="1086"/>
      <c r="E51" s="327"/>
      <c r="F51" s="2423"/>
      <c r="G51" s="3623"/>
      <c r="H51" s="2311" t="s">
        <v>2136</v>
      </c>
      <c r="I51" s="2310"/>
      <c r="J51" s="2523" t="s">
        <v>1347</v>
      </c>
      <c r="K51" s="3590" t="s">
        <v>1348</v>
      </c>
      <c r="L51" s="3590"/>
      <c r="M51" s="2523" t="s">
        <v>1349</v>
      </c>
      <c r="N51" s="2523" t="s">
        <v>1350</v>
      </c>
      <c r="O51" s="2523" t="s">
        <v>1351</v>
      </c>
    </row>
    <row r="52" spans="1:35" ht="24" customHeight="1">
      <c r="A52" s="2334" t="s">
        <v>1352</v>
      </c>
      <c r="B52" s="3638" t="s">
        <v>1353</v>
      </c>
      <c r="C52" s="3638"/>
      <c r="D52" s="1086">
        <f ca="1">ROUND(D45*'数据-取费表'!B41/(1+'数据-取费表'!C42),0)</f>
        <v>21</v>
      </c>
      <c r="E52" s="2333" t="s">
        <v>1354</v>
      </c>
      <c r="F52" s="2553">
        <f>'数据-取费表'!B41</f>
        <v>5.6000000000000001E-2</v>
      </c>
      <c r="G52" s="2554"/>
      <c r="H52" s="2543"/>
      <c r="I52" s="1806"/>
      <c r="J52" s="2522">
        <v>1</v>
      </c>
      <c r="K52" s="3615" t="s">
        <v>1355</v>
      </c>
      <c r="L52" s="3615"/>
      <c r="M52" s="2524">
        <f ca="1">D48</f>
        <v>0</v>
      </c>
      <c r="N52" s="2522" t="str">
        <f>E48</f>
        <v>(销售额-原购置价)×税（费）率</v>
      </c>
      <c r="O52" s="2525">
        <f>F48</f>
        <v>5.6000000000000001E-2</v>
      </c>
    </row>
    <row r="53" spans="1:35" ht="12" customHeight="1">
      <c r="A53" s="2334" t="s">
        <v>1356</v>
      </c>
      <c r="B53" s="3639" t="s">
        <v>2291</v>
      </c>
      <c r="C53" s="3640"/>
      <c r="D53" s="1086">
        <f ca="1">ROUND(D45*'数据-取费表'!B41/(1+'数据-取费表'!C42),0)</f>
        <v>21</v>
      </c>
      <c r="E53" s="2333" t="s">
        <v>1354</v>
      </c>
      <c r="F53" s="2553">
        <f>'数据-取费表'!B41</f>
        <v>5.6000000000000001E-2</v>
      </c>
      <c r="G53" s="2554"/>
      <c r="H53" s="2543"/>
      <c r="I53" s="1806"/>
      <c r="J53" s="2522">
        <v>2</v>
      </c>
      <c r="K53" s="3615" t="s">
        <v>1357</v>
      </c>
      <c r="L53" s="3615"/>
      <c r="M53" s="2524">
        <f t="shared" ref="M53:O54" ca="1" si="0">D55</f>
        <v>0</v>
      </c>
      <c r="N53" s="2522" t="str">
        <f t="shared" si="0"/>
        <v>销售额×税（费）率</v>
      </c>
      <c r="O53" s="2525">
        <f t="shared" si="0"/>
        <v>5.0000000000000001E-4</v>
      </c>
    </row>
    <row r="54" spans="1:35" ht="12" customHeight="1">
      <c r="A54" s="2334" t="s">
        <v>1358</v>
      </c>
      <c r="B54" s="3639" t="s">
        <v>2292</v>
      </c>
      <c r="C54" s="3640"/>
      <c r="D54" s="1086">
        <f ca="1">C68</f>
        <v>0</v>
      </c>
      <c r="E54" s="327" t="s">
        <v>1359</v>
      </c>
      <c r="F54" s="2553">
        <f>'数据-取费表'!B41</f>
        <v>5.6000000000000001E-2</v>
      </c>
      <c r="G54" s="2554"/>
      <c r="H54" s="2555"/>
      <c r="I54" s="1806"/>
      <c r="J54" s="2522">
        <v>3</v>
      </c>
      <c r="K54" s="3615" t="s">
        <v>1360</v>
      </c>
      <c r="L54" s="3615"/>
      <c r="M54" s="2524">
        <f t="shared" ca="1" si="0"/>
        <v>0</v>
      </c>
      <c r="N54" s="2522" t="str">
        <f t="shared" si="0"/>
        <v>增值额×税（费）率</v>
      </c>
      <c r="O54" s="2526" t="str">
        <f t="shared" si="0"/>
        <v>——</v>
      </c>
    </row>
    <row r="55" spans="1:35" ht="24" customHeight="1">
      <c r="A55" s="3675" t="s">
        <v>1361</v>
      </c>
      <c r="B55" s="3653"/>
      <c r="C55" s="3653"/>
      <c r="D55" s="2323">
        <f ca="1">IF(H55="个人住宅",0,ROUND(D45*I55,0))</f>
        <v>0</v>
      </c>
      <c r="E55" s="2333" t="s">
        <v>1362</v>
      </c>
      <c r="F55" s="2553">
        <f>IF(H55="正常",I55,"免征")</f>
        <v>5.0000000000000001E-4</v>
      </c>
      <c r="G55" s="2554"/>
      <c r="H55" s="2549" t="s">
        <v>3452</v>
      </c>
      <c r="I55" s="165">
        <f>'数据-取费表'!B49</f>
        <v>5.0000000000000001E-4</v>
      </c>
      <c r="J55" s="2522" t="str">
        <f>IF(H59="非个人房产","",4)</f>
        <v/>
      </c>
      <c r="K55" s="3615" t="str">
        <f>IF(H59="非个人房产","——","个人所得税")</f>
        <v>——</v>
      </c>
      <c r="L55" s="3615"/>
      <c r="M55" s="2527" t="str">
        <f>D59</f>
        <v>——</v>
      </c>
      <c r="N55" s="2039" t="str">
        <f>E59</f>
        <v>——</v>
      </c>
      <c r="O55" s="2528" t="str">
        <f>F59</f>
        <v>——</v>
      </c>
    </row>
    <row r="56" spans="1:35" ht="24.75">
      <c r="A56" s="3675" t="s">
        <v>1363</v>
      </c>
      <c r="B56" s="3653"/>
      <c r="C56" s="3653"/>
      <c r="D56" s="2323">
        <f ca="1">IF(H56="个人住宅",D57,D58)</f>
        <v>0</v>
      </c>
      <c r="E56" s="2333" t="s">
        <v>1364</v>
      </c>
      <c r="F56" s="2553" t="str">
        <f>IF(H56="正常",F58,"免征")</f>
        <v>——</v>
      </c>
      <c r="G56" s="2556" t="s">
        <v>1365</v>
      </c>
      <c r="H56" s="2557" t="s">
        <v>3452</v>
      </c>
      <c r="I56" s="1807"/>
      <c r="J56" s="2522" t="str">
        <f>IF(项目基本情况!K6="上海银行",IF(J55="",4,J55+1),"")</f>
        <v/>
      </c>
      <c r="K56" s="3596" t="str">
        <f>IF(项目基本情况!K6="上海银行","其他处置费用","")</f>
        <v/>
      </c>
      <c r="L56" s="3597"/>
      <c r="M56" s="2524" t="str">
        <f>IF(项目基本情况!K6="上海银行",M69,"")</f>
        <v/>
      </c>
      <c r="N56" s="3596" t="str">
        <f>IF(项目基本情况!K6="上海银行","包含处置中涉及的律师、诉讼、拍卖、评估等费用","")</f>
        <v/>
      </c>
      <c r="O56" s="3599"/>
    </row>
    <row r="57" spans="1:35" ht="12.75">
      <c r="A57" s="2334" t="s">
        <v>1341</v>
      </c>
      <c r="B57" s="3639" t="s">
        <v>1366</v>
      </c>
      <c r="C57" s="3640"/>
      <c r="D57" s="1589">
        <v>0</v>
      </c>
      <c r="E57" s="324" t="s">
        <v>1343</v>
      </c>
      <c r="F57" s="302"/>
      <c r="G57" s="2554"/>
      <c r="H57" s="2558"/>
      <c r="I57" s="1807"/>
      <c r="J57" s="3615">
        <f>IF(AND(J55="",J56=""),4,IF(项目基本情况!K6="上海银行",'结果表-1层'!J56+1,'结果表-1层'!J55+1))</f>
        <v>4</v>
      </c>
      <c r="K57" s="3615" t="s">
        <v>1367</v>
      </c>
      <c r="L57" s="2529" t="s">
        <v>1368</v>
      </c>
      <c r="M57" s="2530"/>
      <c r="N57" s="2531">
        <f ca="1">SUMIF(M52:M56,"&lt;9e307")</f>
        <v>0</v>
      </c>
      <c r="O57" s="2532"/>
      <c r="P57" s="2689">
        <f ca="1">N57/M49</f>
        <v>0</v>
      </c>
    </row>
    <row r="58" spans="1:35" ht="24.75">
      <c r="A58" s="2334" t="s">
        <v>1352</v>
      </c>
      <c r="B58" s="3639" t="s">
        <v>1369</v>
      </c>
      <c r="C58" s="3638"/>
      <c r="D58" s="2323">
        <f ca="1">IF(H58="转让取得",C81,C97)</f>
        <v>0</v>
      </c>
      <c r="E58" s="2333" t="s">
        <v>1364</v>
      </c>
      <c r="F58" s="302" t="s">
        <v>28</v>
      </c>
      <c r="G58" s="2554"/>
      <c r="H58" s="2557" t="s">
        <v>3497</v>
      </c>
      <c r="I58" s="1807"/>
      <c r="J58" s="3615"/>
      <c r="K58" s="3615"/>
      <c r="L58" s="2529" t="s">
        <v>1370</v>
      </c>
      <c r="M58" s="2533"/>
      <c r="N58" s="2534" t="str">
        <f ca="1">NUMBERSTRING(INT(N57*10000),2)&amp;"元整"</f>
        <v>零元整</v>
      </c>
      <c r="O58" s="2535"/>
    </row>
    <row r="59" spans="1:35" ht="24.75" thickBot="1">
      <c r="A59" s="3619" t="s">
        <v>1371</v>
      </c>
      <c r="B59" s="3620"/>
      <c r="C59" s="3620"/>
      <c r="D59" s="2559" t="str">
        <f>IF(H59="非个人房产","——",IF(H59="个人住宅（满五唯一有凭证）",0,IF(H59="个人其他（无凭证）",ROUND(D45*F59,0),ROUND(C67*F59,0))))</f>
        <v>——</v>
      </c>
      <c r="E59" s="2560" t="str">
        <f>IF(H59="非个人房产","——",IF(H59="个人其他（无凭证）","销售额×税（费）率",IF(H59="个人住宅（满五唯一有凭证）","免征","差额计税")))</f>
        <v>——</v>
      </c>
      <c r="F59" s="2561" t="str">
        <f>IF(OR(H59="非个人房产",H59="个人住宅（满五唯一有凭证）"),"——",IF(H59="个人其他（有凭证）",20%,1%))</f>
        <v>——</v>
      </c>
      <c r="G59" s="2562" t="s">
        <v>1365</v>
      </c>
      <c r="H59" s="2313" t="s">
        <v>3498</v>
      </c>
      <c r="I59" s="2312" t="s">
        <v>2137</v>
      </c>
      <c r="J59" s="3617">
        <f>J57+1</f>
        <v>5</v>
      </c>
      <c r="K59" s="3615" t="s">
        <v>1372</v>
      </c>
      <c r="L59" s="2522" t="s">
        <v>1368</v>
      </c>
      <c r="M59" s="2536"/>
      <c r="N59" s="2537">
        <f ca="1">M49-N57</f>
        <v>403</v>
      </c>
      <c r="O59" s="2538"/>
    </row>
    <row r="60" spans="1:35" ht="12" customHeight="1">
      <c r="A60" s="1808"/>
      <c r="B60" s="1746"/>
      <c r="C60" s="1746"/>
      <c r="D60" s="1746"/>
      <c r="E60" s="1577"/>
      <c r="F60" s="1807"/>
      <c r="G60" s="1807"/>
      <c r="H60" s="1809"/>
      <c r="I60" s="129"/>
      <c r="J60" s="3618"/>
      <c r="K60" s="3615"/>
      <c r="L60" s="2529" t="s">
        <v>1370</v>
      </c>
      <c r="M60" s="2533"/>
      <c r="N60" s="2534" t="str">
        <f ca="1">NUMBERSTRING(INT(N59*10000),2)&amp;"元整"</f>
        <v>肆佰零叁万元整</v>
      </c>
      <c r="O60" s="2535"/>
    </row>
    <row r="61" spans="1:35" ht="13.5" thickBot="1">
      <c r="A61" s="3674" t="s">
        <v>1373</v>
      </c>
      <c r="B61" s="3674"/>
      <c r="C61" s="3674"/>
      <c r="D61" s="3674"/>
      <c r="E61" s="3674"/>
      <c r="F61" s="1807"/>
      <c r="G61" s="1807"/>
      <c r="H61" s="1809"/>
      <c r="I61" s="129"/>
      <c r="J61" s="2522">
        <f>J59+1</f>
        <v>6</v>
      </c>
      <c r="K61" s="3615" t="s">
        <v>1374</v>
      </c>
      <c r="L61" s="3615"/>
      <c r="M61" s="2539"/>
      <c r="N61" s="2540">
        <f ca="1">ROUND(N59*10000/'数据-汇总表'!E3,0)</f>
        <v>7222</v>
      </c>
      <c r="O61" s="2541"/>
    </row>
    <row r="62" spans="1:35" ht="12.75">
      <c r="A62" s="3634" t="s">
        <v>1375</v>
      </c>
      <c r="B62" s="3635"/>
      <c r="C62" s="2020"/>
      <c r="D62" s="2020" t="s">
        <v>1376</v>
      </c>
      <c r="E62" s="166" t="s">
        <v>1377</v>
      </c>
      <c r="F62" s="1807"/>
      <c r="G62" s="1807"/>
      <c r="H62" s="1809"/>
      <c r="I62" s="129"/>
    </row>
    <row r="63" spans="1:35" ht="12.75">
      <c r="A63" s="173" t="s">
        <v>330</v>
      </c>
      <c r="B63" s="167" t="s">
        <v>1378</v>
      </c>
      <c r="C63" s="2563">
        <f ca="1">ROUND((C64+C65)/(1+'数据-取费表'!C42),0)</f>
        <v>384</v>
      </c>
      <c r="D63" s="167"/>
      <c r="E63" s="168"/>
      <c r="F63" s="1807"/>
      <c r="G63" s="1807"/>
      <c r="H63" s="1809"/>
      <c r="I63" s="129"/>
      <c r="J63" s="3598" t="s">
        <v>1379</v>
      </c>
      <c r="K63" s="1331" t="s">
        <v>1380</v>
      </c>
      <c r="L63" s="1331">
        <f ca="1">IF(M49&gt;10000,M49*0.5%,IF(AND(M49&gt;1000,M49&lt;=10000),M49*1%,IF(AND(M49&gt;100,M49&lt;=1000),M49*3%,IF(AND(M49&gt;10,M49&lt;=100),M49*5%,M49*8%))))</f>
        <v>12.09</v>
      </c>
      <c r="M63" s="302">
        <f ca="1">ROUND(L63,1)</f>
        <v>12.1</v>
      </c>
      <c r="N63" s="2542"/>
      <c r="Z63" s="1751"/>
      <c r="AI63" s="1752"/>
    </row>
    <row r="64" spans="1:35" ht="14.25" customHeight="1">
      <c r="A64" s="169" t="s">
        <v>325</v>
      </c>
      <c r="B64" s="170" t="s">
        <v>1381</v>
      </c>
      <c r="C64" s="2564">
        <f ca="1">D45</f>
        <v>403</v>
      </c>
      <c r="D64" s="170" t="s">
        <v>26</v>
      </c>
      <c r="E64" s="172"/>
      <c r="F64" s="1807"/>
      <c r="G64" s="1807"/>
      <c r="H64" s="1809"/>
      <c r="I64" s="129"/>
      <c r="J64" s="3598"/>
      <c r="K64" s="1331" t="s">
        <v>1382</v>
      </c>
      <c r="L64" s="1331">
        <f ca="1">IF(M49&gt;2000,M49*0.5%,IF(AND(M49&gt;1000,M49&lt;=2000),M49*0.6%,IF(AND(M49&gt;500,M49&lt;=1000),M49*0.7%,IF(AND(M49&gt;200,M49&lt;=500),M49*0.8%,IF(AND(M49&gt;100,M49&lt;=200),M49*0.9%,IF(AND(M49&gt;50,M49&lt;=100),M49*1%,IF(AND(M49&gt;20,M49&lt;=50),M49*1.5%,IF(AND(M49&gt;10,M49&lt;=20),M49*2%,IF(AND(M49&gt;1,M49&lt;=10),M49*2.5%)))))))))</f>
        <v>3.2240000000000002</v>
      </c>
      <c r="M64" s="302">
        <f t="shared" ref="M64:M65" ca="1" si="1">ROUND(L64,1)</f>
        <v>3.2</v>
      </c>
      <c r="N64" s="2543" t="s">
        <v>1383</v>
      </c>
      <c r="Z64" s="1751"/>
      <c r="AI64" s="1752"/>
    </row>
    <row r="65" spans="1:35" ht="14.25" customHeight="1">
      <c r="A65" s="169" t="s">
        <v>326</v>
      </c>
      <c r="B65" s="170" t="s">
        <v>1384</v>
      </c>
      <c r="C65" s="2565"/>
      <c r="D65" s="170"/>
      <c r="E65" s="172"/>
      <c r="F65" s="1807"/>
      <c r="G65" s="1807"/>
      <c r="H65" s="1809"/>
      <c r="I65" s="129"/>
      <c r="J65" s="3598"/>
      <c r="K65" s="1331" t="s">
        <v>1385</v>
      </c>
      <c r="L65" s="1331">
        <f ca="1">IF(M49&gt;1000,M49*0.1%,IF(AND(M49&gt;500,M49&lt;=1000),M49*0.5%,IF(AND(M49&gt;50,M49&lt;=500),M49*1%,IF(AND(M49&gt;1,M49&lt;=50),M49*1.5%))))</f>
        <v>4.03</v>
      </c>
      <c r="M65" s="302">
        <f t="shared" ca="1" si="1"/>
        <v>4</v>
      </c>
      <c r="N65" s="2543" t="s">
        <v>1383</v>
      </c>
      <c r="Z65" s="1751"/>
      <c r="AI65" s="1752"/>
    </row>
    <row r="66" spans="1:35" ht="14.25" customHeight="1">
      <c r="A66" s="173" t="s">
        <v>327</v>
      </c>
      <c r="B66" s="174" t="s">
        <v>1386</v>
      </c>
      <c r="C66" s="2566">
        <f>ROUND(C75/1.05,3)</f>
        <v>779.49400000000003</v>
      </c>
      <c r="D66" s="174" t="s">
        <v>26</v>
      </c>
      <c r="E66" s="1337" t="s">
        <v>671</v>
      </c>
      <c r="F66" s="1807"/>
      <c r="G66" s="1807"/>
      <c r="H66" s="1809"/>
      <c r="I66" s="129"/>
      <c r="J66" s="3598"/>
      <c r="K66" s="1331" t="s">
        <v>1387</v>
      </c>
      <c r="L66" s="1331">
        <f ca="1">M49*0.5%</f>
        <v>2.0150000000000001</v>
      </c>
      <c r="M66" s="302">
        <f ca="1">IF(L66&gt;0.5,0.5,ROUND(L66,0))</f>
        <v>0.5</v>
      </c>
      <c r="N66" s="2543" t="s">
        <v>1388</v>
      </c>
      <c r="Z66" s="1751"/>
      <c r="AI66" s="1752"/>
    </row>
    <row r="67" spans="1:35" ht="14.25" customHeight="1">
      <c r="A67" s="173" t="s">
        <v>328</v>
      </c>
      <c r="B67" s="174" t="s">
        <v>1389</v>
      </c>
      <c r="C67" s="2567">
        <f ca="1">C63-C66</f>
        <v>-395.49400000000003</v>
      </c>
      <c r="D67" s="170" t="s">
        <v>26</v>
      </c>
      <c r="E67" s="172"/>
      <c r="F67" s="1807"/>
      <c r="G67" s="1807"/>
      <c r="H67" s="1809"/>
      <c r="I67" s="129"/>
      <c r="J67" s="3598"/>
      <c r="K67" s="1331" t="s">
        <v>1390</v>
      </c>
      <c r="L67" s="1331">
        <f ca="1">IF(M49&gt;=10000,(8.25+(M49-10000)*0.01%),IF(AND(M49&gt;=8000,M49&lt;10000),(7.85+(M49-8000)*0.02%),IF(AND(M49&gt;=5000,M49&lt;8000),(6.65+(M49-5000)*0.04%),IF(AND(M49&gt;=2000,M49&lt;5000),(4.25+(PM49-2000)*0.08%),IF(AND(M49&gt;=1000,M49&lt;2000),(2.75+(M49-1000)*0.15%),IF(AND(M49&gt;=100,M49&lt;1000),(0.5+(M49-100)*0.25%),IF(AND(M49&gt;0,M49&lt;100),M49*0.5%)))))))</f>
        <v>1.2575000000000001</v>
      </c>
      <c r="M67" s="302">
        <f ca="1">ROUND(L67*0.9,1)</f>
        <v>1.1000000000000001</v>
      </c>
      <c r="N67" s="2542"/>
      <c r="Z67" s="1751"/>
      <c r="AI67" s="1752"/>
    </row>
    <row r="68" spans="1:35" ht="14.25" customHeight="1" thickBot="1">
      <c r="A68" s="176" t="s">
        <v>329</v>
      </c>
      <c r="B68" s="177" t="s">
        <v>1391</v>
      </c>
      <c r="C68" s="2568">
        <f ca="1">IF(C67&lt;=0,0,ROUND(C67*D68,0))</f>
        <v>0</v>
      </c>
      <c r="D68" s="2569">
        <f>'数据-取费表'!B41</f>
        <v>5.6000000000000001E-2</v>
      </c>
      <c r="E68" s="178"/>
      <c r="F68" s="1807"/>
      <c r="G68" s="1807"/>
      <c r="H68" s="1809"/>
      <c r="I68" s="129"/>
      <c r="J68" s="3598"/>
      <c r="K68" s="1331" t="s">
        <v>1392</v>
      </c>
      <c r="L68" s="1331">
        <f ca="1">IF(M49&gt;10000,M49*0.5%,IF(AND(M49&gt;5000,M49&lt;=10000),M49*1%,IF(AND(M49&gt;1000,M49&lt;=5000),M49*2%,IF(AND(M49&gt;200,M49&lt;=1000),M49*3%,M49*5%))))</f>
        <v>12.09</v>
      </c>
      <c r="M68" s="302">
        <f ca="1">ROUND(L68,1)</f>
        <v>12.1</v>
      </c>
      <c r="N68" s="2542"/>
      <c r="Z68" s="1751"/>
      <c r="AI68" s="1752"/>
    </row>
    <row r="69" spans="1:35" s="1771" customFormat="1" ht="16.5" customHeight="1">
      <c r="A69" s="1810"/>
      <c r="B69" s="1811"/>
      <c r="C69" s="1812"/>
      <c r="D69" s="1813"/>
      <c r="E69" s="1814"/>
      <c r="F69" s="1577"/>
      <c r="G69" s="1577"/>
      <c r="H69" s="1576"/>
      <c r="I69" s="1746"/>
      <c r="J69" s="3598"/>
      <c r="K69" s="1331" t="s">
        <v>1393</v>
      </c>
      <c r="L69" s="1331"/>
      <c r="M69" s="302">
        <f ca="1">ROUND(SUM(M63:M68),0)</f>
        <v>33</v>
      </c>
      <c r="N69" s="2544">
        <f ca="1">M69/M49</f>
        <v>8.1885856079404462E-2</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42" t="s">
        <v>1394</v>
      </c>
      <c r="B70" s="3643"/>
      <c r="C70" s="3643"/>
      <c r="D70" s="3643"/>
      <c r="E70" s="3643"/>
      <c r="F70" s="3643"/>
      <c r="G70" s="3643"/>
      <c r="H70" s="3643"/>
      <c r="I70" s="1815"/>
      <c r="J70" s="2690"/>
      <c r="K70" s="2690"/>
      <c r="L70" s="2690"/>
      <c r="M70" s="2690"/>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634" t="s">
        <v>1375</v>
      </c>
      <c r="B71" s="3635"/>
      <c r="C71" s="2020"/>
      <c r="D71" s="2020" t="s">
        <v>1376</v>
      </c>
      <c r="E71" s="179" t="s">
        <v>1377</v>
      </c>
      <c r="F71" s="180"/>
      <c r="G71" s="180"/>
      <c r="H71" s="181"/>
      <c r="I71" s="1819"/>
      <c r="J71" s="2690"/>
      <c r="K71" s="2690"/>
      <c r="L71" s="2690"/>
      <c r="M71" s="2690"/>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1395</v>
      </c>
      <c r="C72" s="2567">
        <f ca="1">ROUND(D45/(1+'数据-取费表'!C42),0)</f>
        <v>384</v>
      </c>
      <c r="D72" s="170" t="s">
        <v>26</v>
      </c>
      <c r="E72" s="2330"/>
      <c r="F72" s="2329"/>
      <c r="G72" s="2329"/>
      <c r="H72" s="182"/>
      <c r="I72" s="1819"/>
      <c r="J72" s="2690"/>
      <c r="K72" s="2690"/>
      <c r="L72" s="2690"/>
      <c r="M72" s="2690"/>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1396</v>
      </c>
      <c r="C73" s="2567">
        <f ca="1">C74+C78</f>
        <v>805</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1397</v>
      </c>
      <c r="C74" s="170">
        <f>ROUND(IF(G77="2016年5月1日后购买",C75/(1+'数据-取费表'!C42)+C76+C77,C75+C76+C77),0)</f>
        <v>803</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1398</v>
      </c>
      <c r="C75" s="2570">
        <v>818.46900000000005</v>
      </c>
      <c r="D75" s="170" t="s">
        <v>26</v>
      </c>
      <c r="E75" s="184" t="s">
        <v>1399</v>
      </c>
      <c r="F75" s="2571" t="s">
        <v>3499</v>
      </c>
      <c r="G75" s="184" t="s">
        <v>1400</v>
      </c>
      <c r="H75" s="2572">
        <v>5</v>
      </c>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1401</v>
      </c>
      <c r="C76" s="170">
        <f>IF(F75="购房发票",ROUND(C75*H75*D76,0),0)</f>
        <v>0</v>
      </c>
      <c r="D76" s="2573">
        <v>0.05</v>
      </c>
      <c r="E76" s="3639" t="s">
        <v>1402</v>
      </c>
      <c r="F76" s="3638"/>
      <c r="G76" s="3638"/>
      <c r="H76" s="3641"/>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1403</v>
      </c>
      <c r="C77" s="170">
        <f>ROUND(IF(G77="个人住宅",0,IF(G77="2016年5月1日前购买",C75*D77,C75*D77/(1+'数据-取费表'!C42))),0)</f>
        <v>24</v>
      </c>
      <c r="D77" s="2574">
        <f>'数据-取费表'!B48+'数据-取费表'!B49</f>
        <v>3.0499999999999999E-2</v>
      </c>
      <c r="E77" s="2323" t="s">
        <v>1404</v>
      </c>
      <c r="F77" s="186"/>
      <c r="G77" s="1821" t="s">
        <v>3500</v>
      </c>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1405</v>
      </c>
      <c r="C78" s="2575">
        <f ca="1">ROUND(D45*D78/(1+'数据-取费表'!C42),0)</f>
        <v>2</v>
      </c>
      <c r="D78" s="2576">
        <f>'数据-取费表'!B43</f>
        <v>6.000000000000001E-3</v>
      </c>
      <c r="E78" s="3631" t="s">
        <v>1406</v>
      </c>
      <c r="F78" s="3632"/>
      <c r="G78" s="3632"/>
      <c r="H78" s="3633"/>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1407</v>
      </c>
      <c r="C79" s="2567">
        <f ca="1">C72-C73</f>
        <v>-421</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1408</v>
      </c>
      <c r="C80" s="2577">
        <f ca="1">IF(C79&lt;=0,0,C79/C73)</f>
        <v>0</v>
      </c>
      <c r="D80" s="170" t="s">
        <v>26</v>
      </c>
      <c r="E80" s="2323" t="str">
        <f ca="1">IF(C80&gt;=200%,"增值额超过扣除项目金额200%",IF(C80&gt;=100%,"增值额超过扣除项目金额100%，未超过200%",IF(C80&gt;=50%,"增值额超过扣除项目金额50%，未超过100%",IF(C80&lt;50%,"增值额未超过扣除项目金额50%"))))</f>
        <v>增值额未超过扣除项目金额50%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1409</v>
      </c>
      <c r="C81" s="2578">
        <f ca="1">ROUND(IF(C79&lt;=0,0,IF(C80&gt;=200%,C79*60%-C73*35%,IF(C80&gt;=100%,C79*50%-C73*15%,IF(C80&gt;=50%,C79*40%-C73*5%,IF(C80&lt;50%,C79*30%,0))))),0)</f>
        <v>0</v>
      </c>
      <c r="D81" s="2579"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42" t="s">
        <v>1410</v>
      </c>
      <c r="B83" s="3643"/>
      <c r="C83" s="3643"/>
      <c r="D83" s="3643"/>
      <c r="E83" s="3643"/>
      <c r="F83" s="3643"/>
      <c r="G83" s="3643"/>
      <c r="H83" s="3643"/>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634" t="s">
        <v>1375</v>
      </c>
      <c r="B84" s="3635"/>
      <c r="C84" s="2020"/>
      <c r="D84" s="2020" t="s">
        <v>1376</v>
      </c>
      <c r="E84" s="179" t="s">
        <v>1377</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1395</v>
      </c>
      <c r="C85" s="2567">
        <f ca="1">ROUND(D45/(1+'数据-取费表'!C42),0)</f>
        <v>384</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1396</v>
      </c>
      <c r="C86" s="2567">
        <f ca="1">IF(H88="仅含出让金",C87+C90+C91+C92+C93+C94,C87+C91+C92+C93+C94)</f>
        <v>2</v>
      </c>
      <c r="D86" s="2580"/>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1411</v>
      </c>
      <c r="C87" s="2575">
        <f>C88+C89</f>
        <v>0</v>
      </c>
      <c r="D87" s="2576"/>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1412</v>
      </c>
      <c r="C88" s="2581"/>
      <c r="D88" s="2576"/>
      <c r="E88" s="193" t="s">
        <v>1413</v>
      </c>
      <c r="F88" s="2326"/>
      <c r="G88" s="194" t="s">
        <v>1414</v>
      </c>
      <c r="H88" s="1823"/>
      <c r="I88" s="1820"/>
      <c r="J88" s="2520" t="s">
        <v>2288</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1403</v>
      </c>
      <c r="C89" s="2575">
        <f>ROUND(C88*D89,0)</f>
        <v>0</v>
      </c>
      <c r="D89" s="2576">
        <f>'数据-取费表'!B48+'数据-取费表'!B49</f>
        <v>3.0499999999999999E-2</v>
      </c>
      <c r="E89" s="193" t="s">
        <v>1415</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1416</v>
      </c>
      <c r="C90" s="2581"/>
      <c r="D90" s="2576"/>
      <c r="E90" s="193" t="str">
        <f>IF(H88="-","土地取得成本中已包含该笔费用"," ")</f>
        <v xml:space="preserve"> </v>
      </c>
      <c r="F90" s="2326"/>
      <c r="G90" s="3600" t="s">
        <v>2129</v>
      </c>
      <c r="H90" s="3601"/>
      <c r="I90" s="1820"/>
      <c r="J90" s="2520" t="s">
        <v>2289</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1417</v>
      </c>
      <c r="B91" s="170" t="s">
        <v>1418</v>
      </c>
      <c r="C91" s="2575">
        <f>IF(H91="——",成本法!C33,I91)</f>
        <v>0</v>
      </c>
      <c r="D91" s="2576"/>
      <c r="E91" s="3631" t="s">
        <v>1419</v>
      </c>
      <c r="F91" s="3632"/>
      <c r="G91" s="3632"/>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1420</v>
      </c>
      <c r="B92" s="170" t="s">
        <v>1421</v>
      </c>
      <c r="C92" s="2575">
        <f>ROUND((C87+C90+C91)*D92,0)</f>
        <v>0</v>
      </c>
      <c r="D92" s="2582"/>
      <c r="E92" s="3631" t="s">
        <v>1422</v>
      </c>
      <c r="F92" s="3632"/>
      <c r="G92" s="3632"/>
      <c r="H92" s="3633"/>
      <c r="I92" s="1820"/>
      <c r="J92" s="2521" t="s">
        <v>2290</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1423</v>
      </c>
      <c r="B93" s="170" t="s">
        <v>1405</v>
      </c>
      <c r="C93" s="2575">
        <f ca="1">ROUND(D45*D93/(1+'数据-取费表'!C42),0)</f>
        <v>2</v>
      </c>
      <c r="D93" s="2576">
        <f>'数据-取费表'!B43</f>
        <v>6.000000000000001E-3</v>
      </c>
      <c r="E93" s="3631" t="s">
        <v>1406</v>
      </c>
      <c r="F93" s="3632"/>
      <c r="G93" s="3632"/>
      <c r="H93" s="3633"/>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1424</v>
      </c>
      <c r="B94" s="170" t="s">
        <v>1425</v>
      </c>
      <c r="C94" s="2581">
        <f>ROUND((C87+C90+C91)*D94,0)</f>
        <v>0</v>
      </c>
      <c r="D94" s="2576">
        <v>0.2</v>
      </c>
      <c r="E94" s="3676" t="s">
        <v>1426</v>
      </c>
      <c r="F94" s="3677"/>
      <c r="G94" s="3677"/>
      <c r="H94" s="3678"/>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1407</v>
      </c>
      <c r="C95" s="2567">
        <f ca="1">ROUND(C85-C86,0)</f>
        <v>382</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1408</v>
      </c>
      <c r="C96" s="2577">
        <f ca="1">IF(C95&lt;=0,0,C95/C86)</f>
        <v>191</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1409</v>
      </c>
      <c r="C97" s="2578">
        <f ca="1">ROUND(IF(C95&lt;=0,0,IF(C96&gt;=200%,C95*60%-C86*35%,IF(C96&gt;=100%,C95*50%-C86*15%,IF(C96&gt;=50%,C95*40%-C86*5%,IF(C96&lt;50%,C95*30%,0))))),0)</f>
        <v>229</v>
      </c>
      <c r="D97" s="2579"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1427</v>
      </c>
      <c r="B99" s="1746"/>
      <c r="C99" s="1746"/>
      <c r="D99" s="1746"/>
      <c r="E99" s="1577"/>
      <c r="F99" s="1577"/>
      <c r="G99" s="1577"/>
      <c r="H99" s="1576"/>
      <c r="I99" s="129"/>
    </row>
    <row r="100" spans="1:35" ht="18.75" customHeight="1">
      <c r="A100" s="3581" t="s">
        <v>1428</v>
      </c>
      <c r="B100" s="3582"/>
      <c r="C100" s="3582"/>
      <c r="D100" s="3616"/>
      <c r="E100" s="3582" t="s">
        <v>1429</v>
      </c>
      <c r="F100" s="3582"/>
      <c r="G100" s="3582"/>
      <c r="H100" s="3616"/>
      <c r="I100" s="129"/>
    </row>
    <row r="101" spans="1:35" ht="18.75" customHeight="1">
      <c r="A101" s="3624" t="s">
        <v>1430</v>
      </c>
      <c r="B101" s="3625"/>
      <c r="C101" s="2584" t="str">
        <f>C4</f>
        <v>比较法-商业</v>
      </c>
      <c r="D101" s="2585" t="str">
        <f>D4</f>
        <v>收益法 (元)</v>
      </c>
      <c r="E101" s="3594" t="s">
        <v>1431</v>
      </c>
      <c r="F101" s="3595"/>
      <c r="G101" s="1826" t="s">
        <v>1432</v>
      </c>
      <c r="H101" s="2594">
        <f ca="1">H118</f>
        <v>403</v>
      </c>
      <c r="I101" s="129"/>
    </row>
    <row r="102" spans="1:35" ht="18.75" customHeight="1">
      <c r="A102" s="3626" t="s">
        <v>1433</v>
      </c>
      <c r="B102" s="2583" t="s">
        <v>1432</v>
      </c>
      <c r="C102" s="2584">
        <f ca="1">IF(D32="楼面单价",ROUND(C19,0),C19)</f>
        <v>456</v>
      </c>
      <c r="D102" s="2585">
        <f ca="1">IF(D32="楼面单价",ROUND(D19,0),D19)</f>
        <v>277</v>
      </c>
      <c r="E102" s="3594"/>
      <c r="F102" s="3595"/>
      <c r="G102" s="1826" t="s">
        <v>1434</v>
      </c>
      <c r="H102" s="2554">
        <f ca="1">I118</f>
        <v>33055</v>
      </c>
      <c r="I102" s="129"/>
    </row>
    <row r="103" spans="1:35" ht="42.75" customHeight="1">
      <c r="A103" s="3626"/>
      <c r="B103" s="2583" t="s">
        <v>1434</v>
      </c>
      <c r="C103" s="2586">
        <f ca="1">C20</f>
        <v>37467</v>
      </c>
      <c r="D103" s="2587">
        <f ca="1">D20</f>
        <v>22761</v>
      </c>
      <c r="E103" s="3587" t="s">
        <v>1435</v>
      </c>
      <c r="F103" s="3588"/>
      <c r="G103" s="1827" t="s">
        <v>1436</v>
      </c>
      <c r="H103" s="2594">
        <f>IF(D36="正常操作",H104+H105+H106,H105+H106)</f>
        <v>0</v>
      </c>
      <c r="I103" s="129"/>
    </row>
    <row r="104" spans="1:35" ht="18.75" customHeight="1">
      <c r="A104" s="3626" t="s">
        <v>1437</v>
      </c>
      <c r="B104" s="2588" t="s">
        <v>1432</v>
      </c>
      <c r="C104" s="2589">
        <f ca="1">H118</f>
        <v>403</v>
      </c>
      <c r="D104" s="2590"/>
      <c r="E104" s="1673" t="s">
        <v>1438</v>
      </c>
      <c r="F104" s="1665"/>
      <c r="G104" s="1827" t="s">
        <v>1436</v>
      </c>
      <c r="H104" s="2595">
        <f>IF(D36="同一抵押权人同一抵押物续贷",C36&amp;"（续贷，未扣减，详见特别提示）",C36)</f>
        <v>0</v>
      </c>
      <c r="I104" s="129"/>
    </row>
    <row r="105" spans="1:35" ht="18.75" customHeight="1" thickBot="1">
      <c r="A105" s="3636"/>
      <c r="B105" s="2591" t="s">
        <v>1434</v>
      </c>
      <c r="C105" s="2592">
        <f ca="1">I118</f>
        <v>33055</v>
      </c>
      <c r="D105" s="2593"/>
      <c r="E105" s="1673" t="s">
        <v>1439</v>
      </c>
      <c r="F105" s="1665"/>
      <c r="G105" s="1827" t="s">
        <v>1436</v>
      </c>
      <c r="H105" s="2596">
        <f>C37</f>
        <v>0</v>
      </c>
      <c r="I105" s="129"/>
    </row>
    <row r="106" spans="1:35" ht="18.75" customHeight="1">
      <c r="A106" s="1746" t="s">
        <v>1440</v>
      </c>
      <c r="B106" s="1746"/>
      <c r="C106" s="1746"/>
      <c r="D106" s="1746"/>
      <c r="E106" s="1828" t="s">
        <v>1441</v>
      </c>
      <c r="F106" s="1665"/>
      <c r="G106" s="1827" t="s">
        <v>1436</v>
      </c>
      <c r="H106" s="2596">
        <f>C38</f>
        <v>0</v>
      </c>
      <c r="I106" s="129"/>
    </row>
    <row r="107" spans="1:35" ht="18.75" customHeight="1">
      <c r="A107" s="129"/>
      <c r="B107" s="129"/>
      <c r="C107" s="129"/>
      <c r="D107" s="129">
        <f ca="1">H108*B118</f>
        <v>4026099</v>
      </c>
      <c r="E107" s="3627" t="str">
        <f>IF(项目基本情况!E8="已注销","——","3.房地产抵押价值")</f>
        <v>3.房地产抵押价值</v>
      </c>
      <c r="F107" s="3595"/>
      <c r="G107" s="1826" t="s">
        <v>1432</v>
      </c>
      <c r="H107" s="2594">
        <f ca="1">IF(E107="——","——",H101-H103)</f>
        <v>403</v>
      </c>
      <c r="I107" s="129"/>
    </row>
    <row r="108" spans="1:35" ht="18.75" customHeight="1">
      <c r="A108" s="129"/>
      <c r="B108" s="129"/>
      <c r="C108" s="129"/>
      <c r="D108" s="129"/>
      <c r="E108" s="3627"/>
      <c r="F108" s="3595"/>
      <c r="G108" s="1826" t="s">
        <v>1434</v>
      </c>
      <c r="H108" s="2554">
        <f ca="1">IF(H107=H101,H102,ROUND(H107*10000/'数据-汇总表'!E3,0))</f>
        <v>33055</v>
      </c>
      <c r="I108" s="129"/>
    </row>
    <row r="109" spans="1:35" ht="18.75" customHeight="1">
      <c r="A109" s="129"/>
      <c r="B109" s="129"/>
      <c r="C109" s="129"/>
      <c r="D109" s="129"/>
      <c r="E109" s="3627" t="str">
        <f>IF(项目基本情况!E8="已注销及未注销","4.抵押担保权已注销时的房地产抵押价值",IF(项目基本情况!E8="已注销","3.抵押担保权已注销时的房地产抵押价值","——"))</f>
        <v>——</v>
      </c>
      <c r="F109" s="3595"/>
      <c r="G109" s="1826" t="s">
        <v>1432</v>
      </c>
      <c r="H109" s="2597" t="str">
        <f>IF(E109="——","——",H101-H105-H106)</f>
        <v>——</v>
      </c>
      <c r="I109" s="129"/>
    </row>
    <row r="110" spans="1:35" ht="18.75" customHeight="1">
      <c r="A110" s="129"/>
      <c r="B110" s="129"/>
      <c r="C110" s="129"/>
      <c r="D110" s="129"/>
      <c r="E110" s="3627"/>
      <c r="F110" s="3595"/>
      <c r="G110" s="1826" t="s">
        <v>1434</v>
      </c>
      <c r="H110" s="2554" t="str">
        <f>IF(H109="——","——",ROUND(H109*10000/'数据-汇总表'!E3,0))</f>
        <v>——</v>
      </c>
      <c r="I110" s="129"/>
    </row>
    <row r="111" spans="1:35" ht="18.75" customHeight="1">
      <c r="A111" s="129"/>
      <c r="B111" s="129"/>
      <c r="C111" s="129"/>
      <c r="D111" s="129"/>
      <c r="E111" s="3628" t="str">
        <f>IF(项目基本情况!E9="抵押净值",IF(OR(项目基本情况!E8="已注销",项目基本情况!E8="房地产抵押价值"),"4.抵押净值","5.抵押净值"),"——")</f>
        <v>4.抵押净值</v>
      </c>
      <c r="F111" s="3614"/>
      <c r="G111" s="1826" t="s">
        <v>1432</v>
      </c>
      <c r="H111" s="2594">
        <f ca="1">IF(E111="——","——",N59)</f>
        <v>403</v>
      </c>
      <c r="I111" s="129"/>
    </row>
    <row r="112" spans="1:35" ht="18.75" customHeight="1" thickBot="1">
      <c r="A112" s="129"/>
      <c r="B112" s="129"/>
      <c r="C112" s="129"/>
      <c r="D112" s="129"/>
      <c r="E112" s="3629"/>
      <c r="F112" s="3630"/>
      <c r="G112" s="1829" t="s">
        <v>1434</v>
      </c>
      <c r="H112" s="2598">
        <f ca="1">IF(E111="——","——",N61)</f>
        <v>7222</v>
      </c>
      <c r="I112" s="129"/>
    </row>
    <row r="113" spans="1:27" ht="18.75" customHeight="1">
      <c r="A113" s="129"/>
      <c r="B113" s="129"/>
      <c r="C113" s="129"/>
      <c r="D113" s="129"/>
      <c r="E113" s="3637" t="s">
        <v>1440</v>
      </c>
      <c r="F113" s="3637"/>
      <c r="G113" s="3637"/>
      <c r="H113" s="3637"/>
      <c r="I113" s="129"/>
    </row>
    <row r="114" spans="1:27" ht="3.75" customHeight="1">
      <c r="A114" s="1746"/>
      <c r="B114" s="1746"/>
      <c r="C114" s="1746"/>
      <c r="D114" s="1746"/>
      <c r="E114" s="1808"/>
      <c r="F114" s="1808"/>
      <c r="G114" s="1808"/>
      <c r="H114" s="1808"/>
      <c r="I114" s="1746"/>
    </row>
    <row r="115" spans="1:27" ht="18.75" customHeight="1">
      <c r="A115" s="3645" t="s">
        <v>1442</v>
      </c>
      <c r="B115" s="3646"/>
      <c r="C115" s="3646"/>
      <c r="D115" s="3646"/>
      <c r="E115" s="3646"/>
      <c r="F115" s="3646"/>
      <c r="G115" s="3646"/>
      <c r="H115" s="3646"/>
      <c r="I115" s="3647"/>
    </row>
    <row r="116" spans="1:27" ht="27" customHeight="1">
      <c r="A116" s="3602" t="s">
        <v>1443</v>
      </c>
      <c r="B116" s="3606" t="s">
        <v>1444</v>
      </c>
      <c r="C116" s="3606" t="s">
        <v>1445</v>
      </c>
      <c r="D116" s="3612" t="s">
        <v>1446</v>
      </c>
      <c r="E116" s="3613"/>
      <c r="F116" s="3644" t="s">
        <v>1447</v>
      </c>
      <c r="G116" s="3644"/>
      <c r="H116" s="3602" t="s">
        <v>1448</v>
      </c>
      <c r="I116" s="3602"/>
    </row>
    <row r="117" spans="1:27" ht="18.75" customHeight="1">
      <c r="A117" s="3602"/>
      <c r="B117" s="3607"/>
      <c r="C117" s="3607"/>
      <c r="D117" s="2328" t="s">
        <v>1449</v>
      </c>
      <c r="E117" s="2328" t="s">
        <v>1450</v>
      </c>
      <c r="F117" s="2328" t="s">
        <v>1449</v>
      </c>
      <c r="G117" s="2328" t="s">
        <v>1451</v>
      </c>
      <c r="H117" s="2328" t="s">
        <v>1449</v>
      </c>
      <c r="I117" s="2328" t="s">
        <v>1451</v>
      </c>
    </row>
    <row r="118" spans="1:27" ht="24.75" customHeight="1">
      <c r="A118" s="2599" t="str">
        <f>项目基本情况!S2</f>
        <v>北京市房地产</v>
      </c>
      <c r="B118" s="2328">
        <f>M18</f>
        <v>121.8</v>
      </c>
      <c r="C118" s="2328">
        <f>M19</f>
        <v>0</v>
      </c>
      <c r="D118" s="2328">
        <f>ROUND(IF(D32="总价",C34,E118*B118/10000),0)</f>
        <v>0</v>
      </c>
      <c r="E118" s="2328">
        <f>ROUND(IF(C33="自定义",IF(D32="楼面单价",C34,D118*10000/B118),I118-G118),0)</f>
        <v>0</v>
      </c>
      <c r="F118" s="2328">
        <f>ROUND(IF(D32="总价",C35,G118*B118/10000),0)</f>
        <v>0</v>
      </c>
      <c r="G118" s="2328">
        <f>ROUND(IF(D32="楼面单价",C35,F118*10000/B118),0)</f>
        <v>0</v>
      </c>
      <c r="H118" s="2328">
        <f ca="1">ROUND(IF(D32="总价",C32,I118*B118/10000),0)</f>
        <v>403</v>
      </c>
      <c r="I118" s="2328">
        <f ca="1">ROUND(IF(D32="楼面单价",C32,H118*10000/B118),0)</f>
        <v>33055</v>
      </c>
    </row>
    <row r="119" spans="1:27" ht="18.75" customHeight="1">
      <c r="A119" s="3602" t="s">
        <v>1452</v>
      </c>
      <c r="B119" s="3602"/>
      <c r="C119" s="3602"/>
      <c r="D119" s="3608" t="str">
        <f>NUMBERSTRING(INT(D118*10000),2)&amp;"元整"</f>
        <v>零元整</v>
      </c>
      <c r="E119" s="3609"/>
      <c r="F119" s="3608" t="str">
        <f>NUMBERSTRING(INT(F118*10000),2)&amp;"元整"</f>
        <v>零元整</v>
      </c>
      <c r="G119" s="3609"/>
      <c r="H119" s="3608" t="str">
        <f ca="1">NUMBERSTRING(INT(H118*10000),2)&amp;"元整"</f>
        <v>肆佰零叁万元整</v>
      </c>
      <c r="I119" s="3609"/>
    </row>
    <row r="120" spans="1:27" ht="18.75" customHeight="1">
      <c r="A120" s="3603" t="str">
        <f>IF(项目基本情况!B9="房地产市场价值","",MID(E103,3,LEN(E103)-2))</f>
        <v>估价师知悉的法定优先受偿款</v>
      </c>
      <c r="B120" s="3604"/>
      <c r="C120" s="3605"/>
      <c r="D120" s="3603">
        <f>H103</f>
        <v>0</v>
      </c>
      <c r="E120" s="3604"/>
      <c r="F120" s="3604"/>
      <c r="G120" s="3604"/>
      <c r="H120" s="3604"/>
      <c r="I120" s="3605"/>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08" t="s">
        <v>1452</v>
      </c>
      <c r="B121" s="3610"/>
      <c r="C121" s="3609"/>
      <c r="D121" s="3608" t="str">
        <f>IF(D120=0,"零元整",NUMBERSTRING(INT(D120*10000),2)&amp;"元整")</f>
        <v>零元整</v>
      </c>
      <c r="E121" s="3610"/>
      <c r="F121" s="3610"/>
      <c r="G121" s="3610"/>
      <c r="H121" s="3610"/>
      <c r="I121" s="3609"/>
      <c r="AA121" s="724"/>
    </row>
    <row r="122" spans="1:27" ht="18.75" customHeight="1">
      <c r="A122" s="3614" t="str">
        <f>IF(项目基本情况!B9="房地产市场价值","",MID(E107,3,LEN(E107)-2))</f>
        <v>房地产抵押价值</v>
      </c>
      <c r="B122" s="3614"/>
      <c r="C122" s="3614"/>
      <c r="D122" s="3603">
        <f ca="1">H107</f>
        <v>403</v>
      </c>
      <c r="E122" s="3604"/>
      <c r="F122" s="3604"/>
      <c r="G122" s="3604"/>
      <c r="H122" s="3604"/>
      <c r="I122" s="3605"/>
      <c r="AA122" s="724"/>
    </row>
    <row r="123" spans="1:27" ht="18.75" customHeight="1">
      <c r="A123" s="3602" t="s">
        <v>1452</v>
      </c>
      <c r="B123" s="3602"/>
      <c r="C123" s="3602"/>
      <c r="D123" s="3608" t="str">
        <f ca="1">NUMBERSTRING(INT(D122*10000),2)&amp;"元整"</f>
        <v>肆佰零叁万元整</v>
      </c>
      <c r="E123" s="3610"/>
      <c r="F123" s="3610"/>
      <c r="G123" s="3610"/>
      <c r="H123" s="3610"/>
      <c r="I123" s="3609"/>
      <c r="AA123" s="724"/>
    </row>
    <row r="124" spans="1:27" ht="18.75" customHeight="1">
      <c r="A124" s="3614" t="str">
        <f>IF(项目基本情况!B9="房地产市场价值","",MID(E109,3,LEN(E109)-2))</f>
        <v/>
      </c>
      <c r="B124" s="3614"/>
      <c r="C124" s="3614"/>
      <c r="D124" s="3603" t="str">
        <f>H109</f>
        <v>——</v>
      </c>
      <c r="E124" s="3604"/>
      <c r="F124" s="3604"/>
      <c r="G124" s="3604"/>
      <c r="H124" s="3604"/>
      <c r="I124" s="3605"/>
      <c r="AA124" s="724"/>
    </row>
    <row r="125" spans="1:27" ht="18.75" customHeight="1">
      <c r="A125" s="3602" t="s">
        <v>1452</v>
      </c>
      <c r="B125" s="3602"/>
      <c r="C125" s="3602"/>
      <c r="D125" s="3608" t="e">
        <f>NUMBERSTRING(INT(D124*10000),2)&amp;"元整"</f>
        <v>#VALUE!</v>
      </c>
      <c r="E125" s="3610"/>
      <c r="F125" s="3610"/>
      <c r="G125" s="3610"/>
      <c r="H125" s="3610"/>
      <c r="I125" s="3609"/>
      <c r="AA125" s="724"/>
    </row>
    <row r="126" spans="1:27" ht="18.75" customHeight="1">
      <c r="A126" s="3614" t="str">
        <f>IF(项目基本情况!B9="房地产市场价值","",MID(E111,3,LEN(E111)-2))</f>
        <v>抵押净值</v>
      </c>
      <c r="B126" s="3614"/>
      <c r="C126" s="3614"/>
      <c r="D126" s="3603">
        <f ca="1">H111</f>
        <v>403</v>
      </c>
      <c r="E126" s="3604"/>
      <c r="F126" s="3604"/>
      <c r="G126" s="3604"/>
      <c r="H126" s="3604"/>
      <c r="I126" s="3605"/>
      <c r="AA126" s="724"/>
    </row>
    <row r="127" spans="1:27" ht="18.75" customHeight="1">
      <c r="A127" s="3602" t="s">
        <v>1452</v>
      </c>
      <c r="B127" s="3602"/>
      <c r="C127" s="3602"/>
      <c r="D127" s="3608" t="str">
        <f ca="1">NUMBERSTRING(INT(D126*10000),2)&amp;"元整"</f>
        <v>肆佰零叁万元整</v>
      </c>
      <c r="E127" s="3610"/>
      <c r="F127" s="3610"/>
      <c r="G127" s="3610"/>
      <c r="H127" s="3610"/>
      <c r="I127" s="3609"/>
      <c r="AA127" s="724"/>
    </row>
    <row r="128" spans="1:27" ht="21.75" customHeight="1">
      <c r="A128" s="3611" t="s">
        <v>1453</v>
      </c>
      <c r="B128" s="3611"/>
      <c r="C128" s="3611"/>
      <c r="D128" s="3611"/>
      <c r="E128" s="3611"/>
      <c r="F128" s="3611"/>
      <c r="G128" s="3611"/>
      <c r="H128" s="3611"/>
      <c r="I128" s="3611"/>
      <c r="AA128" s="724"/>
    </row>
    <row r="129" spans="1:35" ht="21.75" customHeight="1">
      <c r="A129" s="1830" t="s">
        <v>1454</v>
      </c>
      <c r="B129" s="1831"/>
      <c r="C129" s="1832" t="s">
        <v>1455</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1456</v>
      </c>
      <c r="G135" s="1847"/>
      <c r="H135" s="1847"/>
      <c r="I135" s="1848" t="s">
        <v>1457</v>
      </c>
    </row>
    <row r="136" spans="1:35" ht="21.75" customHeight="1">
      <c r="A136" s="724"/>
      <c r="B136" s="1849" t="s">
        <v>1458</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1459</v>
      </c>
    </row>
    <row r="139" spans="1:35" ht="21.75" customHeight="1">
      <c r="A139" s="724"/>
      <c r="B139" s="1849" t="s">
        <v>1460</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1459</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11" priority="21" stopIfTrue="1" operator="equal">
      <formula>25</formula>
    </cfRule>
  </conditionalFormatting>
  <conditionalFormatting sqref="C8:C9">
    <cfRule type="cellIs" dxfId="210" priority="19" stopIfTrue="1" operator="equal">
      <formula>15</formula>
    </cfRule>
  </conditionalFormatting>
  <conditionalFormatting sqref="C14:C16">
    <cfRule type="cellIs" dxfId="209" priority="13" stopIfTrue="1" operator="equal">
      <formula>30</formula>
    </cfRule>
  </conditionalFormatting>
  <conditionalFormatting sqref="D5:D7">
    <cfRule type="cellIs" dxfId="208" priority="10" stopIfTrue="1" operator="equal">
      <formula>25</formula>
    </cfRule>
  </conditionalFormatting>
  <conditionalFormatting sqref="D8:D9">
    <cfRule type="cellIs" dxfId="207" priority="9" stopIfTrue="1" operator="equal">
      <formula>15</formula>
    </cfRule>
  </conditionalFormatting>
  <conditionalFormatting sqref="C10:D13">
    <cfRule type="cellIs" dxfId="206" priority="8" stopIfTrue="1" operator="equal">
      <formula>15</formula>
    </cfRule>
  </conditionalFormatting>
  <conditionalFormatting sqref="D14:D16">
    <cfRule type="cellIs" dxfId="205" priority="6" stopIfTrue="1" operator="equal">
      <formula>30</formula>
    </cfRule>
  </conditionalFormatting>
  <conditionalFormatting sqref="C90">
    <cfRule type="expression" dxfId="204" priority="3" stopIfTrue="1">
      <formula>$H$88&lt;&gt;"仅含出让金"</formula>
    </cfRule>
  </conditionalFormatting>
  <conditionalFormatting sqref="C91">
    <cfRule type="expression" dxfId="203" priority="2" stopIfTrue="1">
      <formula>$H$91="由企业提供"</formula>
    </cfRule>
  </conditionalFormatting>
  <conditionalFormatting sqref="E36">
    <cfRule type="expression" dxfId="20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9"/>
      <c r="C1" s="198"/>
      <c r="D1" s="198"/>
      <c r="E1" s="198"/>
      <c r="F1" s="198"/>
      <c r="G1" s="1125">
        <f>MATCH(B1,'数据-取费表'!A6:A16,0)+5</f>
        <v>8</v>
      </c>
    </row>
    <row r="2" spans="1:9" s="200" customFormat="1" ht="18" customHeight="1">
      <c r="A2" s="201" t="s">
        <v>1462</v>
      </c>
      <c r="B2" s="202">
        <f ca="1">IF(D2="——",C52,C52-E2)</f>
        <v>159496</v>
      </c>
      <c r="C2" s="199" t="s">
        <v>1463</v>
      </c>
      <c r="D2" s="1852" t="s">
        <v>43</v>
      </c>
      <c r="E2" s="1168" t="e">
        <f ca="1">SUMIF(INDIRECT("'"&amp;G2&amp;"'"&amp;"!A:A"),"承租人权益价值",INDIRECT("'"&amp;G2&amp;"'"&amp;"!c:c"))</f>
        <v>#REF!</v>
      </c>
      <c r="F2" s="1853" t="s">
        <v>1463</v>
      </c>
      <c r="G2" s="1854"/>
    </row>
    <row r="3" spans="1:9" s="200" customFormat="1" ht="18" customHeight="1" thickBot="1">
      <c r="A3" s="203" t="s">
        <v>1464</v>
      </c>
      <c r="B3" s="204">
        <f ca="1">ROUND(B2*10000/(IF(B1="",'数据-汇总表'!E3,INDIRECT("'数据-取费表'!k"&amp;$G$1))),0)</f>
        <v>2858454</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111596</v>
      </c>
      <c r="D5" s="211" t="s">
        <v>1469</v>
      </c>
      <c r="E5" s="212" t="s">
        <v>1470</v>
      </c>
      <c r="F5" s="212" t="s">
        <v>1471</v>
      </c>
      <c r="G5" s="213"/>
    </row>
    <row r="6" spans="1:9" s="214" customFormat="1" ht="13.5" customHeight="1">
      <c r="A6" s="777" t="s">
        <v>1472</v>
      </c>
      <c r="B6" s="215" t="s">
        <v>1473</v>
      </c>
      <c r="C6" s="216"/>
      <c r="D6" s="217"/>
      <c r="E6" s="218"/>
      <c r="F6" s="218"/>
      <c r="G6" s="219"/>
    </row>
    <row r="7" spans="1:9" s="214" customFormat="1" ht="13.5" customHeight="1">
      <c r="A7" s="777" t="s">
        <v>1474</v>
      </c>
      <c r="B7" s="215" t="s">
        <v>1475</v>
      </c>
      <c r="C7" s="220">
        <f>ROUND(C6*F7,0)</f>
        <v>0</v>
      </c>
      <c r="D7" s="220"/>
      <c r="E7" s="218"/>
      <c r="F7" s="221">
        <f>IF(项目基本情况!B8="出让",0,'数据-取费表'!B48+'数据-取费表'!B49)</f>
        <v>3.0499999999999999E-2</v>
      </c>
      <c r="G7" s="219"/>
    </row>
    <row r="8" spans="1:9" s="223" customFormat="1">
      <c r="A8" s="777" t="s">
        <v>1476</v>
      </c>
      <c r="B8" s="215" t="s">
        <v>1477</v>
      </c>
      <c r="C8" s="220">
        <f>IF(G8="已包含在土地购买价格中","0",IF(B1="",'数据-取费表'!B29,IF(G9="全部缴纳",C9+C10,H9)))</f>
        <v>111596</v>
      </c>
      <c r="D8" s="222"/>
      <c r="E8" s="220"/>
      <c r="F8" s="221"/>
      <c r="G8" s="1855"/>
    </row>
    <row r="9" spans="1:9" s="214" customFormat="1" ht="13.5" customHeight="1">
      <c r="A9" s="778" t="s">
        <v>355</v>
      </c>
      <c r="B9" s="224" t="s">
        <v>1478</v>
      </c>
      <c r="C9" s="225">
        <f ca="1">ROUND(D9*E9/10000,0)</f>
        <v>0</v>
      </c>
      <c r="D9" s="844">
        <f ca="1">IF(B1="",'数据-汇总表'!E5,IF(INDIRECT("'数据-取费表'!c"&amp;$G$1)="住宅",INDIRECT("'数据-取费表'!k"&amp;$G$1),0))</f>
        <v>0</v>
      </c>
      <c r="E9" s="225">
        <f>'数据-取费表'!B27</f>
        <v>0</v>
      </c>
      <c r="F9" s="221"/>
      <c r="G9" s="1856"/>
      <c r="H9" s="1136"/>
      <c r="I9" s="1857" t="s">
        <v>1479</v>
      </c>
    </row>
    <row r="10" spans="1:9" s="214" customFormat="1" ht="13.5" customHeight="1">
      <c r="A10" s="778" t="s">
        <v>356</v>
      </c>
      <c r="B10" s="224" t="s">
        <v>1480</v>
      </c>
      <c r="C10" s="225">
        <f ca="1">ROUND(D10*E10/10000,0)</f>
        <v>11</v>
      </c>
      <c r="D10" s="844">
        <f ca="1">IF(B1="",'数据-汇总表'!E6,IF(INDIRECT("'数据-取费表'!c"&amp;$G$1)="住宅",INDIRECT("'数据-取费表'!s"&amp;$G$1),INDIRECT("'数据-取费表'!k"&amp;$G$1)+INDIRECT("'数据-取费表'!s"&amp;$G$1)))</f>
        <v>557.98</v>
      </c>
      <c r="E10" s="225">
        <f>'数据-取费表'!B28</f>
        <v>200</v>
      </c>
      <c r="F10" s="221"/>
      <c r="G10" s="226"/>
    </row>
    <row r="11" spans="1:9" s="214" customFormat="1" ht="13.5" hidden="1" customHeight="1">
      <c r="A11" s="227" t="s">
        <v>4</v>
      </c>
      <c r="B11" s="215" t="s">
        <v>1481</v>
      </c>
      <c r="C11" s="211"/>
      <c r="D11" s="846"/>
      <c r="E11" s="218"/>
      <c r="F11" s="218"/>
      <c r="G11" s="219"/>
    </row>
    <row r="12" spans="1:9" s="214" customFormat="1" ht="13.5" hidden="1" customHeight="1">
      <c r="A12" s="227" t="s">
        <v>5</v>
      </c>
      <c r="B12" s="215" t="s">
        <v>1482</v>
      </c>
      <c r="C12" s="211">
        <v>0</v>
      </c>
      <c r="D12" s="846"/>
      <c r="E12" s="228"/>
      <c r="F12" s="221">
        <v>3.0499999999999999E-2</v>
      </c>
      <c r="G12" s="219"/>
    </row>
    <row r="13" spans="1:9" s="214" customFormat="1" ht="13.5" hidden="1" customHeight="1">
      <c r="A13" s="227" t="s">
        <v>6</v>
      </c>
      <c r="B13" s="215" t="s">
        <v>1483</v>
      </c>
      <c r="C13" s="211"/>
      <c r="D13" s="846"/>
      <c r="E13" s="218"/>
      <c r="F13" s="218"/>
      <c r="G13" s="219"/>
    </row>
    <row r="14" spans="1:9" s="214" customFormat="1" ht="13.5" hidden="1" customHeight="1">
      <c r="A14" s="227" t="s">
        <v>7</v>
      </c>
      <c r="B14" s="215" t="s">
        <v>1484</v>
      </c>
      <c r="C14" s="211"/>
      <c r="D14" s="846"/>
      <c r="E14" s="218"/>
      <c r="F14" s="218"/>
      <c r="G14" s="219" t="s">
        <v>1485</v>
      </c>
    </row>
    <row r="15" spans="1:9" s="214" customFormat="1" ht="13.5" hidden="1" customHeight="1">
      <c r="A15" s="227" t="s">
        <v>8</v>
      </c>
      <c r="B15" s="215" t="s">
        <v>1486</v>
      </c>
      <c r="C15" s="220"/>
      <c r="D15" s="846"/>
      <c r="E15" s="218"/>
      <c r="F15" s="218"/>
      <c r="G15" s="219" t="s">
        <v>1487</v>
      </c>
    </row>
    <row r="16" spans="1:9" s="214" customFormat="1" ht="13.5" hidden="1" customHeight="1">
      <c r="A16" s="227" t="s">
        <v>9</v>
      </c>
      <c r="B16" s="215" t="s">
        <v>1484</v>
      </c>
      <c r="C16" s="220"/>
      <c r="D16" s="846"/>
      <c r="E16" s="218"/>
      <c r="F16" s="218"/>
      <c r="G16" s="219"/>
    </row>
    <row r="17" spans="1:7" s="214" customFormat="1" ht="13.5" hidden="1" customHeight="1">
      <c r="A17" s="227" t="s">
        <v>10</v>
      </c>
      <c r="B17" s="215" t="s">
        <v>1488</v>
      </c>
      <c r="C17" s="229"/>
      <c r="D17" s="847"/>
      <c r="E17" s="229"/>
      <c r="F17" s="229"/>
      <c r="G17" s="219" t="s">
        <v>1487</v>
      </c>
    </row>
    <row r="18" spans="1:7" s="214" customFormat="1" ht="13.5" hidden="1" customHeight="1">
      <c r="A18" s="227" t="s">
        <v>11</v>
      </c>
      <c r="B18" s="215" t="s">
        <v>1489</v>
      </c>
      <c r="C18" s="220">
        <v>0</v>
      </c>
      <c r="D18" s="846"/>
      <c r="E18" s="218"/>
      <c r="F18" s="221">
        <v>3.0499999999999999E-2</v>
      </c>
      <c r="G18" s="219" t="s">
        <v>1490</v>
      </c>
    </row>
    <row r="19" spans="1:7" s="223" customFormat="1" ht="13.5" customHeight="1">
      <c r="A19" s="255" t="s">
        <v>1491</v>
      </c>
      <c r="B19" s="210" t="s">
        <v>1492</v>
      </c>
      <c r="C19" s="211">
        <f ca="1">IF(G19="已包含在土地取得成本中","0",ROUND(D19*E19/10000,0))</f>
        <v>11</v>
      </c>
      <c r="D19" s="848">
        <f ca="1">D9+D10</f>
        <v>557.98</v>
      </c>
      <c r="E19" s="211">
        <f>'数据-取费表'!B31</f>
        <v>200</v>
      </c>
      <c r="F19" s="231"/>
      <c r="G19" s="1855"/>
    </row>
    <row r="20" spans="1:7" s="214" customFormat="1" ht="13.5" customHeight="1">
      <c r="A20" s="255" t="s">
        <v>1493</v>
      </c>
      <c r="B20" s="210" t="s">
        <v>1494</v>
      </c>
      <c r="C20" s="232">
        <f ca="1">ROUND((C5+C19)*F20,0)</f>
        <v>3348</v>
      </c>
      <c r="D20" s="232"/>
      <c r="E20" s="232"/>
      <c r="F20" s="233">
        <f>'数据-取费表'!B37</f>
        <v>0.03</v>
      </c>
      <c r="G20" s="234" t="s">
        <v>1495</v>
      </c>
    </row>
    <row r="21" spans="1:7" s="214" customFormat="1" ht="13.5" customHeight="1">
      <c r="A21" s="255" t="s">
        <v>1496</v>
      </c>
      <c r="B21" s="210" t="s">
        <v>1497</v>
      </c>
      <c r="C21" s="235">
        <f>F21</f>
        <v>0.03</v>
      </c>
      <c r="D21" s="236" t="s">
        <v>1498</v>
      </c>
      <c r="E21" s="232"/>
      <c r="F21" s="233">
        <f>'数据-取费表'!B38</f>
        <v>0.03</v>
      </c>
      <c r="G21" s="234" t="s">
        <v>1499</v>
      </c>
    </row>
    <row r="22" spans="1:7" s="214" customFormat="1" ht="13.5" customHeight="1">
      <c r="A22" s="255" t="s">
        <v>1500</v>
      </c>
      <c r="B22" s="210" t="s">
        <v>1501</v>
      </c>
      <c r="C22" s="1103">
        <f ca="1">ROUND(SUM(C23:C25),0)</f>
        <v>6897</v>
      </c>
      <c r="D22" s="235">
        <f ca="1">C26</f>
        <v>8.9999999999999998E-4</v>
      </c>
      <c r="E22" s="236" t="s">
        <v>1498</v>
      </c>
      <c r="F22" s="237">
        <f ca="1">'数据-取费表'!B40</f>
        <v>0.03</v>
      </c>
      <c r="G22" s="234" t="str">
        <f>IF('数据-取费表'!B22&lt;=1,"单利计息","复利计息")</f>
        <v>复利计息</v>
      </c>
    </row>
    <row r="23" spans="1:7" s="214" customFormat="1" ht="13.5" customHeight="1">
      <c r="A23" s="779" t="s">
        <v>1502</v>
      </c>
      <c r="B23" s="215" t="s">
        <v>1503</v>
      </c>
      <c r="C23" s="1104">
        <f ca="1">ROUND(IF('数据-取费表'!B22&lt;=1,C5*F22*'数据-取费表'!B23,C5*(POWER((1+F22),'数据-取费表'!B23)-1)),0)</f>
        <v>6796</v>
      </c>
      <c r="D23" s="238"/>
      <c r="E23" s="238"/>
      <c r="F23" s="239"/>
      <c r="G23" s="240" t="s">
        <v>1504</v>
      </c>
    </row>
    <row r="24" spans="1:7" s="214" customFormat="1" ht="13.5" customHeight="1">
      <c r="A24" s="779" t="s">
        <v>1505</v>
      </c>
      <c r="B24" s="215" t="s">
        <v>1506</v>
      </c>
      <c r="C24" s="1104">
        <f ca="1">ROUND(IF('数据-取费表'!B22&lt;=1,C19*F22*('数据-取费表'!B19/2+'数据-取费表'!B21),C19*(POWER((1+F22),('数据-取费表'!B19/2+'数据-取费表'!B21))-1)),0)</f>
        <v>1</v>
      </c>
      <c r="D24" s="238"/>
      <c r="E24" s="238"/>
      <c r="F24" s="239"/>
      <c r="G24" s="240" t="s">
        <v>1507</v>
      </c>
    </row>
    <row r="25" spans="1:7" s="214" customFormat="1" ht="24">
      <c r="A25" s="779" t="s">
        <v>1508</v>
      </c>
      <c r="B25" s="215" t="s">
        <v>1509</v>
      </c>
      <c r="C25" s="1104">
        <f ca="1">ROUND(IF('数据-取费表'!B22&lt;=1,C20*F22*'数据-取费表'!B23/2,C20*(POWER((1+F22),'数据-取费表'!B23/2)-1)),0)</f>
        <v>100</v>
      </c>
      <c r="D25" s="238"/>
      <c r="E25" s="241"/>
      <c r="F25" s="239"/>
      <c r="G25" s="242" t="s">
        <v>1510</v>
      </c>
    </row>
    <row r="26" spans="1:7" s="214" customFormat="1">
      <c r="A26" s="779" t="s">
        <v>350</v>
      </c>
      <c r="B26" s="215" t="s">
        <v>1511</v>
      </c>
      <c r="C26" s="238">
        <f ca="1">ROUND(IF('数据-取费表'!B22&lt;=1,F21*F22*'数据-取费表'!B23/2,F21*(POWER((1+F22),'数据-取费表'!B23/2)-1)),4)</f>
        <v>8.9999999999999998E-4</v>
      </c>
      <c r="D26" s="238"/>
      <c r="E26" s="241"/>
      <c r="F26" s="239"/>
      <c r="G26" s="243"/>
    </row>
    <row r="27" spans="1:7" s="214" customFormat="1" ht="24.75">
      <c r="A27" s="255" t="s">
        <v>1512</v>
      </c>
      <c r="B27" s="244" t="s">
        <v>1513</v>
      </c>
      <c r="C27" s="245">
        <f ca="1">C28</f>
        <v>22991</v>
      </c>
      <c r="D27" s="235">
        <f ca="1">C29</f>
        <v>6.0000000000000001E-3</v>
      </c>
      <c r="E27" s="236" t="s">
        <v>1514</v>
      </c>
      <c r="F27" s="246">
        <f ca="1">IF(B1="",'数据-取费表'!Q16,INDIRECT("'数据-取费表'!q"&amp;$G$1))</f>
        <v>0.2</v>
      </c>
      <c r="G27" s="247" t="s">
        <v>1515</v>
      </c>
    </row>
    <row r="28" spans="1:7" s="214" customFormat="1" ht="13.5" customHeight="1">
      <c r="A28" s="779" t="s">
        <v>346</v>
      </c>
      <c r="B28" s="248" t="s">
        <v>1516</v>
      </c>
      <c r="C28" s="249">
        <f ca="1">ROUND((C5+C19+C20)*F27*'数据-取费表'!B21/'数据-取费表'!B20,0)</f>
        <v>22991</v>
      </c>
      <c r="D28" s="235"/>
      <c r="E28" s="236"/>
      <c r="F28" s="246"/>
      <c r="G28" s="247"/>
    </row>
    <row r="29" spans="1:7" s="214" customFormat="1" ht="13.5" customHeight="1">
      <c r="A29" s="779" t="s">
        <v>347</v>
      </c>
      <c r="B29" s="248" t="s">
        <v>1517</v>
      </c>
      <c r="C29" s="238">
        <f ca="1">ROUND(C21*F27*'数据-取费表'!B21/'数据-取费表'!B20,4)</f>
        <v>6.0000000000000001E-3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159203</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249</v>
      </c>
      <c r="D33" s="232"/>
      <c r="E33" s="212"/>
      <c r="F33" s="241"/>
      <c r="G33" s="234"/>
    </row>
    <row r="34" spans="1:7" s="258" customFormat="1" ht="13.5" customHeight="1">
      <c r="A34" s="779" t="s">
        <v>346</v>
      </c>
      <c r="B34" s="215" t="s">
        <v>1525</v>
      </c>
      <c r="C34" s="220">
        <f ca="1">IF(B1="",IF(F34=100%,'数据-取费表'!M16,'数据-取费表'!O16),IF(F34=100%,INDIRECT("'数据-取费表'!m"&amp;$G$1)+INDIRECT("'数据-取费表'!t"&amp;$G$1),INDIRECT("'数据-取费表'!o"&amp;$G$1)+INDIRECT("'数据-取费表'!aq"&amp;$G$1)))</f>
        <v>223</v>
      </c>
      <c r="D34" s="217"/>
      <c r="E34" s="220"/>
      <c r="F34" s="257">
        <f ca="1">IF('数据-取费表'!B24=0,1,IF(B1="",'数据-取费表'!N16,INDIRECT("'数据-取费表'!n"&amp;$G$1)))</f>
        <v>1</v>
      </c>
      <c r="G34" s="219" t="s">
        <v>1526</v>
      </c>
    </row>
    <row r="35" spans="1:7" ht="13.5" customHeight="1">
      <c r="A35" s="779" t="s">
        <v>351</v>
      </c>
      <c r="B35" s="215" t="s">
        <v>1527</v>
      </c>
      <c r="C35" s="220">
        <f ca="1">ROUND(C34*F35,0)</f>
        <v>11</v>
      </c>
      <c r="D35" s="220"/>
      <c r="E35" s="220"/>
      <c r="F35" s="259">
        <f>'数据-取费表'!B33</f>
        <v>0.05</v>
      </c>
      <c r="G35" s="219" t="s">
        <v>1528</v>
      </c>
    </row>
    <row r="36" spans="1:7" ht="24">
      <c r="A36" s="779"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9" t="s">
        <v>353</v>
      </c>
      <c r="B37" s="215" t="s">
        <v>1531</v>
      </c>
      <c r="C37" s="249">
        <f ca="1">ROUND(E37*D37*F34/10000,0)</f>
        <v>11</v>
      </c>
      <c r="D37" s="217">
        <f ca="1">D19</f>
        <v>557.98</v>
      </c>
      <c r="E37" s="249">
        <f>'数据-取费表'!B35</f>
        <v>200</v>
      </c>
      <c r="F37" s="259"/>
      <c r="G37" s="261" t="s">
        <v>1532</v>
      </c>
    </row>
    <row r="38" spans="1:7" ht="13.5" customHeight="1">
      <c r="A38" s="779" t="s">
        <v>354</v>
      </c>
      <c r="B38" s="215" t="s">
        <v>1533</v>
      </c>
      <c r="C38" s="220">
        <f ca="1">ROUND(C34*F38,0)</f>
        <v>4</v>
      </c>
      <c r="D38" s="220"/>
      <c r="E38" s="220"/>
      <c r="F38" s="259">
        <f>'数据-取费表'!B36</f>
        <v>0.02</v>
      </c>
      <c r="G38" s="219" t="s">
        <v>1528</v>
      </c>
    </row>
    <row r="39" spans="1:7" s="214" customFormat="1" ht="13.5" customHeight="1">
      <c r="A39" s="255" t="s">
        <v>1534</v>
      </c>
      <c r="B39" s="210" t="s">
        <v>1535</v>
      </c>
      <c r="C39" s="232">
        <f ca="1">ROUND(C33*F20,0)</f>
        <v>7</v>
      </c>
      <c r="D39" s="232"/>
      <c r="E39" s="232"/>
      <c r="F39" s="233">
        <f>F20</f>
        <v>0.03</v>
      </c>
      <c r="G39" s="234" t="s">
        <v>1536</v>
      </c>
    </row>
    <row r="40" spans="1:7" s="214" customFormat="1" ht="13.5" customHeight="1">
      <c r="A40" s="255" t="s">
        <v>1537</v>
      </c>
      <c r="B40" s="210" t="s">
        <v>1538</v>
      </c>
      <c r="C40" s="1326">
        <f>F21</f>
        <v>0.03</v>
      </c>
      <c r="D40" s="236" t="s">
        <v>1539</v>
      </c>
      <c r="E40" s="232"/>
      <c r="F40" s="233">
        <f>F21</f>
        <v>0.03</v>
      </c>
      <c r="G40" s="234" t="s">
        <v>1540</v>
      </c>
    </row>
    <row r="41" spans="1:7" s="214" customFormat="1" ht="13.5" customHeight="1">
      <c r="A41" s="255" t="s">
        <v>1541</v>
      </c>
      <c r="B41" s="210" t="s">
        <v>1542</v>
      </c>
      <c r="C41" s="232">
        <f ca="1">ROUND(SUM(C42:C43),0)</f>
        <v>7</v>
      </c>
      <c r="D41" s="235">
        <f ca="1">C44</f>
        <v>8.9999999999999998E-4</v>
      </c>
      <c r="E41" s="236" t="s">
        <v>1539</v>
      </c>
      <c r="F41" s="237">
        <f ca="1">F22</f>
        <v>0.03</v>
      </c>
      <c r="G41" s="234" t="str">
        <f>IF('数据-取费表'!B22&lt;=1,"单利计息","复利计息")</f>
        <v>复利计息</v>
      </c>
    </row>
    <row r="42" spans="1:7" ht="13.5" customHeight="1">
      <c r="A42" s="779" t="s">
        <v>346</v>
      </c>
      <c r="B42" s="215" t="s">
        <v>1543</v>
      </c>
      <c r="C42" s="238">
        <f ca="1">ROUND(IF('数据-取费表'!B22&lt;=1,C33*F22*'数据-取费表'!B21/2,C33*(POWER((1+F22),'数据-取费表'!B21/2)-1)),0)</f>
        <v>7</v>
      </c>
      <c r="D42" s="238"/>
      <c r="E42" s="238"/>
      <c r="F42" s="239"/>
      <c r="G42" s="3681" t="s">
        <v>1544</v>
      </c>
    </row>
    <row r="43" spans="1:7" ht="13.5" customHeight="1">
      <c r="A43" s="779" t="s">
        <v>347</v>
      </c>
      <c r="B43" s="215" t="s">
        <v>1545</v>
      </c>
      <c r="C43" s="238">
        <f ca="1">ROUND(IF('数据-取费表'!B22&lt;=1,C39*F22*'数据-取费表'!B21/2,C39*(POWER((1+F22),'数据-取费表'!B21/2)-1)),0)</f>
        <v>0</v>
      </c>
      <c r="D43" s="238"/>
      <c r="E43" s="238"/>
      <c r="F43" s="239"/>
      <c r="G43" s="3682"/>
    </row>
    <row r="44" spans="1:7" ht="13.5" customHeight="1">
      <c r="A44" s="779" t="s">
        <v>348</v>
      </c>
      <c r="B44" s="215" t="s">
        <v>1546</v>
      </c>
      <c r="C44" s="238">
        <f ca="1">ROUND(IF('数据-取费表'!B22&lt;=1,C40*F22*'数据-取费表'!B21/2,C40*(POWER((1+F22),'数据-取费表'!B21/2)-1)),4)</f>
        <v>8.9999999999999998E-4</v>
      </c>
      <c r="D44" s="238"/>
      <c r="E44" s="238"/>
      <c r="F44" s="239"/>
      <c r="G44" s="3683"/>
    </row>
    <row r="45" spans="1:7" s="214" customFormat="1" ht="13.5" customHeight="1">
      <c r="A45" s="255" t="s">
        <v>1547</v>
      </c>
      <c r="B45" s="244" t="s">
        <v>1513</v>
      </c>
      <c r="C45" s="245">
        <f ca="1">C46</f>
        <v>51</v>
      </c>
      <c r="D45" s="235">
        <f ca="1">C47</f>
        <v>6.0000000000000001E-3</v>
      </c>
      <c r="E45" s="236" t="s">
        <v>1539</v>
      </c>
      <c r="F45" s="246">
        <f ca="1">F27</f>
        <v>0.2</v>
      </c>
      <c r="G45" s="247" t="s">
        <v>1548</v>
      </c>
    </row>
    <row r="46" spans="1:7" s="214" customFormat="1" ht="13.5" customHeight="1">
      <c r="A46" s="779" t="s">
        <v>346</v>
      </c>
      <c r="B46" s="248" t="s">
        <v>1549</v>
      </c>
      <c r="C46" s="249">
        <f ca="1">ROUND((C33+C39)*F27,0)</f>
        <v>51</v>
      </c>
      <c r="D46" s="263"/>
      <c r="E46" s="236"/>
      <c r="F46" s="246"/>
      <c r="G46" s="247"/>
    </row>
    <row r="47" spans="1:7" s="214" customFormat="1" ht="13.5" customHeight="1">
      <c r="A47" s="779" t="s">
        <v>347</v>
      </c>
      <c r="B47" s="248" t="s">
        <v>1550</v>
      </c>
      <c r="C47" s="238">
        <f ca="1">ROUND(C40*F27,4)</f>
        <v>6.0000000000000001E-3</v>
      </c>
      <c r="D47" s="263"/>
      <c r="E47" s="236"/>
      <c r="F47" s="246"/>
      <c r="G47" s="247"/>
    </row>
    <row r="48" spans="1:7" s="214" customFormat="1" ht="13.5" customHeight="1">
      <c r="A48" s="255" t="s">
        <v>1512</v>
      </c>
      <c r="B48" s="210" t="s">
        <v>1551</v>
      </c>
      <c r="C48" s="1326">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345</v>
      </c>
      <c r="D49" s="232"/>
      <c r="E49" s="232"/>
      <c r="F49" s="264"/>
      <c r="G49" s="234" t="s">
        <v>1554</v>
      </c>
    </row>
    <row r="50" spans="1:7" s="258" customFormat="1" ht="24">
      <c r="A50" s="255" t="s">
        <v>1555</v>
      </c>
      <c r="B50" s="210" t="s">
        <v>1556</v>
      </c>
      <c r="C50" s="232"/>
      <c r="D50" s="232"/>
      <c r="E50" s="232"/>
      <c r="F50" s="264">
        <f>IF('数据-取费表'!B24=0,'数据-取费表'!N16,1)</f>
        <v>0.85</v>
      </c>
      <c r="G50" s="247" t="s">
        <v>1557</v>
      </c>
    </row>
    <row r="51" spans="1:7" ht="16.5" customHeight="1">
      <c r="A51" s="255" t="s">
        <v>1558</v>
      </c>
      <c r="B51" s="210" t="s">
        <v>1559</v>
      </c>
      <c r="C51" s="232">
        <f ca="1">ROUND(C49*F50,0)</f>
        <v>293</v>
      </c>
      <c r="D51" s="232"/>
      <c r="E51" s="232"/>
      <c r="F51" s="264"/>
      <c r="G51" s="234" t="s">
        <v>1560</v>
      </c>
    </row>
    <row r="52" spans="1:7" s="208" customFormat="1" ht="16.5" thickBot="1">
      <c r="A52" s="265" t="s">
        <v>1561</v>
      </c>
      <c r="B52" s="266"/>
      <c r="C52" s="267">
        <f ca="1">C31+C51</f>
        <v>159496</v>
      </c>
      <c r="D52" s="266"/>
      <c r="E52" s="266"/>
      <c r="F52" s="266"/>
      <c r="G52" s="268"/>
    </row>
    <row r="55" spans="1:7" ht="15">
      <c r="B55" s="270" t="s">
        <v>1562</v>
      </c>
      <c r="C55" s="271"/>
    </row>
    <row r="56" spans="1:7">
      <c r="B56" s="273" t="s">
        <v>802</v>
      </c>
      <c r="C56" s="275">
        <f ca="1">1-C57</f>
        <v>0.998</v>
      </c>
    </row>
    <row r="57" spans="1:7">
      <c r="B57" s="273" t="s">
        <v>803</v>
      </c>
      <c r="C57" s="274">
        <f ca="1">ROUND(C51/C52,3)</f>
        <v>2E-3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4" zoomScale="85" zoomScaleNormal="70" zoomScaleSheetLayoutView="85" workbookViewId="0">
      <selection activeCell="K63" sqref="K63"/>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9"/>
      <c r="C1" s="1858" t="s">
        <v>1563</v>
      </c>
      <c r="D1" s="198"/>
      <c r="E1" s="198"/>
      <c r="F1" s="198"/>
      <c r="G1" s="1125">
        <f>MATCH(B1,'数据-取费表'!A6:A16,0)+5</f>
        <v>8</v>
      </c>
      <c r="H1" s="1060" t="str">
        <f>IF(ISERROR(FIND("住宅",B1)),"非住宅","住宅")</f>
        <v>非住宅</v>
      </c>
    </row>
    <row r="2" spans="1:8" s="200" customFormat="1" ht="18" customHeight="1">
      <c r="A2" s="201" t="s">
        <v>1462</v>
      </c>
      <c r="B2" s="3423">
        <f ca="1">ROUND(IF(D2="——",C52/10000,C52/10000-E2),4)</f>
        <v>663.32920000000001</v>
      </c>
      <c r="C2" s="199" t="s">
        <v>1463</v>
      </c>
      <c r="D2" s="1852" t="s">
        <v>43</v>
      </c>
      <c r="E2" s="1168" t="e">
        <f ca="1">SUMIF(INDIRECT("'"&amp;G2&amp;"'"&amp;"!A:A"),"承租人权益价值",INDIRECT("'"&amp;G2&amp;"'"&amp;"!c:c"))</f>
        <v>#REF!</v>
      </c>
      <c r="F2" s="1853" t="s">
        <v>1463</v>
      </c>
      <c r="G2" s="1854"/>
    </row>
    <row r="3" spans="1:8" s="200" customFormat="1" ht="18" customHeight="1" thickBot="1">
      <c r="A3" s="203" t="s">
        <v>1464</v>
      </c>
      <c r="B3" s="204">
        <f ca="1">ROUND(B2*10000/(IF(B1="",'数据-汇总表'!E3,INDIRECT("'数据-取费表'!k"&amp;$G$1))),0)</f>
        <v>11888</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2575955</v>
      </c>
      <c r="D5" s="211" t="s">
        <v>1469</v>
      </c>
      <c r="E5" s="212" t="s">
        <v>1470</v>
      </c>
      <c r="F5" s="212" t="s">
        <v>1471</v>
      </c>
      <c r="G5" s="213"/>
    </row>
    <row r="6" spans="1:8" s="214" customFormat="1" ht="13.5" customHeight="1">
      <c r="A6" s="777" t="s">
        <v>1472</v>
      </c>
      <c r="B6" s="215" t="s">
        <v>1473</v>
      </c>
      <c r="C6" s="216">
        <f>ROUND(基准地价修正!C33*基准地价修正!D33,0)</f>
        <v>2391421</v>
      </c>
      <c r="D6" s="217"/>
      <c r="E6" s="218"/>
      <c r="F6" s="218"/>
      <c r="G6" s="219"/>
    </row>
    <row r="7" spans="1:8" s="214" customFormat="1" ht="13.5" customHeight="1">
      <c r="A7" s="777" t="s">
        <v>1474</v>
      </c>
      <c r="B7" s="215" t="s">
        <v>1475</v>
      </c>
      <c r="C7" s="220">
        <f>ROUND(C6*F7,0)</f>
        <v>72938</v>
      </c>
      <c r="D7" s="220"/>
      <c r="E7" s="218"/>
      <c r="F7" s="221">
        <f>IF(项目基本情况!B8="出让",0,'数据-取费表'!B48+'数据-取费表'!B49)</f>
        <v>3.0499999999999999E-2</v>
      </c>
      <c r="G7" s="219"/>
    </row>
    <row r="8" spans="1:8" s="223" customFormat="1">
      <c r="A8" s="777" t="s">
        <v>1476</v>
      </c>
      <c r="B8" s="215" t="s">
        <v>1477</v>
      </c>
      <c r="C8" s="220">
        <f ca="1">IF(G8="已包含在土地购买价格中",0,C9+C10)</f>
        <v>111596</v>
      </c>
      <c r="D8" s="222"/>
      <c r="E8" s="220"/>
      <c r="F8" s="221"/>
      <c r="G8" s="1855" t="s">
        <v>3435</v>
      </c>
    </row>
    <row r="9" spans="1:8" s="214" customFormat="1" ht="13.5" customHeight="1">
      <c r="A9" s="778" t="s">
        <v>355</v>
      </c>
      <c r="B9" s="224" t="s">
        <v>1478</v>
      </c>
      <c r="C9" s="225">
        <f ca="1">ROUND(D9*E9,0)</f>
        <v>0</v>
      </c>
      <c r="D9" s="844">
        <f ca="1">IF(B1="",'数据-汇总表'!E5,IF(INDIRECT("'数据-取费表'!c"&amp;$G$1)="住宅",INDIRECT("'数据-取费表'!k"&amp;$G$1),0))</f>
        <v>0</v>
      </c>
      <c r="E9" s="225">
        <f>'数据-取费表'!B27</f>
        <v>0</v>
      </c>
      <c r="F9" s="221"/>
      <c r="G9" s="226"/>
    </row>
    <row r="10" spans="1:8" s="214" customFormat="1" ht="13.5" customHeight="1">
      <c r="A10" s="778" t="s">
        <v>356</v>
      </c>
      <c r="B10" s="224" t="s">
        <v>1480</v>
      </c>
      <c r="C10" s="225">
        <f ca="1">ROUND(D10*E10,0)</f>
        <v>111596</v>
      </c>
      <c r="D10" s="844">
        <f ca="1">IF(B1="",'数据-汇总表'!E6,IF(INDIRECT("'数据-取费表'!c"&amp;$G$1)="住宅",INDIRECT("'数据-取费表'!s"&amp;$G$1),INDIRECT("'数据-取费表'!k"&amp;$G$1)+INDIRECT("'数据-取费表'!s"&amp;$G$1)))</f>
        <v>557.98</v>
      </c>
      <c r="E10" s="225">
        <f>'数据-取费表'!B28</f>
        <v>200</v>
      </c>
      <c r="F10" s="221"/>
      <c r="G10" s="226"/>
    </row>
    <row r="11" spans="1:8" s="214" customFormat="1" ht="13.5" hidden="1" customHeight="1">
      <c r="A11" s="227" t="s">
        <v>4</v>
      </c>
      <c r="B11" s="215" t="s">
        <v>1481</v>
      </c>
      <c r="C11" s="211"/>
      <c r="D11" s="846"/>
      <c r="E11" s="218"/>
      <c r="F11" s="218"/>
      <c r="G11" s="219"/>
    </row>
    <row r="12" spans="1:8" s="214" customFormat="1" ht="13.5" hidden="1" customHeight="1">
      <c r="A12" s="227" t="s">
        <v>5</v>
      </c>
      <c r="B12" s="215" t="s">
        <v>1564</v>
      </c>
      <c r="C12" s="211">
        <v>0</v>
      </c>
      <c r="D12" s="846"/>
      <c r="E12" s="228"/>
      <c r="F12" s="221">
        <v>3.0499999999999999E-2</v>
      </c>
      <c r="G12" s="219"/>
    </row>
    <row r="13" spans="1:8" s="214" customFormat="1" ht="13.5" hidden="1" customHeight="1">
      <c r="A13" s="227" t="s">
        <v>6</v>
      </c>
      <c r="B13" s="215" t="s">
        <v>1565</v>
      </c>
      <c r="C13" s="211"/>
      <c r="D13" s="846"/>
      <c r="E13" s="218"/>
      <c r="F13" s="218"/>
      <c r="G13" s="219"/>
    </row>
    <row r="14" spans="1:8" s="214" customFormat="1" ht="13.5" hidden="1" customHeight="1">
      <c r="A14" s="227" t="s">
        <v>7</v>
      </c>
      <c r="B14" s="215" t="s">
        <v>1477</v>
      </c>
      <c r="C14" s="211"/>
      <c r="D14" s="846"/>
      <c r="E14" s="218"/>
      <c r="F14" s="218"/>
      <c r="G14" s="219" t="s">
        <v>1566</v>
      </c>
    </row>
    <row r="15" spans="1:8" s="214" customFormat="1" ht="13.5" hidden="1" customHeight="1">
      <c r="A15" s="227" t="s">
        <v>8</v>
      </c>
      <c r="B15" s="215" t="s">
        <v>1567</v>
      </c>
      <c r="C15" s="220"/>
      <c r="D15" s="846"/>
      <c r="E15" s="218"/>
      <c r="F15" s="218"/>
      <c r="G15" s="219" t="s">
        <v>1568</v>
      </c>
    </row>
    <row r="16" spans="1:8" s="214" customFormat="1" ht="13.5" hidden="1" customHeight="1">
      <c r="A16" s="227" t="s">
        <v>9</v>
      </c>
      <c r="B16" s="215" t="s">
        <v>1477</v>
      </c>
      <c r="C16" s="220"/>
      <c r="D16" s="846"/>
      <c r="E16" s="218"/>
      <c r="F16" s="218"/>
      <c r="G16" s="219"/>
    </row>
    <row r="17" spans="1:7" s="214" customFormat="1" ht="13.5" hidden="1" customHeight="1">
      <c r="A17" s="227" t="s">
        <v>10</v>
      </c>
      <c r="B17" s="215" t="s">
        <v>1569</v>
      </c>
      <c r="C17" s="229"/>
      <c r="D17" s="847"/>
      <c r="E17" s="229"/>
      <c r="F17" s="229"/>
      <c r="G17" s="219" t="s">
        <v>1568</v>
      </c>
    </row>
    <row r="18" spans="1:7" s="214" customFormat="1" ht="13.5" hidden="1" customHeight="1">
      <c r="A18" s="227" t="s">
        <v>11</v>
      </c>
      <c r="B18" s="215" t="s">
        <v>1570</v>
      </c>
      <c r="C18" s="220">
        <v>0</v>
      </c>
      <c r="D18" s="846"/>
      <c r="E18" s="218"/>
      <c r="F18" s="221">
        <v>3.0499999999999999E-2</v>
      </c>
      <c r="G18" s="219" t="s">
        <v>1571</v>
      </c>
    </row>
    <row r="19" spans="1:7" s="223" customFormat="1" ht="13.5" customHeight="1">
      <c r="A19" s="255" t="s">
        <v>1572</v>
      </c>
      <c r="B19" s="210" t="s">
        <v>1573</v>
      </c>
      <c r="C19" s="211" t="str">
        <f>IF(G19="已包含在土地取得成本中","0",ROUND(D19*E19,0))</f>
        <v>0</v>
      </c>
      <c r="D19" s="848">
        <f ca="1">D9+D10</f>
        <v>557.98</v>
      </c>
      <c r="E19" s="211">
        <f>'数据-取费表'!B31</f>
        <v>200</v>
      </c>
      <c r="F19" s="231"/>
      <c r="G19" s="1855" t="s">
        <v>3436</v>
      </c>
    </row>
    <row r="20" spans="1:7" s="214" customFormat="1" ht="13.5" customHeight="1">
      <c r="A20" s="255" t="s">
        <v>1574</v>
      </c>
      <c r="B20" s="210" t="s">
        <v>1575</v>
      </c>
      <c r="C20" s="232">
        <f ca="1">ROUND((C5+C19)*F20,0)</f>
        <v>77279</v>
      </c>
      <c r="D20" s="232"/>
      <c r="E20" s="232"/>
      <c r="F20" s="233">
        <f>'数据-取费表'!B37</f>
        <v>0.03</v>
      </c>
      <c r="G20" s="234" t="s">
        <v>1576</v>
      </c>
    </row>
    <row r="21" spans="1:7" s="214" customFormat="1" ht="13.5" customHeight="1">
      <c r="A21" s="255" t="s">
        <v>1577</v>
      </c>
      <c r="B21" s="210" t="s">
        <v>1578</v>
      </c>
      <c r="C21" s="235">
        <f>F21</f>
        <v>0.03</v>
      </c>
      <c r="D21" s="236" t="s">
        <v>1579</v>
      </c>
      <c r="E21" s="232"/>
      <c r="F21" s="233">
        <f>'数据-取费表'!B38</f>
        <v>0.03</v>
      </c>
      <c r="G21" s="234" t="s">
        <v>1580</v>
      </c>
    </row>
    <row r="22" spans="1:7" s="214" customFormat="1" ht="13.5" customHeight="1">
      <c r="A22" s="255" t="s">
        <v>1581</v>
      </c>
      <c r="B22" s="210" t="s">
        <v>1582</v>
      </c>
      <c r="C22" s="1126">
        <f ca="1">ROUND(SUM(C23:C25),0)</f>
        <v>159194</v>
      </c>
      <c r="D22" s="235">
        <f ca="1">C26</f>
        <v>8.9999999999999998E-4</v>
      </c>
      <c r="E22" s="236" t="s">
        <v>1579</v>
      </c>
      <c r="F22" s="237">
        <f ca="1">'数据-取费表'!B40</f>
        <v>0.03</v>
      </c>
      <c r="G22" s="234" t="str">
        <f>IF('数据-取费表'!B22&lt;=1,"单利计息","复利计息")</f>
        <v>复利计息</v>
      </c>
    </row>
    <row r="23" spans="1:7" s="214" customFormat="1" ht="13.5" customHeight="1">
      <c r="A23" s="779" t="s">
        <v>1472</v>
      </c>
      <c r="B23" s="215" t="s">
        <v>1583</v>
      </c>
      <c r="C23" s="1127">
        <f ca="1">ROUND(IF('数据-取费表'!B22&lt;=1,C5*F22*'数据-取费表'!B22,C5*(POWER((1+F22),'数据-取费表'!B22)-1)),0)</f>
        <v>156876</v>
      </c>
      <c r="D23" s="238"/>
      <c r="E23" s="238"/>
      <c r="F23" s="239"/>
      <c r="G23" s="240" t="s">
        <v>1584</v>
      </c>
    </row>
    <row r="24" spans="1:7" s="214" customFormat="1" ht="13.5" customHeight="1">
      <c r="A24" s="779" t="s">
        <v>1474</v>
      </c>
      <c r="B24" s="215" t="s">
        <v>1585</v>
      </c>
      <c r="C24" s="1127">
        <f ca="1">ROUND(IF('数据-取费表'!B22&lt;=1,C19*F22*('数据-取费表'!B19/2+'数据-取费表'!B20),C19*(POWER((1+F22),('数据-取费表'!B19/2+'数据-取费表'!B20))-1)),0)</f>
        <v>0</v>
      </c>
      <c r="D24" s="238"/>
      <c r="E24" s="238"/>
      <c r="F24" s="239"/>
      <c r="G24" s="240" t="s">
        <v>1586</v>
      </c>
    </row>
    <row r="25" spans="1:7" s="214" customFormat="1" ht="24">
      <c r="A25" s="779" t="s">
        <v>1476</v>
      </c>
      <c r="B25" s="215" t="s">
        <v>1587</v>
      </c>
      <c r="C25" s="1127">
        <f ca="1">ROUND(IF('数据-取费表'!B22&lt;=1,C20*F22*'数据-取费表'!B22/2,C20*(POWER((1+F22),'数据-取费表'!B22/2)-1)),0)</f>
        <v>2318</v>
      </c>
      <c r="D25" s="238"/>
      <c r="E25" s="241"/>
      <c r="F25" s="239"/>
      <c r="G25" s="242" t="s">
        <v>1588</v>
      </c>
    </row>
    <row r="26" spans="1:7" s="214" customFormat="1">
      <c r="A26" s="779" t="s">
        <v>350</v>
      </c>
      <c r="B26" s="215" t="s">
        <v>1511</v>
      </c>
      <c r="C26" s="238">
        <f ca="1">ROUND(IF('数据-取费表'!B22&lt;=1,F21*F22*'数据-取费表'!B22/2,F21*(POWER((1+F22),'数据-取费表'!B22/2)-1)),4)</f>
        <v>8.9999999999999998E-4</v>
      </c>
      <c r="D26" s="238"/>
      <c r="E26" s="241"/>
      <c r="F26" s="239"/>
      <c r="G26" s="243"/>
    </row>
    <row r="27" spans="1:7" s="214" customFormat="1" ht="24.75">
      <c r="A27" s="255" t="s">
        <v>1512</v>
      </c>
      <c r="B27" s="244" t="s">
        <v>1513</v>
      </c>
      <c r="C27" s="245">
        <f ca="1">C28</f>
        <v>530647</v>
      </c>
      <c r="D27" s="235">
        <f ca="1">C29</f>
        <v>6.0000000000000001E-3</v>
      </c>
      <c r="E27" s="236" t="s">
        <v>1514</v>
      </c>
      <c r="F27" s="246">
        <f ca="1">IF(B1="",'数据-取费表'!Q16,INDIRECT("'数据-取费表'!q"&amp;$G$1))</f>
        <v>0.2</v>
      </c>
      <c r="G27" s="247" t="s">
        <v>1515</v>
      </c>
    </row>
    <row r="28" spans="1:7" s="214" customFormat="1" ht="13.5" customHeight="1">
      <c r="A28" s="779" t="s">
        <v>346</v>
      </c>
      <c r="B28" s="248" t="s">
        <v>1516</v>
      </c>
      <c r="C28" s="249">
        <f ca="1">ROUND((C5+C19+C20)*F27,0)</f>
        <v>530647</v>
      </c>
      <c r="D28" s="235"/>
      <c r="E28" s="236"/>
      <c r="F28" s="246"/>
      <c r="G28" s="247"/>
    </row>
    <row r="29" spans="1:7" s="214" customFormat="1" ht="13.5" customHeight="1">
      <c r="A29" s="779" t="s">
        <v>347</v>
      </c>
      <c r="B29" s="248" t="s">
        <v>1517</v>
      </c>
      <c r="C29" s="238">
        <f ca="1">ROUND(C21*F27,4)</f>
        <v>6.0000000000000001E-3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3674516</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2499750</v>
      </c>
      <c r="D33" s="232"/>
      <c r="E33" s="212"/>
      <c r="F33" s="241"/>
      <c r="G33" s="234"/>
    </row>
    <row r="34" spans="1:7" s="258" customFormat="1" ht="13.5" customHeight="1">
      <c r="A34" s="779" t="s">
        <v>346</v>
      </c>
      <c r="B34" s="215" t="s">
        <v>1525</v>
      </c>
      <c r="C34" s="220">
        <f ca="1">ROUND(IF(B1="",SUMPRODUCT('数据-取费表'!K6:K14,'数据-取费表'!L6:L14),INDIRECT("'数据-取费表'!l"&amp;$G$1)*INDIRECT("'数据-取费表'!k"&amp;$G$1)+'数据-取费表'!L14*INDIRECT("'数据-取费表'!S"&amp;$G$1)),0)</f>
        <v>2231920</v>
      </c>
      <c r="D34" s="217"/>
      <c r="E34" s="220"/>
      <c r="F34" s="257"/>
      <c r="G34" s="219"/>
    </row>
    <row r="35" spans="1:7" ht="13.5" customHeight="1">
      <c r="A35" s="779" t="s">
        <v>351</v>
      </c>
      <c r="B35" s="215" t="s">
        <v>1527</v>
      </c>
      <c r="C35" s="220">
        <f ca="1">ROUND(C34*F35,0)</f>
        <v>111596</v>
      </c>
      <c r="D35" s="220"/>
      <c r="E35" s="220"/>
      <c r="F35" s="259">
        <f>'数据-取费表'!B33</f>
        <v>0.05</v>
      </c>
      <c r="G35" s="219" t="s">
        <v>1528</v>
      </c>
    </row>
    <row r="36" spans="1:7" ht="24">
      <c r="A36" s="779"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9" t="s">
        <v>353</v>
      </c>
      <c r="B37" s="215" t="s">
        <v>1531</v>
      </c>
      <c r="C37" s="249">
        <f ca="1">ROUND(E37*D37,0)</f>
        <v>111596</v>
      </c>
      <c r="D37" s="217">
        <f ca="1">D19</f>
        <v>557.98</v>
      </c>
      <c r="E37" s="249">
        <f>'数据-取费表'!B35</f>
        <v>200</v>
      </c>
      <c r="F37" s="259"/>
      <c r="G37" s="261"/>
    </row>
    <row r="38" spans="1:7" ht="13.5" customHeight="1">
      <c r="A38" s="779" t="s">
        <v>354</v>
      </c>
      <c r="B38" s="215" t="s">
        <v>1533</v>
      </c>
      <c r="C38" s="220">
        <f ca="1">ROUND(C34*F38,0)</f>
        <v>44638</v>
      </c>
      <c r="D38" s="220"/>
      <c r="E38" s="220"/>
      <c r="F38" s="259">
        <f>'数据-取费表'!B36</f>
        <v>0.02</v>
      </c>
      <c r="G38" s="219" t="s">
        <v>1528</v>
      </c>
    </row>
    <row r="39" spans="1:7" s="214" customFormat="1" ht="13.5" customHeight="1">
      <c r="A39" s="255" t="s">
        <v>1534</v>
      </c>
      <c r="B39" s="210" t="s">
        <v>1535</v>
      </c>
      <c r="C39" s="232">
        <f ca="1">ROUND(C33*F20,0)</f>
        <v>74993</v>
      </c>
      <c r="D39" s="232"/>
      <c r="E39" s="232"/>
      <c r="F39" s="233">
        <f>F20</f>
        <v>0.03</v>
      </c>
      <c r="G39" s="234" t="s">
        <v>1536</v>
      </c>
    </row>
    <row r="40" spans="1:7" s="214" customFormat="1" ht="13.5" customHeight="1">
      <c r="A40" s="255" t="s">
        <v>1537</v>
      </c>
      <c r="B40" s="210" t="s">
        <v>1538</v>
      </c>
      <c r="C40" s="1326">
        <f>F21</f>
        <v>0.03</v>
      </c>
      <c r="D40" s="236" t="s">
        <v>1539</v>
      </c>
      <c r="E40" s="232"/>
      <c r="F40" s="233">
        <f>F21</f>
        <v>0.03</v>
      </c>
      <c r="G40" s="234" t="s">
        <v>1540</v>
      </c>
    </row>
    <row r="41" spans="1:7" s="214" customFormat="1" ht="13.5" customHeight="1">
      <c r="A41" s="255" t="s">
        <v>1541</v>
      </c>
      <c r="B41" s="210" t="s">
        <v>1542</v>
      </c>
      <c r="C41" s="232">
        <f ca="1">ROUND(SUM(C42:C43),0)</f>
        <v>77243</v>
      </c>
      <c r="D41" s="235">
        <f ca="1">C44</f>
        <v>8.9999999999999998E-4</v>
      </c>
      <c r="E41" s="236" t="s">
        <v>1539</v>
      </c>
      <c r="F41" s="237">
        <f ca="1">F22</f>
        <v>0.03</v>
      </c>
      <c r="G41" s="234" t="str">
        <f>IF('数据-取费表'!B22&lt;=1,"单利计息","复利计息")</f>
        <v>复利计息</v>
      </c>
    </row>
    <row r="42" spans="1:7" ht="13.5" customHeight="1">
      <c r="A42" s="779" t="s">
        <v>346</v>
      </c>
      <c r="B42" s="215" t="s">
        <v>1543</v>
      </c>
      <c r="C42" s="238">
        <f ca="1">ROUND(IF('数据-取费表'!B22&lt;=1,C33*F22*'数据-取费表'!B20/2,C33*(POWER((1+F22),'数据-取费表'!B20/2)-1)),0)</f>
        <v>74993</v>
      </c>
      <c r="D42" s="238"/>
      <c r="E42" s="238"/>
      <c r="F42" s="239"/>
      <c r="G42" s="3681" t="s">
        <v>1591</v>
      </c>
    </row>
    <row r="43" spans="1:7" ht="13.5" customHeight="1">
      <c r="A43" s="779" t="s">
        <v>347</v>
      </c>
      <c r="B43" s="215" t="s">
        <v>1545</v>
      </c>
      <c r="C43" s="238">
        <f ca="1">ROUND(IF('数据-取费表'!B22&lt;=1,C39*F22*'数据-取费表'!B20/2,C39*(POWER((1+F22),'数据-取费表'!B20/2)-1)),0)</f>
        <v>2250</v>
      </c>
      <c r="D43" s="238"/>
      <c r="E43" s="238"/>
      <c r="F43" s="239"/>
      <c r="G43" s="3682"/>
    </row>
    <row r="44" spans="1:7" ht="13.5" customHeight="1">
      <c r="A44" s="779" t="s">
        <v>348</v>
      </c>
      <c r="B44" s="215" t="s">
        <v>1546</v>
      </c>
      <c r="C44" s="238">
        <f ca="1">ROUND(IF('数据-取费表'!B22&lt;=1,C40*F22*'数据-取费表'!B20/2,C40*(POWER((1+F22),'数据-取费表'!B20/2)-1)),4)</f>
        <v>8.9999999999999998E-4</v>
      </c>
      <c r="D44" s="238"/>
      <c r="E44" s="238"/>
      <c r="F44" s="239"/>
      <c r="G44" s="3683"/>
    </row>
    <row r="45" spans="1:7" s="214" customFormat="1" ht="13.5" customHeight="1">
      <c r="A45" s="255" t="s">
        <v>1547</v>
      </c>
      <c r="B45" s="244" t="s">
        <v>1513</v>
      </c>
      <c r="C45" s="245">
        <f ca="1">C46</f>
        <v>514949</v>
      </c>
      <c r="D45" s="235">
        <f ca="1">C47</f>
        <v>6.0000000000000001E-3</v>
      </c>
      <c r="E45" s="236" t="s">
        <v>1539</v>
      </c>
      <c r="F45" s="246">
        <f ca="1">F27</f>
        <v>0.2</v>
      </c>
      <c r="G45" s="247" t="s">
        <v>1548</v>
      </c>
    </row>
    <row r="46" spans="1:7" s="214" customFormat="1" ht="13.5" customHeight="1">
      <c r="A46" s="779" t="s">
        <v>346</v>
      </c>
      <c r="B46" s="248" t="s">
        <v>1549</v>
      </c>
      <c r="C46" s="249">
        <f ca="1">ROUND((C33+C39)*F27,0)</f>
        <v>514949</v>
      </c>
      <c r="D46" s="263"/>
      <c r="E46" s="236"/>
      <c r="F46" s="246"/>
      <c r="G46" s="247"/>
    </row>
    <row r="47" spans="1:7" s="214" customFormat="1" ht="13.5" customHeight="1">
      <c r="A47" s="779" t="s">
        <v>347</v>
      </c>
      <c r="B47" s="248" t="s">
        <v>1550</v>
      </c>
      <c r="C47" s="238">
        <f ca="1">ROUND(C40*F27,4)</f>
        <v>6.0000000000000001E-3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3480913</v>
      </c>
      <c r="D49" s="232"/>
      <c r="E49" s="232"/>
      <c r="F49" s="264"/>
      <c r="G49" s="234" t="s">
        <v>1554</v>
      </c>
    </row>
    <row r="50" spans="1:7" s="258" customFormat="1">
      <c r="A50" s="255" t="s">
        <v>1555</v>
      </c>
      <c r="B50" s="210" t="s">
        <v>1556</v>
      </c>
      <c r="C50" s="232"/>
      <c r="D50" s="232"/>
      <c r="E50" s="232"/>
      <c r="F50" s="264">
        <f>IF('数据-取费表'!B24=0,'数据-取费表'!N16,1)</f>
        <v>0.85</v>
      </c>
      <c r="G50" s="247"/>
    </row>
    <row r="51" spans="1:7" ht="16.5" customHeight="1">
      <c r="A51" s="255" t="s">
        <v>1558</v>
      </c>
      <c r="B51" s="210" t="s">
        <v>1593</v>
      </c>
      <c r="C51" s="232">
        <f ca="1">ROUND(C49*F50,0)</f>
        <v>2958776</v>
      </c>
      <c r="D51" s="232"/>
      <c r="E51" s="232"/>
      <c r="F51" s="264"/>
      <c r="G51" s="234" t="s">
        <v>1560</v>
      </c>
    </row>
    <row r="52" spans="1:7" s="208" customFormat="1" ht="16.5" thickBot="1">
      <c r="A52" s="265" t="s">
        <v>1561</v>
      </c>
      <c r="B52" s="266"/>
      <c r="C52" s="267">
        <f ca="1">C31+C51</f>
        <v>6633292</v>
      </c>
      <c r="D52" s="266"/>
      <c r="E52" s="266"/>
      <c r="F52" s="266"/>
      <c r="G52" s="268"/>
    </row>
    <row r="55" spans="1:7" ht="15">
      <c r="B55" s="270" t="s">
        <v>1562</v>
      </c>
      <c r="C55" s="271"/>
    </row>
    <row r="56" spans="1:7">
      <c r="B56" s="273" t="s">
        <v>802</v>
      </c>
      <c r="C56" s="275">
        <f ca="1">1-C57</f>
        <v>0.55400000000000005</v>
      </c>
    </row>
    <row r="57" spans="1:7">
      <c r="B57" s="273" t="s">
        <v>803</v>
      </c>
      <c r="C57" s="274">
        <f ca="1">ROUND(C51/C52,3)</f>
        <v>0.44600000000000001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6" t="s">
        <v>1594</v>
      </c>
      <c r="B1" s="1190"/>
      <c r="C1" s="1191"/>
      <c r="D1" s="1189"/>
      <c r="E1" s="2805"/>
      <c r="F1" s="2805"/>
      <c r="G1" s="2670"/>
      <c r="H1" s="2805"/>
      <c r="I1" s="2805"/>
      <c r="J1" s="2805"/>
      <c r="K1" s="2806">
        <f>MATCH(C1,'数据-取费表'!A6:A16,0)+5</f>
        <v>8</v>
      </c>
    </row>
    <row r="2" spans="1:33" ht="18" customHeight="1">
      <c r="A2" s="201" t="s">
        <v>1462</v>
      </c>
      <c r="B2" s="204">
        <f ca="1">C32</f>
        <v>134033</v>
      </c>
      <c r="C2" s="276" t="s">
        <v>1595</v>
      </c>
      <c r="D2" s="276"/>
      <c r="E2" s="2805"/>
      <c r="F2" s="2805"/>
      <c r="G2" s="2805"/>
      <c r="H2" s="2805"/>
      <c r="I2" s="2805"/>
      <c r="J2" s="2805"/>
      <c r="K2" s="2805"/>
    </row>
    <row r="3" spans="1:33" ht="18" customHeight="1" thickBot="1">
      <c r="A3" s="203" t="s">
        <v>1464</v>
      </c>
      <c r="B3" s="204">
        <f ca="1">ROUND(B2*10000/IF(C1="",'数据-汇总表'!E3,INDIRECT("'数据-取费表'!K"&amp;$K$1)),0)</f>
        <v>2402111</v>
      </c>
      <c r="C3" s="276" t="s">
        <v>1596</v>
      </c>
      <c r="D3" s="276"/>
      <c r="E3" s="2805"/>
      <c r="F3" s="2805"/>
      <c r="G3" s="2805"/>
      <c r="H3" s="2805"/>
      <c r="I3" s="2805"/>
      <c r="J3" s="2805"/>
      <c r="K3" s="2805"/>
    </row>
    <row r="4" spans="1:33" s="784" customFormat="1" ht="16.5" customHeight="1">
      <c r="A4" s="781" t="s">
        <v>1597</v>
      </c>
      <c r="B4" s="782"/>
      <c r="C4" s="823">
        <f>SUM(C8:K8)</f>
        <v>0</v>
      </c>
      <c r="D4" s="782"/>
      <c r="E4" s="782"/>
      <c r="F4" s="782"/>
      <c r="G4" s="782"/>
      <c r="H4" s="782"/>
      <c r="I4" s="782"/>
      <c r="J4" s="782"/>
      <c r="K4" s="783"/>
    </row>
    <row r="5" spans="1:33" s="788" customFormat="1" ht="15">
      <c r="A5" s="785" t="s">
        <v>1598</v>
      </c>
      <c r="B5" s="786" t="s">
        <v>1599</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1" t="s">
        <v>1600</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1603</v>
      </c>
      <c r="B8" s="164" t="s">
        <v>1604</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1605</v>
      </c>
      <c r="B9" s="782"/>
      <c r="C9" s="782"/>
      <c r="D9" s="782"/>
      <c r="E9" s="782"/>
      <c r="F9" s="782"/>
      <c r="G9" s="782"/>
      <c r="H9" s="782"/>
      <c r="I9" s="782"/>
      <c r="J9" s="782"/>
      <c r="K9" s="783"/>
    </row>
    <row r="10" spans="1:33" s="798" customFormat="1" ht="13.5" customHeight="1">
      <c r="A10" s="785" t="s">
        <v>1606</v>
      </c>
      <c r="B10" s="5" t="s">
        <v>1607</v>
      </c>
      <c r="C10" s="794" t="s">
        <v>1608</v>
      </c>
      <c r="D10" s="795" t="s">
        <v>1609</v>
      </c>
      <c r="E10" s="795" t="s">
        <v>1610</v>
      </c>
      <c r="F10" s="795" t="s">
        <v>1611</v>
      </c>
      <c r="G10" s="5"/>
      <c r="H10" s="796"/>
      <c r="I10" s="796"/>
      <c r="J10" s="796"/>
      <c r="K10" s="797"/>
    </row>
    <row r="11" spans="1:33" s="802" customFormat="1" ht="13.5" customHeight="1">
      <c r="A11" s="799" t="s">
        <v>635</v>
      </c>
      <c r="B11" s="800" t="s">
        <v>1612</v>
      </c>
      <c r="C11" s="279">
        <f ca="1">IF(C1="",'数据-取费表'!P16,INDIRECT("'数据-取费表'!p"&amp;$K$1)+INDIRECT("'数据-取费表'!ar"&amp;$K$1))</f>
        <v>0</v>
      </c>
      <c r="D11" s="801"/>
      <c r="E11" s="329"/>
      <c r="F11" s="811">
        <f ca="1">1-IF('数据-取费表'!B24=0,1,IF(C1="",'数据-取费表'!N16,INDIRECT("'数据-取费表'!n"&amp;$K$1)))</f>
        <v>0</v>
      </c>
      <c r="G11" s="5"/>
      <c r="H11" s="796"/>
      <c r="I11" s="796"/>
      <c r="J11" s="796"/>
      <c r="K11" s="797"/>
    </row>
    <row r="12" spans="1:33" s="802" customFormat="1" ht="13.5" customHeight="1">
      <c r="A12" s="799" t="s">
        <v>636</v>
      </c>
      <c r="B12" s="800" t="s">
        <v>1613</v>
      </c>
      <c r="C12" s="21">
        <f ca="1">ROUND(C11*F12,0)</f>
        <v>0</v>
      </c>
      <c r="D12" s="801"/>
      <c r="E12" s="329"/>
      <c r="F12" s="811">
        <f>'数据-取费表'!B33</f>
        <v>0.05</v>
      </c>
      <c r="G12" s="5" t="s">
        <v>1614</v>
      </c>
      <c r="H12" s="796"/>
      <c r="I12" s="796"/>
      <c r="J12" s="796"/>
      <c r="K12" s="797"/>
    </row>
    <row r="13" spans="1:33" s="802" customFormat="1" ht="13.5" customHeight="1">
      <c r="A13" s="799" t="s">
        <v>637</v>
      </c>
      <c r="B13" s="800" t="s">
        <v>1615</v>
      </c>
      <c r="C13" s="21">
        <f ca="1">ROUND(IF(C1="",SUMIF('数据-取费表'!C:C,"住宅",'数据-取费表'!P:P)*F13,IF(INDIRECT("'数据-取费表'!c"&amp;$K$1)="住宅",INDIRECT("'数据-取费表'!P"&amp;$K$1)*F13,0)),0)</f>
        <v>0</v>
      </c>
      <c r="D13" s="845"/>
      <c r="E13" s="329"/>
      <c r="F13" s="811">
        <f>'数据-取费表'!B34</f>
        <v>0</v>
      </c>
      <c r="G13" s="5" t="s">
        <v>1616</v>
      </c>
      <c r="H13" s="796"/>
      <c r="I13" s="796"/>
      <c r="J13" s="796"/>
      <c r="K13" s="797"/>
    </row>
    <row r="14" spans="1:33" s="804" customFormat="1" ht="13.5" customHeight="1">
      <c r="A14" s="799" t="s">
        <v>638</v>
      </c>
      <c r="B14" s="800" t="s">
        <v>1617</v>
      </c>
      <c r="C14" s="21">
        <f ca="1">ROUND(D14*E14*F11/10000,0)</f>
        <v>0</v>
      </c>
      <c r="D14" s="845">
        <f ca="1">IF(C1="",'数据-汇总表'!E3,INDIRECT("'数据-取费表'!K"&amp;$K$1)+INDIRECT("'数据-取费表'!S"&amp;$K$1))</f>
        <v>557.98</v>
      </c>
      <c r="E14" s="21">
        <f>'数据-取费表'!B35</f>
        <v>200</v>
      </c>
      <c r="F14" s="803"/>
      <c r="G14" s="5" t="s">
        <v>1618</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1619</v>
      </c>
      <c r="C15" s="810">
        <f ca="1">ROUND(C11*F15,0)</f>
        <v>0</v>
      </c>
      <c r="D15" s="805"/>
      <c r="E15" s="810"/>
      <c r="F15" s="811">
        <f>'数据-取费表'!B36</f>
        <v>0.02</v>
      </c>
      <c r="G15" s="131" t="s">
        <v>1620</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1621</v>
      </c>
      <c r="C16" s="810">
        <f ca="1">SUM(C11:C15)</f>
        <v>0</v>
      </c>
      <c r="D16" s="805"/>
      <c r="E16" s="810"/>
      <c r="F16" s="811"/>
      <c r="G16" s="131"/>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1622</v>
      </c>
      <c r="C17" s="21">
        <f ca="1">ROUND(D17*E17/10000,0)</f>
        <v>0</v>
      </c>
      <c r="D17" s="845">
        <f ca="1">D14</f>
        <v>557.98</v>
      </c>
      <c r="E17" s="21">
        <f>'数据-取费表'!B32</f>
        <v>0</v>
      </c>
      <c r="F17" s="805"/>
      <c r="G17" s="131" t="s">
        <v>1623</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1624</v>
      </c>
      <c r="C18" s="21">
        <f ca="1">C19+C20-IF(C1="",'数据-取费表'!B29,IF(G18="已全部缴纳",C19+C20,H18))</f>
        <v>-111585</v>
      </c>
      <c r="D18" s="845"/>
      <c r="E18" s="21"/>
      <c r="F18" s="803"/>
      <c r="G18" s="1861"/>
      <c r="H18" s="1186"/>
      <c r="I18" s="1862" t="s">
        <v>1625</v>
      </c>
      <c r="J18" s="806"/>
      <c r="K18" s="807"/>
    </row>
    <row r="19" spans="1:33" s="802" customFormat="1" ht="13.5" customHeight="1">
      <c r="A19" s="799" t="s">
        <v>360</v>
      </c>
      <c r="B19" s="800" t="s">
        <v>1626</v>
      </c>
      <c r="C19" s="21">
        <f ca="1">ROUND(D19*E19/10000,0)</f>
        <v>0</v>
      </c>
      <c r="D19" s="845">
        <f ca="1">IF(C1="",'数据-汇总表'!E5,IF(INDIRECT("'数据-取费表'!c"&amp;$K$1)="住宅",INDIRECT("'数据-取费表'!k"&amp;$K$1),0))</f>
        <v>0</v>
      </c>
      <c r="E19" s="21">
        <f>'数据-取费表'!B27</f>
        <v>0</v>
      </c>
      <c r="F19" s="803"/>
      <c r="G19" s="12"/>
      <c r="H19" s="1188"/>
      <c r="I19" s="808"/>
      <c r="J19" s="808"/>
      <c r="K19" s="809"/>
    </row>
    <row r="20" spans="1:33" s="802" customFormat="1" ht="13.5" customHeight="1">
      <c r="A20" s="799" t="s">
        <v>361</v>
      </c>
      <c r="B20" s="800" t="s">
        <v>1627</v>
      </c>
      <c r="C20" s="21">
        <f ca="1">ROUND(D20*E20/10000,0)</f>
        <v>11</v>
      </c>
      <c r="D20" s="845">
        <f ca="1">IF(C1="",'数据-汇总表'!E6,IF(INDIRECT("'数据-取费表'!c"&amp;$K$1)="住宅",INDIRECT("'数据-取费表'!s"&amp;$K$1),INDIRECT("'数据-取费表'!k"&amp;$K$1)+INDIRECT("'数据-取费表'!s"&amp;$K$1)))</f>
        <v>557.98</v>
      </c>
      <c r="E20" s="21">
        <f>'数据-取费表'!B28</f>
        <v>200</v>
      </c>
      <c r="F20" s="803"/>
      <c r="G20" s="12"/>
      <c r="H20" s="808"/>
      <c r="I20" s="808"/>
      <c r="J20" s="808"/>
      <c r="K20" s="809"/>
    </row>
    <row r="21" spans="1:33" s="802" customFormat="1" ht="13.5" customHeight="1">
      <c r="A21" s="789" t="s">
        <v>357</v>
      </c>
      <c r="B21" s="812" t="s">
        <v>1628</v>
      </c>
      <c r="C21" s="813">
        <f ca="1">C16+C17+C18</f>
        <v>-111585</v>
      </c>
      <c r="D21" s="814"/>
      <c r="E21" s="281"/>
      <c r="F21" s="281"/>
      <c r="G21" s="131" t="s">
        <v>1629</v>
      </c>
      <c r="H21" s="806"/>
      <c r="I21" s="806"/>
      <c r="J21" s="806"/>
      <c r="K21" s="807"/>
    </row>
    <row r="22" spans="1:33" s="802" customFormat="1" ht="13.5" customHeight="1">
      <c r="A22" s="789" t="s">
        <v>1601</v>
      </c>
      <c r="B22" s="812" t="s">
        <v>1630</v>
      </c>
      <c r="C22" s="813">
        <f ca="1">ROUND(C21*F22,0)</f>
        <v>-3348</v>
      </c>
      <c r="D22" s="281"/>
      <c r="E22" s="281"/>
      <c r="F22" s="815">
        <f>'数据-取费表'!B37</f>
        <v>0.03</v>
      </c>
      <c r="G22" s="5" t="s">
        <v>1631</v>
      </c>
      <c r="H22" s="796"/>
      <c r="I22" s="796"/>
      <c r="J22" s="796"/>
      <c r="K22" s="797"/>
    </row>
    <row r="23" spans="1:33" s="802" customFormat="1" ht="13.5" customHeight="1">
      <c r="A23" s="789" t="s">
        <v>1603</v>
      </c>
      <c r="B23" s="812" t="s">
        <v>1632</v>
      </c>
      <c r="C23" s="813">
        <f ca="1">ROUND(C4*F23*F11,0)</f>
        <v>0</v>
      </c>
      <c r="D23" s="281"/>
      <c r="E23" s="281"/>
      <c r="F23" s="815">
        <f>'数据-取费表'!B38</f>
        <v>0.03</v>
      </c>
      <c r="G23" s="5" t="s">
        <v>1633</v>
      </c>
      <c r="H23" s="796"/>
      <c r="I23" s="796"/>
      <c r="J23" s="796"/>
      <c r="K23" s="797"/>
    </row>
    <row r="24" spans="1:33" s="802" customFormat="1" ht="13.5" customHeight="1">
      <c r="A24" s="789" t="s">
        <v>1634</v>
      </c>
      <c r="B24" s="812" t="s">
        <v>1635</v>
      </c>
      <c r="C24" s="280">
        <f>ROUND(F24/(1+'数据-取费表'!C42),4)</f>
        <v>2.9000000000000001E-2</v>
      </c>
      <c r="D24" s="281" t="s">
        <v>12</v>
      </c>
      <c r="E24" s="281"/>
      <c r="F24" s="815">
        <f>IF(项目基本情况!B8="出让",0,'数据-取费表'!B48+'数据-取费表'!B49)</f>
        <v>3.0499999999999999E-2</v>
      </c>
      <c r="G24" s="5" t="s">
        <v>1636</v>
      </c>
      <c r="H24" s="817"/>
      <c r="I24" s="817"/>
      <c r="J24" s="817"/>
      <c r="K24" s="818"/>
    </row>
    <row r="25" spans="1:33" s="802" customFormat="1" ht="13.5" customHeight="1">
      <c r="A25" s="789" t="s">
        <v>1637</v>
      </c>
      <c r="B25" s="814" t="s">
        <v>1638</v>
      </c>
      <c r="C25" s="1105">
        <f ca="1">C27</f>
        <v>0</v>
      </c>
      <c r="D25" s="280">
        <f ca="1">C26</f>
        <v>0</v>
      </c>
      <c r="E25" s="282" t="s">
        <v>12</v>
      </c>
      <c r="F25" s="283">
        <f ca="1">'数据-取费表'!B40</f>
        <v>0.03</v>
      </c>
      <c r="G25" s="131"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1639</v>
      </c>
      <c r="C26" s="1106">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1640</v>
      </c>
      <c r="C27" s="1107">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6"/>
      <c r="I27" s="806"/>
      <c r="J27" s="806"/>
      <c r="K27" s="807"/>
    </row>
    <row r="28" spans="1:33" s="289" customFormat="1" ht="13.5" customHeight="1">
      <c r="A28" s="789" t="s">
        <v>1641</v>
      </c>
      <c r="B28" s="1864" t="s">
        <v>1642</v>
      </c>
      <c r="C28" s="287">
        <f ca="1">C30</f>
        <v>-22987</v>
      </c>
      <c r="D28" s="280">
        <f ca="1">C29</f>
        <v>0</v>
      </c>
      <c r="E28" s="282" t="s">
        <v>12</v>
      </c>
      <c r="F28" s="288">
        <f ca="1">IF(C1="",'数据-取费表'!Q16,INDIRECT("'数据-取费表'!q"&amp;$K$1))</f>
        <v>0.2</v>
      </c>
      <c r="G28" s="816"/>
      <c r="H28" s="817"/>
      <c r="I28" s="817"/>
      <c r="J28" s="817"/>
      <c r="K28" s="818"/>
    </row>
    <row r="29" spans="1:33" s="291" customFormat="1" ht="13.5" customHeight="1">
      <c r="A29" s="799" t="s">
        <v>358</v>
      </c>
      <c r="B29" s="821" t="s">
        <v>1643</v>
      </c>
      <c r="C29" s="284">
        <f ca="1">ROUND((1+C24)*F28*'数据-取费表'!B24/'数据-取费表'!B20,4)</f>
        <v>0</v>
      </c>
      <c r="D29" s="284"/>
      <c r="E29" s="285"/>
      <c r="F29" s="290"/>
      <c r="G29" s="131" t="s">
        <v>1644</v>
      </c>
      <c r="H29" s="806"/>
      <c r="I29" s="806"/>
      <c r="J29" s="806"/>
      <c r="K29" s="807"/>
    </row>
    <row r="30" spans="1:33" s="291" customFormat="1" ht="13.5" customHeight="1">
      <c r="A30" s="799" t="s">
        <v>359</v>
      </c>
      <c r="B30" s="821" t="s">
        <v>1645</v>
      </c>
      <c r="C30" s="292">
        <f ca="1">ROUND((C21+C22+C23)*F28,0)</f>
        <v>-22987</v>
      </c>
      <c r="D30" s="284"/>
      <c r="E30" s="285"/>
      <c r="F30" s="290"/>
      <c r="G30" s="131"/>
      <c r="H30" s="806"/>
      <c r="I30" s="806"/>
      <c r="J30" s="806"/>
      <c r="K30" s="807"/>
    </row>
    <row r="31" spans="1:33" s="802" customFormat="1" ht="13.5" customHeight="1" thickBot="1">
      <c r="A31" s="1865" t="s">
        <v>1646</v>
      </c>
      <c r="B31" s="832" t="s">
        <v>1647</v>
      </c>
      <c r="C31" s="833">
        <f>ROUND(C4*F31/(1+'数据-取费表'!C42),0)</f>
        <v>0</v>
      </c>
      <c r="D31" s="834"/>
      <c r="E31" s="835"/>
      <c r="F31" s="836">
        <f>'数据-取费表'!B41</f>
        <v>5.6000000000000001E-2</v>
      </c>
      <c r="G31" s="837" t="s">
        <v>1648</v>
      </c>
      <c r="H31" s="838"/>
      <c r="I31" s="838"/>
      <c r="J31" s="838"/>
      <c r="K31" s="839"/>
    </row>
    <row r="32" spans="1:33" s="798" customFormat="1" ht="13.5" customHeight="1" thickBot="1">
      <c r="A32" s="827" t="s">
        <v>1649</v>
      </c>
      <c r="B32" s="828"/>
      <c r="C32" s="829">
        <f ca="1">ROUND((C4-C21-C22-C23-C25-C28-C31)/(1+C24+D25+D28),0)</f>
        <v>134033</v>
      </c>
      <c r="D32" s="828"/>
      <c r="E32" s="828"/>
      <c r="F32" s="828"/>
      <c r="G32" s="830" t="s">
        <v>1650</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4" customWidth="1"/>
    <col min="3" max="3" width="11.875" style="654"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c r="D1" s="1361" t="s">
        <v>43</v>
      </c>
      <c r="E1" s="1362" t="s">
        <v>678</v>
      </c>
      <c r="F1" s="1061">
        <f ca="1">J53</f>
        <v>0</v>
      </c>
      <c r="G1" s="1377">
        <f>MATCH(C1,'数据-取费表'!A6:A16,0)+5</f>
        <v>8</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804</v>
      </c>
      <c r="B2" s="1385" t="e">
        <f ca="1">C40+J29+L46</f>
        <v>#DIV/0!</v>
      </c>
      <c r="C2" s="1386" t="s">
        <v>805</v>
      </c>
      <c r="D2" s="1386"/>
      <c r="E2" s="1387"/>
      <c r="F2" s="1388"/>
      <c r="G2" s="2705"/>
      <c r="H2" s="2694"/>
      <c r="I2" s="2694"/>
      <c r="J2" s="2694"/>
      <c r="K2" s="2695"/>
      <c r="L2" s="2694"/>
      <c r="M2" s="2694"/>
    </row>
    <row r="3" spans="1:37" ht="18" customHeight="1" thickBot="1">
      <c r="A3" s="1389" t="s">
        <v>806</v>
      </c>
      <c r="B3" s="1390">
        <f ca="1">IF(ISERROR(B2*10000/F43),0,ROUND(B2*10000/F43,0))</f>
        <v>0</v>
      </c>
      <c r="C3" s="1386" t="s">
        <v>807</v>
      </c>
      <c r="D3" s="1386"/>
      <c r="E3" s="1387"/>
      <c r="F3" s="1388"/>
      <c r="G3" s="2705"/>
      <c r="H3" s="682"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69">
        <f ca="1">C6+C10+C12</f>
        <v>0</v>
      </c>
      <c r="D5" s="1363" t="s">
        <v>693</v>
      </c>
      <c r="E5" s="1070"/>
      <c r="F5" s="1071"/>
      <c r="G5" s="1383"/>
      <c r="H5" s="299">
        <v>1</v>
      </c>
      <c r="I5" s="300" t="s">
        <v>692</v>
      </c>
      <c r="J5" s="1069">
        <f ca="1">J6+J10+J12</f>
        <v>0</v>
      </c>
      <c r="K5" s="1363" t="s">
        <v>693</v>
      </c>
      <c r="L5" s="1070"/>
      <c r="M5" s="1071"/>
    </row>
    <row r="6" spans="1:37" ht="18" customHeight="1">
      <c r="A6" s="1068" t="s">
        <v>398</v>
      </c>
      <c r="B6" s="3686" t="s">
        <v>694</v>
      </c>
      <c r="C6" s="1073">
        <f ca="1">ROUND(F6*F8*F7*(1-F9)/10000,0)</f>
        <v>0</v>
      </c>
      <c r="D6" s="155" t="s">
        <v>2109</v>
      </c>
      <c r="E6" s="302" t="s">
        <v>696</v>
      </c>
      <c r="F6" s="303">
        <f ca="1">INDIRECT("'数据-取费表'!u"&amp;$G$1)</f>
        <v>0</v>
      </c>
      <c r="G6" s="1383"/>
      <c r="H6" s="1068" t="s">
        <v>398</v>
      </c>
      <c r="I6" s="3686" t="s">
        <v>694</v>
      </c>
      <c r="J6" s="301">
        <f ca="1">ROUND(M6*M8*M7*(1-M9)/10000,0)</f>
        <v>0</v>
      </c>
      <c r="K6" s="155" t="s">
        <v>2108</v>
      </c>
      <c r="L6" s="302" t="s">
        <v>696</v>
      </c>
      <c r="M6" s="303">
        <f ca="1">INDIRECT("'数据-取费表'!z"&amp;$G$1)</f>
        <v>0</v>
      </c>
    </row>
    <row r="7" spans="1:37" ht="18" customHeight="1">
      <c r="A7" s="1072"/>
      <c r="B7" s="3687"/>
      <c r="C7" s="1074"/>
      <c r="D7" s="307"/>
      <c r="E7" s="1075" t="s">
        <v>697</v>
      </c>
      <c r="F7" s="303">
        <f ca="1">IF(INDIRECT("'数据-取费表'!ah"&amp;$G$1)="",INDIRECT("'数据-取费表'!k"&amp;$G$1),INDIRECT("'数据-取费表'!ah"&amp;$G$1))</f>
        <v>0</v>
      </c>
      <c r="G7" s="1383"/>
      <c r="H7" s="304"/>
      <c r="I7" s="3687"/>
      <c r="J7" s="306"/>
      <c r="K7" s="307"/>
      <c r="L7" s="302" t="s">
        <v>697</v>
      </c>
      <c r="M7" s="303">
        <f ca="1">F7</f>
        <v>0</v>
      </c>
    </row>
    <row r="8" spans="1:37" ht="18" customHeight="1">
      <c r="A8" s="304"/>
      <c r="B8" s="3687"/>
      <c r="C8" s="306"/>
      <c r="D8" s="307"/>
      <c r="E8" s="302" t="s">
        <v>698</v>
      </c>
      <c r="F8" s="303">
        <f ca="1">INDIRECT("'数据-取费表'!ai"&amp;$G$1)</f>
        <v>0</v>
      </c>
      <c r="G8" s="1383"/>
      <c r="H8" s="304"/>
      <c r="I8" s="3687"/>
      <c r="J8" s="306"/>
      <c r="K8" s="307"/>
      <c r="L8" s="302" t="s">
        <v>698</v>
      </c>
      <c r="M8" s="303">
        <f ca="1">INDIRECT("'数据-取费表'!ai"&amp;$G$1)</f>
        <v>0</v>
      </c>
    </row>
    <row r="9" spans="1:37" ht="18" customHeight="1">
      <c r="A9" s="304"/>
      <c r="B9" s="3688"/>
      <c r="C9" s="306"/>
      <c r="D9" s="307"/>
      <c r="E9" s="302" t="s">
        <v>699</v>
      </c>
      <c r="F9" s="312">
        <f ca="1">INDIRECT("'数据-取费表'!w"&amp;$G$1)</f>
        <v>0</v>
      </c>
      <c r="G9" s="1383"/>
      <c r="H9" s="304"/>
      <c r="I9" s="3688"/>
      <c r="J9" s="306"/>
      <c r="K9" s="307"/>
      <c r="L9" s="313" t="s">
        <v>699</v>
      </c>
      <c r="M9" s="314">
        <f ca="1">INDIRECT("'数据-取费表'!ab"&amp;$G$1)</f>
        <v>0</v>
      </c>
    </row>
    <row r="10" spans="1:37" ht="18" customHeight="1">
      <c r="A10" s="1068" t="s">
        <v>402</v>
      </c>
      <c r="B10" s="1364" t="s">
        <v>700</v>
      </c>
      <c r="C10" s="316">
        <f ca="1">ROUND(IF(F10="押一",C6/12*F11,IF(F10="押二",C6/12*2*F11,IF(F10="押三",C6/12*3*F11,C11*F11))),0)</f>
        <v>0</v>
      </c>
      <c r="D10" s="1365" t="s">
        <v>2117</v>
      </c>
      <c r="E10" s="313" t="s">
        <v>701</v>
      </c>
      <c r="F10" s="1115"/>
      <c r="G10" s="1383"/>
      <c r="H10" s="1068" t="s">
        <v>402</v>
      </c>
      <c r="I10" s="1364" t="s">
        <v>700</v>
      </c>
      <c r="J10" s="301">
        <f ca="1">ROUND(IF(M10="押一",J6/12*M11,IF(M10="押二",J6/12*2*M11,IF(M10="押三",J6/12*3*M11,J11*M11))),0)</f>
        <v>0</v>
      </c>
      <c r="K10" s="1365" t="s">
        <v>2116</v>
      </c>
      <c r="L10" s="313" t="s">
        <v>701</v>
      </c>
      <c r="M10" s="1115"/>
    </row>
    <row r="11" spans="1:37" ht="18" customHeight="1">
      <c r="A11" s="308"/>
      <c r="B11" s="1366" t="s">
        <v>679</v>
      </c>
      <c r="C11" s="958"/>
      <c r="D11" s="1367"/>
      <c r="E11" s="313" t="s">
        <v>702</v>
      </c>
      <c r="F11" s="314">
        <f ca="1">'数据-取费表'!B39</f>
        <v>1.4999999999999999E-2</v>
      </c>
      <c r="G11" s="1383"/>
      <c r="H11" s="1076"/>
      <c r="I11" s="1366" t="s">
        <v>679</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0</v>
      </c>
      <c r="D13" s="1080" t="s">
        <v>705</v>
      </c>
      <c r="E13" s="1080" t="s">
        <v>706</v>
      </c>
      <c r="F13" s="1081">
        <f ca="1">INDIRECT("'数据-取费表'!y"&amp;$G$1)</f>
        <v>0</v>
      </c>
      <c r="G13" s="1383"/>
      <c r="H13" s="1078">
        <v>2</v>
      </c>
      <c r="I13" s="1079" t="s">
        <v>704</v>
      </c>
      <c r="J13" s="1067">
        <f ca="1">ROUND(J14*J15,0)</f>
        <v>0</v>
      </c>
      <c r="K13" s="1086" t="s">
        <v>705</v>
      </c>
      <c r="L13" s="1391"/>
      <c r="M13" s="1392"/>
    </row>
    <row r="14" spans="1:37" ht="18" customHeight="1">
      <c r="A14" s="981" t="s">
        <v>397</v>
      </c>
      <c r="B14" s="302" t="s">
        <v>707</v>
      </c>
      <c r="C14" s="318">
        <f ca="1">INDIRECT("'数据-取费表'!m"&amp;$G$1)+INDIRECT("'数据-取费表'!t"&amp;$G$1)</f>
        <v>0</v>
      </c>
      <c r="D14" s="1344" t="s">
        <v>708</v>
      </c>
      <c r="E14" s="1341"/>
      <c r="F14" s="319"/>
      <c r="G14" s="1383"/>
      <c r="H14" s="981" t="s">
        <v>398</v>
      </c>
      <c r="I14" s="302" t="s">
        <v>709</v>
      </c>
      <c r="J14" s="21">
        <f ca="1">C29</f>
        <v>0</v>
      </c>
      <c r="K14" s="12"/>
      <c r="L14" s="806"/>
      <c r="M14" s="807"/>
    </row>
    <row r="15" spans="1:37" s="1396" customFormat="1" ht="18" customHeight="1" thickBot="1">
      <c r="A15" s="981" t="s">
        <v>399</v>
      </c>
      <c r="B15" s="302" t="s">
        <v>710</v>
      </c>
      <c r="C15" s="21">
        <f ca="1">ROUND(C14*F15,0)</f>
        <v>0</v>
      </c>
      <c r="D15" s="320" t="s">
        <v>711</v>
      </c>
      <c r="E15" s="320" t="s">
        <v>712</v>
      </c>
      <c r="F15" s="321">
        <f>'数据-取费表'!B33</f>
        <v>0.05</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ROUND(INDIRECT("'数据-取费表'!m"&amp;$G$1)*F16,0)</f>
        <v>0</v>
      </c>
      <c r="D16" s="302" t="s">
        <v>711</v>
      </c>
      <c r="E16" s="302" t="s">
        <v>712</v>
      </c>
      <c r="F16" s="322">
        <f ca="1">IF(INDIRECT("'数据-取费表'!c"&amp;$G$1)="住宅",'数据-取费表'!B34,0)</f>
        <v>0</v>
      </c>
      <c r="G16" s="1383"/>
      <c r="H16" s="1078" t="s">
        <v>393</v>
      </c>
      <c r="I16" s="1079" t="s">
        <v>714</v>
      </c>
      <c r="J16" s="310">
        <f ca="1">ROUND(J17+J22+J23+J24,0)</f>
        <v>0</v>
      </c>
      <c r="K16" s="1086" t="s">
        <v>715</v>
      </c>
      <c r="L16" s="1087"/>
      <c r="M16" s="1071"/>
    </row>
    <row r="17" spans="1:37" s="1396" customFormat="1" ht="18" customHeight="1">
      <c r="A17" s="981" t="s">
        <v>681</v>
      </c>
      <c r="B17" s="302" t="s">
        <v>716</v>
      </c>
      <c r="C17" s="21">
        <f ca="1">ROUND(F17*(F43+INDIRECT("'数据-取费表'!S"&amp;$G$1))/10000,0)</f>
        <v>0</v>
      </c>
      <c r="D17" s="302" t="s">
        <v>717</v>
      </c>
      <c r="E17" s="302" t="s">
        <v>718</v>
      </c>
      <c r="F17" s="23">
        <f>'数据-取费表'!B35</f>
        <v>200</v>
      </c>
      <c r="G17" s="1395"/>
      <c r="H17" s="981" t="s">
        <v>398</v>
      </c>
      <c r="I17" s="302" t="s">
        <v>719</v>
      </c>
      <c r="J17" s="2315">
        <f ca="1">ROUND(IF(AND(项目基本情况!B11="自然人",项目基本情况!B10="北京市"),J6*M17/(1+'数据-取费表'!C42),J18+J19+J20),2)</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0</v>
      </c>
      <c r="D18" s="302" t="s">
        <v>711</v>
      </c>
      <c r="E18" s="302" t="s">
        <v>712</v>
      </c>
      <c r="F18" s="322">
        <f>'数据-取费表'!B36</f>
        <v>0.02</v>
      </c>
      <c r="G18" s="1395"/>
      <c r="H18" s="981" t="s">
        <v>397</v>
      </c>
      <c r="I18" s="302" t="s">
        <v>723</v>
      </c>
      <c r="J18" s="21">
        <f ca="1">ROUND(J6*M18/(1+'数据-取费表'!C42),2)</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0</v>
      </c>
      <c r="D19" s="131" t="s">
        <v>726</v>
      </c>
      <c r="E19" s="1359"/>
      <c r="F19" s="23"/>
      <c r="G19" s="1383"/>
      <c r="H19" s="981" t="s">
        <v>399</v>
      </c>
      <c r="I19" s="302" t="s">
        <v>727</v>
      </c>
      <c r="J19" s="21">
        <f ca="1">IF(K19="按租金收入计税",ROUND(J6*M19/(1+'数据-取费表'!C42),2),ROUND(C29*M19*0.7,2))</f>
        <v>0</v>
      </c>
      <c r="K19" s="1369" t="s">
        <v>3335</v>
      </c>
      <c r="L19" s="302" t="s">
        <v>712</v>
      </c>
      <c r="M19" s="322">
        <f>IF(K19="按租金收入计税",'数据-取费表'!B51,'数据-取费表'!B50)</f>
        <v>0.12</v>
      </c>
    </row>
    <row r="20" spans="1:37" s="1396" customFormat="1" ht="18" customHeight="1">
      <c r="A20" s="981" t="s">
        <v>402</v>
      </c>
      <c r="B20" s="302" t="s">
        <v>728</v>
      </c>
      <c r="C20" s="21">
        <f ca="1">ROUND(C19*F20,0)</f>
        <v>0</v>
      </c>
      <c r="D20" s="323" t="s">
        <v>729</v>
      </c>
      <c r="E20" s="302" t="s">
        <v>712</v>
      </c>
      <c r="F20" s="322">
        <f>'数据-取费表'!B37</f>
        <v>0.03</v>
      </c>
      <c r="G20" s="1395"/>
      <c r="H20" s="981" t="s">
        <v>680</v>
      </c>
      <c r="I20" s="155" t="s">
        <v>730</v>
      </c>
      <c r="J20" s="22">
        <f ca="1">ROUND(M20*M21/10000,2)</f>
        <v>0</v>
      </c>
      <c r="K20" s="324" t="s">
        <v>731</v>
      </c>
      <c r="L20" s="302" t="s">
        <v>732</v>
      </c>
      <c r="M20" s="325">
        <f>'数据-取费表'!B52</f>
        <v>0</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15</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9"/>
      <c r="F22" s="23"/>
      <c r="G22" s="1383"/>
      <c r="H22" s="981" t="s">
        <v>402</v>
      </c>
      <c r="I22" s="302" t="s">
        <v>738</v>
      </c>
      <c r="J22" s="21">
        <f ca="1">ROUND(J14*M22,2)</f>
        <v>0</v>
      </c>
      <c r="K22" s="1343" t="s">
        <v>739</v>
      </c>
      <c r="L22" s="302" t="s">
        <v>712</v>
      </c>
      <c r="M22" s="328">
        <f ca="1">INDIRECT("'数据-取费表'!Ak"&amp;$G$1)</f>
        <v>0</v>
      </c>
    </row>
    <row r="23" spans="1:37" s="1396" customFormat="1" ht="18" customHeight="1">
      <c r="A23" s="981"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1" t="s">
        <v>437</v>
      </c>
      <c r="I23" s="302" t="s">
        <v>742</v>
      </c>
      <c r="J23" s="21">
        <f ca="1">ROUND(J13*M23,2)</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0.03</v>
      </c>
      <c r="G24" s="1395"/>
      <c r="H24" s="1088" t="s">
        <v>684</v>
      </c>
      <c r="I24" s="1089" t="s">
        <v>728</v>
      </c>
      <c r="J24" s="1090">
        <f ca="1">ROUND(J5*M24,2)</f>
        <v>0</v>
      </c>
      <c r="K24" s="1091" t="s">
        <v>748</v>
      </c>
      <c r="L24" s="1089" t="s">
        <v>744</v>
      </c>
      <c r="M24" s="1085">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749</v>
      </c>
      <c r="B25" s="302" t="s">
        <v>750</v>
      </c>
      <c r="C25" s="21"/>
      <c r="D25" s="131" t="s">
        <v>751</v>
      </c>
      <c r="E25" s="1359"/>
      <c r="F25" s="23"/>
      <c r="G25" s="1383"/>
      <c r="H25" s="1078" t="s">
        <v>394</v>
      </c>
      <c r="I25" s="1093" t="s">
        <v>752</v>
      </c>
      <c r="J25" s="310">
        <f ca="1">J5-J16</f>
        <v>0</v>
      </c>
      <c r="K25" s="1094" t="s">
        <v>753</v>
      </c>
      <c r="L25" s="1095"/>
      <c r="M25" s="1096"/>
    </row>
    <row r="26" spans="1:37">
      <c r="A26" s="981"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1"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0</v>
      </c>
      <c r="D29" s="1091"/>
      <c r="E29" s="1089"/>
      <c r="F29" s="1092"/>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0</v>
      </c>
      <c r="D30" s="1086" t="s">
        <v>715</v>
      </c>
      <c r="E30" s="1087"/>
      <c r="F30" s="1071"/>
      <c r="G30" s="1383"/>
      <c r="H30" s="2696"/>
      <c r="I30" s="1397"/>
      <c r="J30" s="1398"/>
      <c r="K30" s="2474"/>
      <c r="L30" s="2697"/>
      <c r="M30" s="2698"/>
    </row>
    <row r="31" spans="1:37" ht="18" customHeight="1">
      <c r="A31" s="981" t="s">
        <v>398</v>
      </c>
      <c r="B31" s="302" t="s">
        <v>719</v>
      </c>
      <c r="C31" s="2315">
        <f ca="1">ROUND(IF(AND(项目基本情况!B11="自然人",项目基本情况!B10="北京市"),C6*F31/(1+'数据-取费表'!C42),C32+C33+C34),2)</f>
        <v>0</v>
      </c>
      <c r="D31" s="1344" t="s">
        <v>720</v>
      </c>
      <c r="E31" s="1343" t="s">
        <v>770</v>
      </c>
      <c r="F31" s="2314" t="str">
        <f>IF(项目基本情况!B11="企业","——",IF(M47="住宅",IF(F6*F7*F8/12/(1+'数据-取费表'!F30)&gt;100000,4%,2.5%),IF(F6*F7*F8/12/(1+'数据-取费表'!F30)&gt;100000,12%,7%)))</f>
        <v>——</v>
      </c>
      <c r="G31" s="1383"/>
      <c r="H31" s="2807" t="s">
        <v>2306</v>
      </c>
      <c r="I31" s="1397"/>
      <c r="J31" s="1398"/>
      <c r="K31" s="2474"/>
      <c r="L31" s="2697"/>
      <c r="M31" s="2698"/>
    </row>
    <row r="32" spans="1:37" ht="18" customHeight="1">
      <c r="A32" s="981" t="s">
        <v>397</v>
      </c>
      <c r="B32" s="302" t="s">
        <v>723</v>
      </c>
      <c r="C32" s="21">
        <f ca="1">IF(项目基本情况!B11="自然人","——",ROUND(C6*F32/(1+'数据-取费表'!C42),2))</f>
        <v>0</v>
      </c>
      <c r="D32" s="1343" t="s">
        <v>724</v>
      </c>
      <c r="E32" s="302" t="s">
        <v>712</v>
      </c>
      <c r="F32" s="331">
        <f>'数据-取费表'!B41</f>
        <v>5.6000000000000001E-2</v>
      </c>
      <c r="G32" s="1383"/>
      <c r="H32" s="2696"/>
      <c r="I32" s="1397"/>
      <c r="J32" s="1398"/>
      <c r="K32" s="2474"/>
      <c r="L32" s="2697"/>
      <c r="M32" s="2698"/>
    </row>
    <row r="33" spans="1:18" ht="18" customHeight="1">
      <c r="A33" s="981" t="s">
        <v>399</v>
      </c>
      <c r="B33" s="302" t="s">
        <v>727</v>
      </c>
      <c r="C33" s="21">
        <f ca="1">IF(项目基本情况!B11="自然人","——",IF(D33="按租金收入计税",ROUND(C6*F33/(1+'数据-取费表'!C42),2),IF(D33="按房产原值计税",ROUND(C29*F33*0.7,2),INDIRECT("'数据-取费表'!Aj"&amp;$G$1))))</f>
        <v>0</v>
      </c>
      <c r="D33" s="1369" t="s">
        <v>3335</v>
      </c>
      <c r="E33" s="302" t="s">
        <v>712</v>
      </c>
      <c r="F33" s="322">
        <f>IF(D33="按票据","——",IF(D33="按租金收入计税",'数据-取费表'!B51,'数据-取费表'!B50))</f>
        <v>0.12</v>
      </c>
      <c r="G33" s="1383"/>
      <c r="H33" s="2699"/>
      <c r="I33" s="1397"/>
      <c r="J33" s="1398"/>
      <c r="K33" s="2700"/>
      <c r="L33" s="2699"/>
      <c r="M33" s="2699"/>
    </row>
    <row r="34" spans="1:18" ht="18" customHeight="1">
      <c r="A34" s="1068" t="s">
        <v>680</v>
      </c>
      <c r="B34" s="155" t="s">
        <v>730</v>
      </c>
      <c r="C34" s="22">
        <f ca="1">IF(项目基本情况!B11="自然人","——",ROUND(F34*F35/10000,2))</f>
        <v>0</v>
      </c>
      <c r="D34" s="324" t="s">
        <v>731</v>
      </c>
      <c r="E34" s="302" t="s">
        <v>732</v>
      </c>
      <c r="F34" s="325">
        <f>'数据-取费表'!B52</f>
        <v>0</v>
      </c>
      <c r="G34" s="1383"/>
      <c r="H34" s="2696"/>
      <c r="I34" s="1397"/>
      <c r="J34" s="1398"/>
      <c r="K34" s="2701"/>
      <c r="L34" s="2702"/>
      <c r="M34" s="2702"/>
    </row>
    <row r="35" spans="1:18" ht="18" customHeight="1">
      <c r="A35" s="1102"/>
      <c r="B35" s="1100"/>
      <c r="C35" s="26"/>
      <c r="D35" s="327"/>
      <c r="E35" s="302" t="s">
        <v>736</v>
      </c>
      <c r="F35" s="303">
        <f ca="1">INDIRECT("'数据-取费表'!r"&amp;$G$1)</f>
        <v>0</v>
      </c>
      <c r="G35" s="1383"/>
      <c r="H35" s="2696"/>
      <c r="I35" s="1397"/>
      <c r="J35" s="1398"/>
      <c r="K35" s="2700"/>
      <c r="L35" s="2699"/>
      <c r="M35" s="2699"/>
    </row>
    <row r="36" spans="1:18" ht="18" customHeight="1">
      <c r="A36" s="1101" t="s">
        <v>402</v>
      </c>
      <c r="B36" s="302" t="s">
        <v>738</v>
      </c>
      <c r="C36" s="21">
        <f ca="1">ROUND(C29*F36,2)</f>
        <v>0</v>
      </c>
      <c r="D36" s="1343" t="s">
        <v>771</v>
      </c>
      <c r="E36" s="302" t="s">
        <v>712</v>
      </c>
      <c r="F36" s="328">
        <f ca="1">INDIRECT("'数据-取费表'!Ak"&amp;$G$1)</f>
        <v>0</v>
      </c>
      <c r="G36" s="1383"/>
      <c r="H36" s="2699"/>
      <c r="I36" s="1397"/>
      <c r="J36" s="1398"/>
      <c r="K36" s="2543"/>
      <c r="L36" s="2699"/>
      <c r="M36" s="2699"/>
    </row>
    <row r="37" spans="1:18" ht="18" customHeight="1">
      <c r="A37" s="981" t="s">
        <v>437</v>
      </c>
      <c r="B37" s="302" t="s">
        <v>742</v>
      </c>
      <c r="C37" s="21">
        <f ca="1">ROUND(C13*F37,2)</f>
        <v>0</v>
      </c>
      <c r="D37" s="1343" t="s">
        <v>743</v>
      </c>
      <c r="E37" s="302" t="s">
        <v>744</v>
      </c>
      <c r="F37" s="330">
        <f ca="1">INDIRECT("'数据-取费表'!Al"&amp;$G$1)</f>
        <v>0</v>
      </c>
      <c r="G37" s="1383"/>
      <c r="H37" s="2699"/>
      <c r="I37" s="1397"/>
      <c r="J37" s="1398"/>
      <c r="K37" s="2543"/>
      <c r="L37" s="2699"/>
      <c r="M37" s="2699"/>
    </row>
    <row r="38" spans="1:18" ht="18" customHeight="1" thickBot="1">
      <c r="A38" s="1088" t="s">
        <v>684</v>
      </c>
      <c r="B38" s="1089" t="s">
        <v>728</v>
      </c>
      <c r="C38" s="1090">
        <f ca="1">ROUND(C5*F38,2)</f>
        <v>0</v>
      </c>
      <c r="D38" s="1091" t="s">
        <v>748</v>
      </c>
      <c r="E38" s="1089" t="s">
        <v>744</v>
      </c>
      <c r="F38" s="1085">
        <f ca="1">INDIRECT("'数据-取费表'!Am"&amp;$G$1)</f>
        <v>0</v>
      </c>
      <c r="G38" s="1383"/>
      <c r="H38" s="2699"/>
      <c r="I38" s="1397"/>
      <c r="J38" s="1398"/>
      <c r="K38" s="2703"/>
      <c r="L38" s="2699"/>
      <c r="M38" s="2699"/>
    </row>
    <row r="39" spans="1:18" ht="24.6" customHeight="1" thickTop="1">
      <c r="A39" s="1078" t="s">
        <v>394</v>
      </c>
      <c r="B39" s="1093" t="s">
        <v>772</v>
      </c>
      <c r="C39" s="310">
        <f ca="1">C5-C30</f>
        <v>0</v>
      </c>
      <c r="D39" s="1094" t="s">
        <v>773</v>
      </c>
      <c r="E39" s="1095"/>
      <c r="F39" s="1096"/>
      <c r="G39" s="1383"/>
      <c r="H39" s="2699"/>
      <c r="I39" s="1397"/>
      <c r="J39" s="1398"/>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703"/>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43"/>
      <c r="L41" s="1190"/>
      <c r="M41" s="1190"/>
    </row>
    <row r="42" spans="1:18" ht="18" customHeight="1">
      <c r="A42" s="308"/>
      <c r="B42" s="309"/>
      <c r="C42" s="310"/>
      <c r="D42" s="327"/>
      <c r="E42" s="302" t="s">
        <v>766</v>
      </c>
      <c r="F42" s="312">
        <f ca="1">INDIRECT("'数据-取费表'!v"&amp;$G$1)</f>
        <v>0</v>
      </c>
      <c r="G42" s="1383"/>
      <c r="H42" s="1190"/>
      <c r="I42" s="1397"/>
      <c r="J42" s="1398"/>
      <c r="K42" s="2543"/>
      <c r="L42" s="1190"/>
      <c r="M42" s="1190"/>
    </row>
    <row r="43" spans="1:18" ht="18" customHeight="1" thickBot="1">
      <c r="A43" s="334" t="s">
        <v>396</v>
      </c>
      <c r="B43" s="335" t="s">
        <v>776</v>
      </c>
      <c r="C43" s="336" t="e">
        <f ca="1">ROUND(C40*10000/F43,0)</f>
        <v>#DIV/0!</v>
      </c>
      <c r="D43" s="337" t="s">
        <v>777</v>
      </c>
      <c r="E43" s="338" t="s">
        <v>778</v>
      </c>
      <c r="F43" s="339">
        <f ca="1">INDIRECT("'数据-取费表'!k"&amp;$G$1)</f>
        <v>0</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4" t="s">
        <v>808</v>
      </c>
      <c r="P45" s="1460"/>
      <c r="Q45" s="1460"/>
      <c r="R45" s="1460"/>
    </row>
    <row r="46" spans="1:18" s="1383" customFormat="1" ht="13.5" thickBot="1">
      <c r="A46" s="1403" t="s">
        <v>809</v>
      </c>
      <c r="C46" s="1404" t="e">
        <f ca="1">C68-C40</f>
        <v>#DIV/0!</v>
      </c>
      <c r="D46" s="1405" t="str">
        <f>C2</f>
        <v>万元</v>
      </c>
      <c r="E46" s="1399"/>
      <c r="F46" s="1399"/>
      <c r="I46" s="1406" t="s">
        <v>810</v>
      </c>
      <c r="J46" s="1407"/>
      <c r="K46" s="1408"/>
      <c r="L46" s="1409" t="e">
        <f ca="1">IF(M47="住宅",0,IF(L48&gt;J51,L60,J60))</f>
        <v>#DIV/0!</v>
      </c>
      <c r="O46" s="1410" t="s">
        <v>811</v>
      </c>
      <c r="P46" s="1411" t="s">
        <v>812</v>
      </c>
      <c r="Q46" s="1412" t="s">
        <v>813</v>
      </c>
      <c r="R46" s="1412" t="s">
        <v>814</v>
      </c>
    </row>
    <row r="47" spans="1:18" s="1383" customFormat="1" ht="13.5" thickBot="1">
      <c r="A47" s="945" t="s">
        <v>687</v>
      </c>
      <c r="B47" s="977" t="s">
        <v>688</v>
      </c>
      <c r="C47" s="1116" t="s">
        <v>689</v>
      </c>
      <c r="D47" s="977" t="s">
        <v>690</v>
      </c>
      <c r="E47" s="1057" t="s">
        <v>691</v>
      </c>
      <c r="F47" s="1058"/>
      <c r="G47" s="721"/>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09" t="s">
        <v>438</v>
      </c>
      <c r="B48" s="300" t="s">
        <v>692</v>
      </c>
      <c r="C48" s="1358">
        <f ca="1">C49+C53+C55</f>
        <v>0</v>
      </c>
      <c r="D48" s="1111"/>
      <c r="E48" s="1112"/>
      <c r="F48" s="961"/>
      <c r="G48" s="721"/>
      <c r="H48" s="722"/>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4" t="s">
        <v>439</v>
      </c>
      <c r="B49" s="1370" t="s">
        <v>779</v>
      </c>
      <c r="C49" s="1113">
        <f ca="1">ROUND(F49*F51*F50*(1-F52)/10000,0)</f>
        <v>0</v>
      </c>
      <c r="D49" s="1054" t="s">
        <v>2110</v>
      </c>
      <c r="E49" s="1371" t="s">
        <v>780</v>
      </c>
      <c r="F49" s="1059"/>
      <c r="G49" s="1424"/>
      <c r="H49" s="722"/>
      <c r="I49" s="1420" t="s">
        <v>823</v>
      </c>
      <c r="J49" s="1425"/>
      <c r="K49" s="1422" t="s">
        <v>824</v>
      </c>
      <c r="L49" s="1426"/>
      <c r="O49" s="1427" t="s">
        <v>405</v>
      </c>
      <c r="P49" s="1418" t="s">
        <v>825</v>
      </c>
      <c r="Q49" s="1419">
        <f ca="1">C29</f>
        <v>0</v>
      </c>
      <c r="R49" s="1419" t="s">
        <v>818</v>
      </c>
    </row>
    <row r="50" spans="1:18" s="1383" customFormat="1" ht="13.5" thickBot="1">
      <c r="A50" s="975"/>
      <c r="B50" s="978"/>
      <c r="C50" s="1117"/>
      <c r="D50" s="952"/>
      <c r="E50" s="1055" t="s">
        <v>697</v>
      </c>
      <c r="F50" s="1056">
        <f ca="1">F7</f>
        <v>0</v>
      </c>
      <c r="H50" s="722"/>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6"/>
      <c r="B51" s="978"/>
      <c r="C51" s="979"/>
      <c r="D51" s="952"/>
      <c r="E51" s="980"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6"/>
      <c r="B52" s="978"/>
      <c r="C52" s="979"/>
      <c r="D52" s="952"/>
      <c r="E52" s="980" t="s">
        <v>699</v>
      </c>
      <c r="F52" s="1053"/>
      <c r="I52" s="1436" t="s">
        <v>832</v>
      </c>
      <c r="J52" s="1437"/>
      <c r="K52" s="1436" t="s">
        <v>833</v>
      </c>
      <c r="L52" s="1437"/>
      <c r="O52" s="1427" t="s">
        <v>408</v>
      </c>
      <c r="P52" s="1418" t="s">
        <v>834</v>
      </c>
      <c r="Q52" s="1419">
        <f ca="1">J53</f>
        <v>0</v>
      </c>
      <c r="R52" s="1419" t="s">
        <v>835</v>
      </c>
    </row>
    <row r="53" spans="1:18" s="1383" customFormat="1" ht="24.75" thickBot="1">
      <c r="A53" s="1151" t="s">
        <v>440</v>
      </c>
      <c r="B53" s="1372" t="s">
        <v>700</v>
      </c>
      <c r="C53" s="316">
        <f ca="1">ROUND(IF(F53="押一",C49/12*F11,IF(F53="押二",C49/12*2*F11,IF(F53="押三",C49/12*3*F11,C54*F11))),0)</f>
        <v>0</v>
      </c>
      <c r="D53" s="1365" t="s">
        <v>2116</v>
      </c>
      <c r="E53" s="313" t="s">
        <v>701</v>
      </c>
      <c r="F53" s="1115"/>
      <c r="I53" s="1438" t="s">
        <v>836</v>
      </c>
      <c r="J53" s="2167">
        <f ca="1">IF(M47="住宅",IF(D1="——",MAX(J51,L48),MAX(J51,L48-'数据-取费表'!B24)),IF(D1="——",MIN(J51,L48),MIN(J51,L48-'数据-取费表'!B24)))</f>
        <v>0</v>
      </c>
      <c r="K53" s="3684" t="s">
        <v>837</v>
      </c>
      <c r="L53" s="3685"/>
      <c r="O53" s="1417" t="s">
        <v>409</v>
      </c>
      <c r="P53" s="1418" t="s">
        <v>838</v>
      </c>
      <c r="Q53" s="1419" t="e">
        <f ca="1">Q47+Q48</f>
        <v>#DIV/0!</v>
      </c>
      <c r="R53" s="1419" t="s">
        <v>410</v>
      </c>
    </row>
    <row r="54" spans="1:18" s="1383" customFormat="1" ht="13.5" thickBot="1">
      <c r="A54" s="1152"/>
      <c r="B54" s="1366" t="s">
        <v>679</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25.5" thickTop="1" thickBot="1">
      <c r="A56" s="956">
        <v>2</v>
      </c>
      <c r="B56" s="957" t="s">
        <v>704</v>
      </c>
      <c r="C56" s="232">
        <f ca="1">C13</f>
        <v>0</v>
      </c>
      <c r="D56" s="1446"/>
      <c r="E56" s="1447"/>
      <c r="F56" s="1439"/>
      <c r="I56" s="1448" t="s">
        <v>842</v>
      </c>
      <c r="J56" s="1449"/>
      <c r="K56" s="1420" t="s">
        <v>843</v>
      </c>
      <c r="L56" s="1423">
        <f ca="1">IF(L48&lt;J51,"——",L48-J53)</f>
        <v>0</v>
      </c>
      <c r="O56" s="1417" t="s">
        <v>403</v>
      </c>
      <c r="P56" s="1418" t="s">
        <v>817</v>
      </c>
      <c r="Q56" s="1419" t="e">
        <f ca="1">C40+J29</f>
        <v>#DIV/0!</v>
      </c>
      <c r="R56" s="1419" t="s">
        <v>818</v>
      </c>
    </row>
    <row r="57" spans="1:18" s="1383" customFormat="1" ht="24.75" thickBot="1">
      <c r="A57" s="1450"/>
      <c r="B57" s="949" t="s">
        <v>767</v>
      </c>
      <c r="C57" s="238">
        <f ca="1">C29</f>
        <v>0</v>
      </c>
      <c r="D57" s="1451"/>
      <c r="E57" s="1452"/>
      <c r="F57" s="1453"/>
      <c r="I57" s="1454" t="s">
        <v>844</v>
      </c>
      <c r="J57" s="1455">
        <f ca="1">IF(OR(M47="住宅",J51&lt;L48,J56="是"),"——",J51-L48)</f>
        <v>0</v>
      </c>
      <c r="K57" s="1420" t="s">
        <v>845</v>
      </c>
      <c r="L57" s="1423">
        <f ca="1">IF(L48&lt;J51,"——",IF(L55="比较法",L49,IF(L55="基准地价",L50,L51)))</f>
        <v>0</v>
      </c>
      <c r="O57" s="1417" t="s">
        <v>404</v>
      </c>
      <c r="P57" s="1418" t="s">
        <v>846</v>
      </c>
      <c r="Q57" s="1419" t="e">
        <f ca="1">L60</f>
        <v>#DIV/0!</v>
      </c>
      <c r="R57" s="1419" t="s">
        <v>847</v>
      </c>
    </row>
    <row r="58" spans="1:18" s="1383" customFormat="1" ht="24.75" thickBot="1">
      <c r="A58" s="315" t="s">
        <v>393</v>
      </c>
      <c r="B58" s="957" t="s">
        <v>714</v>
      </c>
      <c r="C58" s="316">
        <f ca="1">ROUND(C59+C64+C65+C66,0)</f>
        <v>0</v>
      </c>
      <c r="D58" s="959" t="s">
        <v>715</v>
      </c>
      <c r="E58" s="960"/>
      <c r="F58" s="961"/>
      <c r="I58" s="1454" t="s">
        <v>848</v>
      </c>
      <c r="J58" s="1456" t="e">
        <f ca="1">IF(J55&lt;0.4,0.4,J55)</f>
        <v>#DIV/0!</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0</v>
      </c>
      <c r="D59" s="962" t="s">
        <v>720</v>
      </c>
      <c r="E59" s="963"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IF(项目基本情况!B11="自然人","——",ROUND(C48*F60/(1+'数据-取费表'!C42),2))</f>
        <v>0</v>
      </c>
      <c r="D60" s="963" t="s">
        <v>724</v>
      </c>
      <c r="E60" s="949" t="s">
        <v>712</v>
      </c>
      <c r="F60" s="331">
        <f t="shared" ref="F60:F66" si="0">F32</f>
        <v>5.6000000000000001E-2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IF(项目基本情况!B11="自然人","——",IF(D61="按租金收入计税",ROUND(C49*F61/(1+'数据-取费表'!C42),2),IF(D61="按房产原值计税",ROUND(C57*F61*0.7,2),INDIRECT("'数据-取费表'!Aj"&amp;$G$1))))</f>
        <v>0</v>
      </c>
      <c r="D61" s="1369" t="s">
        <v>3335</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IF(项目基本情况!B11="自然人","——",ROUND(F62*F63/10000,2))</f>
        <v>0</v>
      </c>
      <c r="D62" s="964" t="s">
        <v>786</v>
      </c>
      <c r="E62" s="949" t="s">
        <v>787</v>
      </c>
      <c r="F62" s="325">
        <f t="shared" si="0"/>
        <v>0</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ROUND(C57*F64,2)</f>
        <v>0</v>
      </c>
      <c r="D64" s="963" t="s">
        <v>791</v>
      </c>
      <c r="E64" s="949"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ROUND(C56*F65,2)</f>
        <v>0</v>
      </c>
      <c r="D65" s="963" t="s">
        <v>743</v>
      </c>
      <c r="E65" s="949"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1" t="s">
        <v>793</v>
      </c>
      <c r="B66" s="949" t="s">
        <v>728</v>
      </c>
      <c r="C66" s="21">
        <f ca="1">ROUND(C48*F66,2)</f>
        <v>0</v>
      </c>
      <c r="D66" s="963" t="s">
        <v>794</v>
      </c>
      <c r="E66" s="949" t="s">
        <v>712</v>
      </c>
      <c r="F66" s="312">
        <f t="shared" ca="1" si="0"/>
        <v>0</v>
      </c>
      <c r="O66" s="1417" t="s">
        <v>404</v>
      </c>
      <c r="P66" s="1418" t="s">
        <v>846</v>
      </c>
      <c r="Q66" s="1419" t="e">
        <f ca="1">L60</f>
        <v>#DIV/0!</v>
      </c>
      <c r="R66" s="1419" t="s">
        <v>869</v>
      </c>
    </row>
    <row r="67" spans="1:18" s="1383" customFormat="1" ht="16.5" thickBot="1">
      <c r="A67" s="956" t="s">
        <v>394</v>
      </c>
      <c r="B67" s="966" t="s">
        <v>752</v>
      </c>
      <c r="C67" s="316">
        <f ca="1">C48-C58</f>
        <v>0</v>
      </c>
      <c r="D67" s="962" t="s">
        <v>753</v>
      </c>
      <c r="E67" s="967"/>
      <c r="F67" s="968"/>
      <c r="O67" s="1427" t="s">
        <v>405</v>
      </c>
      <c r="P67" s="1418" t="s">
        <v>850</v>
      </c>
      <c r="Q67" s="1465">
        <f ca="1">L51</f>
        <v>0</v>
      </c>
      <c r="R67" s="1419" t="s">
        <v>870</v>
      </c>
    </row>
    <row r="68" spans="1:18" s="1383" customFormat="1" ht="16.5" thickBot="1">
      <c r="A68" s="946" t="s">
        <v>395</v>
      </c>
      <c r="B68" s="947" t="s">
        <v>774</v>
      </c>
      <c r="C68" s="301" t="e">
        <f ca="1">ROUND(C67*(1-((1+F70)/(1+F68))^F69)/(F68-F70),0)</f>
        <v>#DIV/0!</v>
      </c>
      <c r="D68" s="964" t="s">
        <v>758</v>
      </c>
      <c r="E68" s="949" t="s">
        <v>759</v>
      </c>
      <c r="F68" s="312">
        <f ca="1">F40</f>
        <v>0</v>
      </c>
      <c r="O68" s="1427" t="s">
        <v>406</v>
      </c>
      <c r="P68" s="1466" t="s">
        <v>871</v>
      </c>
      <c r="Q68" s="1419">
        <f ca="1">ROUND(Q69-Q70*Q71,0)</f>
        <v>0</v>
      </c>
      <c r="R68" s="1419" t="s">
        <v>414</v>
      </c>
    </row>
    <row r="69" spans="1:18" s="1383" customFormat="1" ht="13.5" thickBot="1">
      <c r="A69" s="950"/>
      <c r="B69" s="951"/>
      <c r="C69" s="306"/>
      <c r="D69" s="969" t="s">
        <v>762</v>
      </c>
      <c r="E69" s="949" t="s">
        <v>763</v>
      </c>
      <c r="F69" s="333">
        <f ca="1">F41</f>
        <v>0</v>
      </c>
      <c r="O69" s="1427" t="s">
        <v>411</v>
      </c>
      <c r="P69" s="1466" t="s">
        <v>872</v>
      </c>
      <c r="Q69" s="1419">
        <f ca="1">C39</f>
        <v>0</v>
      </c>
      <c r="R69" s="1419" t="s">
        <v>818</v>
      </c>
    </row>
    <row r="70" spans="1:18" s="1383" customFormat="1" ht="13.5" thickBot="1">
      <c r="A70" s="953"/>
      <c r="B70" s="954"/>
      <c r="C70" s="310"/>
      <c r="D70" s="965"/>
      <c r="E70" s="949" t="s">
        <v>766</v>
      </c>
      <c r="F70" s="1053"/>
      <c r="O70" s="1427" t="s">
        <v>412</v>
      </c>
      <c r="P70" s="1466" t="s">
        <v>873</v>
      </c>
      <c r="Q70" s="1419">
        <f ca="1">C13</f>
        <v>0</v>
      </c>
      <c r="R70" s="1419" t="s">
        <v>818</v>
      </c>
    </row>
    <row r="71" spans="1:18" s="1383" customFormat="1" ht="13.5" thickBot="1">
      <c r="A71" s="970" t="s">
        <v>396</v>
      </c>
      <c r="B71" s="971" t="s">
        <v>776</v>
      </c>
      <c r="C71" s="336" t="e">
        <f ca="1">ROUND(C68*10000/F71,0)</f>
        <v>#DIV/0!</v>
      </c>
      <c r="D71" s="972" t="s">
        <v>777</v>
      </c>
      <c r="E71" s="973" t="s">
        <v>778</v>
      </c>
      <c r="F71" s="339">
        <f ca="1">F43</f>
        <v>0</v>
      </c>
      <c r="O71" s="1427" t="s">
        <v>413</v>
      </c>
      <c r="P71" s="1466" t="s">
        <v>874</v>
      </c>
      <c r="Q71" s="1430">
        <f ca="1">C76</f>
        <v>0</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201" priority="56">
      <formula>$L$48&gt;$J$51</formula>
    </cfRule>
  </conditionalFormatting>
  <conditionalFormatting sqref="I55 I60">
    <cfRule type="expression" dxfId="200" priority="57">
      <formula>$J$51&gt;$L$48</formula>
    </cfRule>
  </conditionalFormatting>
  <conditionalFormatting sqref="C11">
    <cfRule type="expression" dxfId="199" priority="3">
      <formula>$F$10="自定义"</formula>
    </cfRule>
  </conditionalFormatting>
  <conditionalFormatting sqref="J11">
    <cfRule type="expression" dxfId="198" priority="2">
      <formula>$M$10="自定义"</formula>
    </cfRule>
  </conditionalFormatting>
  <conditionalFormatting sqref="C54">
    <cfRule type="expression" dxfId="197"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F2" sqref="F2"/>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1766</v>
      </c>
      <c r="C1" s="1237" t="s">
        <v>1662</v>
      </c>
      <c r="D1" s="1224" t="s">
        <v>3446</v>
      </c>
      <c r="E1" s="3425" t="s">
        <v>3481</v>
      </c>
      <c r="F1" s="1878" t="s">
        <v>3482</v>
      </c>
      <c r="G1" s="1234" t="s">
        <v>1767</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1462</v>
      </c>
      <c r="B2" s="1163">
        <f ca="1">IF(E1="项目模式",IF(C2="——",ROUND(C49*D3/10000,0),ROUND(C49*D3/10000,0)-D2),IF(E1="单套模式",IF(C2="——",ROUND(C49*D3/10000,4),ROUND(C49*D3/10000,4)-D2)))</f>
        <v>456.35140000000001</v>
      </c>
      <c r="C2" s="1880" t="s">
        <v>3501</v>
      </c>
      <c r="D2" s="1114">
        <f ca="1">IF(E1="项目模式",SUMIF(INDIRECT("'"&amp;F2&amp;"'"&amp;"!A:A"),"承租人权益价值",INDIRECT("'"&amp;F2&amp;"'"&amp;"!c:c")),SUMIF(INDIRECT("'"&amp;F2&amp;"'"&amp;"!A:A"),"承租人权益价值（单套）",INDIRECT("'"&amp;F2&amp;"'"&amp;"!c:c")))</f>
        <v>50.665500000000002</v>
      </c>
      <c r="E2" s="1881" t="s">
        <v>1463</v>
      </c>
      <c r="F2" s="1882" t="s">
        <v>3421</v>
      </c>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2" customFormat="1" ht="28.5" customHeight="1" thickBot="1">
      <c r="A3" s="203" t="s">
        <v>1464</v>
      </c>
      <c r="B3" s="558">
        <f ca="1">IF(C2="——",C49,ROUND(B2*10000/D3,0))</f>
        <v>37467</v>
      </c>
      <c r="C3" s="354" t="s">
        <v>1768</v>
      </c>
      <c r="D3" s="353">
        <f>IF(D1="",'数据-汇总表'!E3,SUMIF('数据-汇总表'!$C19:$C33,D1,'数据-汇总表'!$E19:$E33))</f>
        <v>121.8</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5">
      <c r="A4" s="355" t="s">
        <v>1769</v>
      </c>
      <c r="B4" s="356"/>
      <c r="C4" s="3728" t="s">
        <v>1770</v>
      </c>
      <c r="D4" s="3729"/>
      <c r="E4" s="3730" t="s">
        <v>1771</v>
      </c>
      <c r="F4" s="3731"/>
      <c r="G4" s="3728" t="s">
        <v>1772</v>
      </c>
      <c r="H4" s="3729"/>
      <c r="I4" s="3728" t="s">
        <v>1773</v>
      </c>
      <c r="J4" s="3729"/>
      <c r="K4" s="559" t="s">
        <v>1774</v>
      </c>
      <c r="L4" s="2714"/>
      <c r="M4" s="2715"/>
      <c r="N4" s="2715"/>
      <c r="O4" s="2715"/>
      <c r="P4" s="3732" t="s">
        <v>1775</v>
      </c>
      <c r="Q4" s="3733"/>
      <c r="R4" s="3715" t="s">
        <v>1771</v>
      </c>
      <c r="S4" s="3716"/>
      <c r="T4" s="3715" t="s">
        <v>1772</v>
      </c>
      <c r="U4" s="3716"/>
      <c r="V4" s="3740" t="s">
        <v>1773</v>
      </c>
      <c r="W4" s="3740"/>
      <c r="X4" s="1354"/>
      <c r="Y4" s="3715" t="s">
        <v>1775</v>
      </c>
      <c r="Z4" s="3716"/>
      <c r="AA4" s="3710" t="s">
        <v>1771</v>
      </c>
      <c r="AB4" s="3740" t="s">
        <v>1772</v>
      </c>
      <c r="AC4" s="3710" t="s">
        <v>1773</v>
      </c>
    </row>
    <row r="5" spans="1:29" ht="15">
      <c r="A5" s="358"/>
      <c r="B5" s="359"/>
      <c r="C5" s="3721" t="s">
        <v>1673</v>
      </c>
      <c r="D5" s="3722"/>
      <c r="E5" s="3841" t="s">
        <v>3490</v>
      </c>
      <c r="F5" s="3720"/>
      <c r="G5" s="3842" t="s">
        <v>3491</v>
      </c>
      <c r="H5" s="3722"/>
      <c r="I5" s="3842" t="s">
        <v>3492</v>
      </c>
      <c r="J5" s="3722"/>
      <c r="K5" s="559"/>
      <c r="L5" s="2714"/>
      <c r="M5" s="2715"/>
      <c r="N5" s="2715"/>
      <c r="O5" s="2715"/>
      <c r="P5" s="3734"/>
      <c r="Q5" s="3735"/>
      <c r="R5" s="3717"/>
      <c r="S5" s="3718"/>
      <c r="T5" s="3717"/>
      <c r="U5" s="3718"/>
      <c r="V5" s="3740"/>
      <c r="W5" s="3740"/>
      <c r="X5" s="1354"/>
      <c r="Y5" s="3717"/>
      <c r="Z5" s="3718"/>
      <c r="AA5" s="3711"/>
      <c r="AB5" s="3740"/>
      <c r="AC5" s="3711"/>
    </row>
    <row r="6" spans="1:29" ht="15.75" thickBot="1">
      <c r="A6" s="360"/>
      <c r="B6" s="361"/>
      <c r="C6" s="3723" t="s">
        <v>1677</v>
      </c>
      <c r="D6" s="3724"/>
      <c r="E6" s="3725" t="s">
        <v>1677</v>
      </c>
      <c r="F6" s="3726"/>
      <c r="G6" s="3723" t="s">
        <v>1677</v>
      </c>
      <c r="H6" s="3724"/>
      <c r="I6" s="3723" t="s">
        <v>1677</v>
      </c>
      <c r="J6" s="3724"/>
      <c r="K6" s="559" t="s">
        <v>1678</v>
      </c>
      <c r="L6" s="2714"/>
      <c r="M6" s="2715"/>
      <c r="N6" s="2715"/>
      <c r="O6" s="2715"/>
      <c r="P6" s="3736"/>
      <c r="Q6" s="3737"/>
      <c r="R6" s="3717"/>
      <c r="S6" s="3718"/>
      <c r="T6" s="3738"/>
      <c r="U6" s="3739"/>
      <c r="V6" s="3740"/>
      <c r="W6" s="3740"/>
      <c r="X6" s="1354"/>
      <c r="Y6" s="3738"/>
      <c r="Z6" s="3739"/>
      <c r="AA6" s="3712"/>
      <c r="AB6" s="3740"/>
      <c r="AC6" s="3712"/>
    </row>
    <row r="7" spans="1:29" s="108" customFormat="1" ht="15.75" thickBot="1">
      <c r="A7" s="362" t="s">
        <v>1679</v>
      </c>
      <c r="B7" s="363"/>
      <c r="C7" s="364">
        <f>'数据-取费表'!B2</f>
        <v>45805</v>
      </c>
      <c r="D7" s="365">
        <v>100</v>
      </c>
      <c r="E7" s="366">
        <v>45778</v>
      </c>
      <c r="F7" s="367">
        <f>SUMIF(58:58,YEAR(E7)&amp;"-"&amp;MONTH(E7),59:59)</f>
        <v>100</v>
      </c>
      <c r="G7" s="366">
        <v>45778</v>
      </c>
      <c r="H7" s="365">
        <f>SUMIF(58:58,YEAR(G7)&amp;"-"&amp;MONTH(G7),59:59)</f>
        <v>100</v>
      </c>
      <c r="I7" s="366">
        <v>45778</v>
      </c>
      <c r="J7" s="365">
        <f>SUMIF(58:58,YEAR(I7)&amp;"-"&amp;MONTH(I7),59:59)</f>
        <v>100</v>
      </c>
      <c r="K7" s="560"/>
      <c r="L7" s="2716"/>
      <c r="M7" s="2717"/>
      <c r="N7" s="2717"/>
      <c r="O7" s="2717"/>
      <c r="P7" s="3713" t="s">
        <v>1680</v>
      </c>
      <c r="Q7" s="3741"/>
      <c r="R7" s="700" t="s">
        <v>14</v>
      </c>
      <c r="S7" s="701">
        <f t="shared" ref="S7:S15" si="0">F7</f>
        <v>100</v>
      </c>
      <c r="T7" s="700" t="s">
        <v>14</v>
      </c>
      <c r="U7" s="701">
        <f t="shared" ref="U7:U15" si="1">H7</f>
        <v>100</v>
      </c>
      <c r="V7" s="700" t="s">
        <v>14</v>
      </c>
      <c r="W7" s="701">
        <f t="shared" ref="W7:W15" si="2">J7</f>
        <v>100</v>
      </c>
      <c r="X7" s="702"/>
      <c r="Y7" s="3713" t="s">
        <v>1680</v>
      </c>
      <c r="Z7" s="3714"/>
      <c r="AA7" s="703">
        <f>D7/F7</f>
        <v>1</v>
      </c>
      <c r="AB7" s="703">
        <f>D7/H7</f>
        <v>1</v>
      </c>
      <c r="AC7" s="703">
        <f>D7/J7</f>
        <v>1</v>
      </c>
    </row>
    <row r="8" spans="1:29" s="108" customFormat="1" ht="15.75" thickBot="1">
      <c r="A8" s="362" t="s">
        <v>1681</v>
      </c>
      <c r="B8" s="363"/>
      <c r="C8" s="368" t="s">
        <v>3452</v>
      </c>
      <c r="D8" s="365">
        <v>100</v>
      </c>
      <c r="E8" s="368" t="s">
        <v>3476</v>
      </c>
      <c r="F8" s="367">
        <f>SUMIF(61:61,E8,62:62)-SUMIF(61:61,C8,62:62)+100</f>
        <v>105</v>
      </c>
      <c r="G8" s="368" t="s">
        <v>3476</v>
      </c>
      <c r="H8" s="365">
        <f>SUMIF(61:61,G8,62:62)-SUMIF(61:61,C8,62:62)+100</f>
        <v>105</v>
      </c>
      <c r="I8" s="368" t="s">
        <v>3476</v>
      </c>
      <c r="J8" s="365">
        <f>SUMIF(61:61,I8,62:62)-SUMIF(61:61,C8,62:62)+100</f>
        <v>105</v>
      </c>
      <c r="K8" s="560"/>
      <c r="L8" s="2716"/>
      <c r="M8" s="2717"/>
      <c r="N8" s="2717"/>
      <c r="O8" s="2717"/>
      <c r="P8" s="3713" t="s">
        <v>1683</v>
      </c>
      <c r="Q8" s="3714"/>
      <c r="R8" s="700" t="s">
        <v>14</v>
      </c>
      <c r="S8" s="701">
        <f t="shared" si="0"/>
        <v>105</v>
      </c>
      <c r="T8" s="700" t="s">
        <v>14</v>
      </c>
      <c r="U8" s="701">
        <f t="shared" si="1"/>
        <v>105</v>
      </c>
      <c r="V8" s="700" t="s">
        <v>14</v>
      </c>
      <c r="W8" s="701">
        <f t="shared" si="2"/>
        <v>105</v>
      </c>
      <c r="X8" s="702"/>
      <c r="Y8" s="3713" t="s">
        <v>1683</v>
      </c>
      <c r="Z8" s="3714"/>
      <c r="AA8" s="703">
        <f t="shared" ref="AA8:AA46" si="3">D8/F8</f>
        <v>0.95238095238095233</v>
      </c>
      <c r="AB8" s="703">
        <f t="shared" ref="AB8:AB46" si="4">D8/H8</f>
        <v>0.95238095238095233</v>
      </c>
      <c r="AC8" s="703">
        <f t="shared" ref="AC8:AC46" si="5">D8/J8</f>
        <v>0.95238095238095233</v>
      </c>
    </row>
    <row r="9" spans="1:29" s="108" customFormat="1" ht="15">
      <c r="A9" s="369" t="s">
        <v>1684</v>
      </c>
      <c r="B9" s="63" t="s">
        <v>1685</v>
      </c>
      <c r="C9" s="3837" t="s">
        <v>3451</v>
      </c>
      <c r="D9" s="126">
        <v>100</v>
      </c>
      <c r="E9" s="371" t="s">
        <v>673</v>
      </c>
      <c r="F9" s="372">
        <f>SUMIF(63:63,E9,64:64)-SUMIF(63:63,C9,64:64)+100</f>
        <v>100</v>
      </c>
      <c r="G9" s="371" t="s">
        <v>673</v>
      </c>
      <c r="H9" s="126">
        <f>SUMIF(63:63,G9,64:64)-SUMIF(63:63,C9,64:64)+100</f>
        <v>100</v>
      </c>
      <c r="I9" s="371" t="s">
        <v>673</v>
      </c>
      <c r="J9" s="126">
        <f>SUMIF(63:63,I9,64:64)-SUMIF(63:63,C9,64:64)+100</f>
        <v>100</v>
      </c>
      <c r="K9" s="560"/>
      <c r="L9" s="2716"/>
      <c r="M9" s="2717"/>
      <c r="N9" s="2717"/>
      <c r="O9" s="2717"/>
      <c r="P9" s="3727" t="s">
        <v>1686</v>
      </c>
      <c r="Q9" s="1342" t="str">
        <f t="shared" ref="Q9:Q15" si="6">B9</f>
        <v>用途</v>
      </c>
      <c r="R9" s="700" t="s">
        <v>14</v>
      </c>
      <c r="S9" s="701">
        <f t="shared" si="0"/>
        <v>100</v>
      </c>
      <c r="T9" s="700" t="s">
        <v>14</v>
      </c>
      <c r="U9" s="701">
        <f t="shared" si="1"/>
        <v>100</v>
      </c>
      <c r="V9" s="700" t="s">
        <v>14</v>
      </c>
      <c r="W9" s="701">
        <f t="shared" si="2"/>
        <v>100</v>
      </c>
      <c r="X9" s="702"/>
      <c r="Y9" s="3657" t="s">
        <v>1687</v>
      </c>
      <c r="Z9" s="52" t="str">
        <f t="shared" ref="Z9:Z15" si="7">Q9</f>
        <v>用途</v>
      </c>
      <c r="AA9" s="703">
        <f t="shared" si="3"/>
        <v>1</v>
      </c>
      <c r="AB9" s="703">
        <f t="shared" si="4"/>
        <v>1</v>
      </c>
      <c r="AC9" s="703">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727"/>
      <c r="Q10" s="1342" t="str">
        <f t="shared" si="6"/>
        <v>土地使用年限（年）</v>
      </c>
      <c r="R10" s="700" t="s">
        <v>14</v>
      </c>
      <c r="S10" s="701">
        <f t="shared" si="0"/>
        <v>100</v>
      </c>
      <c r="T10" s="700" t="s">
        <v>14</v>
      </c>
      <c r="U10" s="701">
        <f t="shared" si="1"/>
        <v>100</v>
      </c>
      <c r="V10" s="700" t="s">
        <v>14</v>
      </c>
      <c r="W10" s="701">
        <f t="shared" si="2"/>
        <v>100</v>
      </c>
      <c r="X10" s="702"/>
      <c r="Y10" s="3657"/>
      <c r="Z10" s="52" t="str">
        <f t="shared" si="7"/>
        <v>土地使用年限（年）</v>
      </c>
      <c r="AA10" s="703">
        <f t="shared" si="3"/>
        <v>1</v>
      </c>
      <c r="AB10" s="703">
        <f t="shared" si="4"/>
        <v>1</v>
      </c>
      <c r="AC10" s="703">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20"/>
      <c r="M11" s="2715"/>
      <c r="N11" s="2715"/>
      <c r="O11" s="2715"/>
      <c r="P11" s="3727"/>
      <c r="Q11" s="1342" t="str">
        <f t="shared" si="6"/>
        <v>容积率</v>
      </c>
      <c r="R11" s="700" t="s">
        <v>14</v>
      </c>
      <c r="S11" s="701">
        <f t="shared" si="0"/>
        <v>100</v>
      </c>
      <c r="T11" s="700" t="s">
        <v>14</v>
      </c>
      <c r="U11" s="701">
        <f t="shared" si="1"/>
        <v>100</v>
      </c>
      <c r="V11" s="700" t="s">
        <v>14</v>
      </c>
      <c r="W11" s="701">
        <f t="shared" si="2"/>
        <v>100</v>
      </c>
      <c r="X11" s="702"/>
      <c r="Y11" s="3657"/>
      <c r="Z11" s="52" t="str">
        <f t="shared" si="7"/>
        <v>容积率</v>
      </c>
      <c r="AA11" s="703">
        <f t="shared" si="3"/>
        <v>1</v>
      </c>
      <c r="AB11" s="703">
        <f t="shared" si="4"/>
        <v>1</v>
      </c>
      <c r="AC11" s="703">
        <f t="shared" si="5"/>
        <v>1</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727"/>
      <c r="Q12" s="1342">
        <f t="shared" si="6"/>
        <v>111</v>
      </c>
      <c r="R12" s="700" t="s">
        <v>14</v>
      </c>
      <c r="S12" s="701">
        <f t="shared" si="0"/>
        <v>100</v>
      </c>
      <c r="T12" s="700" t="s">
        <v>14</v>
      </c>
      <c r="U12" s="701">
        <f t="shared" si="1"/>
        <v>100</v>
      </c>
      <c r="V12" s="700" t="s">
        <v>14</v>
      </c>
      <c r="W12" s="701">
        <f t="shared" si="2"/>
        <v>100</v>
      </c>
      <c r="X12" s="702"/>
      <c r="Y12" s="3657"/>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727"/>
      <c r="Q13" s="1342">
        <f t="shared" si="6"/>
        <v>111</v>
      </c>
      <c r="R13" s="700" t="s">
        <v>14</v>
      </c>
      <c r="S13" s="701">
        <f t="shared" si="0"/>
        <v>100</v>
      </c>
      <c r="T13" s="700" t="s">
        <v>14</v>
      </c>
      <c r="U13" s="701">
        <f t="shared" si="1"/>
        <v>100</v>
      </c>
      <c r="V13" s="700" t="s">
        <v>14</v>
      </c>
      <c r="W13" s="701">
        <f t="shared" si="2"/>
        <v>100</v>
      </c>
      <c r="X13" s="702"/>
      <c r="Y13" s="3657"/>
      <c r="Z13" s="52">
        <f t="shared" si="7"/>
        <v>111</v>
      </c>
      <c r="AA13" s="703">
        <f t="shared" si="3"/>
        <v>1</v>
      </c>
      <c r="AB13" s="703">
        <f t="shared" si="4"/>
        <v>1</v>
      </c>
      <c r="AC13" s="703">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727"/>
      <c r="Q14" s="1342">
        <f t="shared" si="6"/>
        <v>111</v>
      </c>
      <c r="R14" s="700" t="s">
        <v>14</v>
      </c>
      <c r="S14" s="701">
        <f t="shared" si="0"/>
        <v>100</v>
      </c>
      <c r="T14" s="700" t="s">
        <v>14</v>
      </c>
      <c r="U14" s="701">
        <f t="shared" si="1"/>
        <v>100</v>
      </c>
      <c r="V14" s="700" t="s">
        <v>14</v>
      </c>
      <c r="W14" s="701">
        <f t="shared" si="2"/>
        <v>100</v>
      </c>
      <c r="X14" s="702"/>
      <c r="Y14" s="3657"/>
      <c r="Z14" s="52">
        <f t="shared" si="7"/>
        <v>111</v>
      </c>
      <c r="AA14" s="703">
        <f t="shared" si="3"/>
        <v>1</v>
      </c>
      <c r="AB14" s="703">
        <f t="shared" si="4"/>
        <v>1</v>
      </c>
      <c r="AC14" s="703">
        <f t="shared" si="5"/>
        <v>1</v>
      </c>
    </row>
    <row r="15" spans="1:29" ht="71.25">
      <c r="A15" s="391" t="s">
        <v>1690</v>
      </c>
      <c r="B15" s="61" t="s">
        <v>1777</v>
      </c>
      <c r="C15" s="1895" t="str">
        <f>估价对象房地状况!C4</f>
        <v>估价对象位于XX商圈，周边商业氛围成熟，人流量大，商业繁华度好</v>
      </c>
      <c r="D15" s="392">
        <v>100</v>
      </c>
      <c r="E15" s="393"/>
      <c r="F15" s="394">
        <f>SUMIF(76:76,E16,77:77)-SUMIF(76:76,C16,77:77)+100</f>
        <v>105</v>
      </c>
      <c r="G15" s="395"/>
      <c r="H15" s="392">
        <f>SUMIF(76:76,G16,77:77)-SUMIF(76:76,C16,77:77)+100</f>
        <v>105</v>
      </c>
      <c r="I15" s="393"/>
      <c r="J15" s="392">
        <f>SUMIF(76:76,I16,77:77)-SUMIF(76:76,C16,77:77)+100</f>
        <v>100</v>
      </c>
      <c r="K15" s="563">
        <v>5</v>
      </c>
      <c r="L15" s="2721"/>
      <c r="M15" s="2715"/>
      <c r="N15" s="2715"/>
      <c r="O15" s="2715"/>
      <c r="P15" s="3754" t="s">
        <v>1691</v>
      </c>
      <c r="Q15" s="1351" t="str">
        <f t="shared" si="6"/>
        <v>商业繁华度</v>
      </c>
      <c r="R15" s="704" t="s">
        <v>14</v>
      </c>
      <c r="S15" s="705">
        <f t="shared" si="0"/>
        <v>105</v>
      </c>
      <c r="T15" s="704" t="s">
        <v>14</v>
      </c>
      <c r="U15" s="705">
        <f t="shared" si="1"/>
        <v>105</v>
      </c>
      <c r="V15" s="704" t="s">
        <v>14</v>
      </c>
      <c r="W15" s="705">
        <f t="shared" si="2"/>
        <v>100</v>
      </c>
      <c r="X15" s="1354"/>
      <c r="Y15" s="3747" t="s">
        <v>1691</v>
      </c>
      <c r="Z15" s="1355" t="str">
        <f t="shared" si="7"/>
        <v>商业繁华度</v>
      </c>
      <c r="AA15" s="1352">
        <f t="shared" si="3"/>
        <v>0.95238095238095233</v>
      </c>
      <c r="AB15" s="1352">
        <f t="shared" si="4"/>
        <v>0.95238095238095233</v>
      </c>
      <c r="AC15" s="1352">
        <f t="shared" si="5"/>
        <v>1</v>
      </c>
    </row>
    <row r="16" spans="1:29" ht="15">
      <c r="A16" s="379"/>
      <c r="B16" s="397"/>
      <c r="C16" s="398" t="s">
        <v>3433</v>
      </c>
      <c r="D16" s="399"/>
      <c r="E16" s="398" t="s">
        <v>3432</v>
      </c>
      <c r="F16" s="400"/>
      <c r="G16" s="398" t="s">
        <v>3432</v>
      </c>
      <c r="H16" s="401"/>
      <c r="I16" s="398" t="s">
        <v>3433</v>
      </c>
      <c r="J16" s="399"/>
      <c r="K16" s="564"/>
      <c r="L16" s="2721"/>
      <c r="M16" s="2715"/>
      <c r="N16" s="2715"/>
      <c r="O16" s="2715"/>
      <c r="P16" s="3755"/>
      <c r="Q16" s="1351"/>
      <c r="R16" s="704"/>
      <c r="S16" s="705"/>
      <c r="T16" s="704"/>
      <c r="U16" s="705"/>
      <c r="V16" s="704"/>
      <c r="W16" s="705"/>
      <c r="X16" s="1354"/>
      <c r="Y16" s="3748"/>
      <c r="Z16" s="1355"/>
      <c r="AA16" s="1352">
        <v>1</v>
      </c>
      <c r="AB16" s="1352">
        <v>1</v>
      </c>
      <c r="AC16" s="1352">
        <v>1</v>
      </c>
    </row>
    <row r="17" spans="1:29" ht="85.5">
      <c r="A17" s="379"/>
      <c r="B17" s="402" t="s">
        <v>1259</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1"/>
      <c r="M17" s="2715"/>
      <c r="N17" s="2715"/>
      <c r="O17" s="2715"/>
      <c r="P17" s="3755"/>
      <c r="Q17" s="1351" t="str">
        <f>B17</f>
        <v>交通便捷度</v>
      </c>
      <c r="R17" s="704" t="s">
        <v>14</v>
      </c>
      <c r="S17" s="705">
        <f>F17</f>
        <v>100</v>
      </c>
      <c r="T17" s="704" t="s">
        <v>14</v>
      </c>
      <c r="U17" s="705">
        <f>H17</f>
        <v>100</v>
      </c>
      <c r="V17" s="704" t="s">
        <v>14</v>
      </c>
      <c r="W17" s="705">
        <f>J17</f>
        <v>100</v>
      </c>
      <c r="X17" s="1354"/>
      <c r="Y17" s="3748"/>
      <c r="Z17" s="1355" t="str">
        <f>Q17</f>
        <v>交通便捷度</v>
      </c>
      <c r="AA17" s="1352">
        <f t="shared" si="3"/>
        <v>1</v>
      </c>
      <c r="AB17" s="1352">
        <f t="shared" si="4"/>
        <v>1</v>
      </c>
      <c r="AC17" s="1352">
        <f t="shared" si="5"/>
        <v>1</v>
      </c>
    </row>
    <row r="18" spans="1:29" ht="15">
      <c r="A18" s="379"/>
      <c r="B18" s="407"/>
      <c r="C18" s="1900" t="s">
        <v>3433</v>
      </c>
      <c r="D18" s="401"/>
      <c r="E18" s="398" t="s">
        <v>3433</v>
      </c>
      <c r="F18" s="404"/>
      <c r="G18" s="398" t="s">
        <v>3433</v>
      </c>
      <c r="H18" s="399"/>
      <c r="I18" s="398" t="s">
        <v>3433</v>
      </c>
      <c r="J18" s="399"/>
      <c r="K18" s="564"/>
      <c r="L18" s="2721"/>
      <c r="M18" s="2715"/>
      <c r="N18" s="2715"/>
      <c r="O18" s="2715"/>
      <c r="P18" s="3755"/>
      <c r="Q18" s="1351"/>
      <c r="R18" s="704"/>
      <c r="S18" s="705"/>
      <c r="T18" s="704"/>
      <c r="U18" s="705"/>
      <c r="V18" s="704"/>
      <c r="W18" s="705"/>
      <c r="X18" s="1354"/>
      <c r="Y18" s="3748"/>
      <c r="Z18" s="1355"/>
      <c r="AA18" s="1352">
        <v>1</v>
      </c>
      <c r="AB18" s="1352">
        <v>1</v>
      </c>
      <c r="AC18" s="1352">
        <v>1</v>
      </c>
    </row>
    <row r="19" spans="1:29" ht="42.75">
      <c r="A19" s="379"/>
      <c r="B19" s="402" t="s">
        <v>1778</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1"/>
      <c r="M19" s="2715"/>
      <c r="N19" s="2715"/>
      <c r="O19" s="2715"/>
      <c r="P19" s="3755"/>
      <c r="Q19" s="1351" t="str">
        <f>B19</f>
        <v>公共配套设施</v>
      </c>
      <c r="R19" s="704" t="s">
        <v>14</v>
      </c>
      <c r="S19" s="705">
        <f>F19</f>
        <v>100</v>
      </c>
      <c r="T19" s="704" t="s">
        <v>14</v>
      </c>
      <c r="U19" s="705">
        <f>H19</f>
        <v>100</v>
      </c>
      <c r="V19" s="704" t="s">
        <v>14</v>
      </c>
      <c r="W19" s="705">
        <f>J19</f>
        <v>100</v>
      </c>
      <c r="X19" s="1354"/>
      <c r="Y19" s="3748"/>
      <c r="Z19" s="1355" t="str">
        <f>Q19</f>
        <v>公共配套设施</v>
      </c>
      <c r="AA19" s="1352">
        <f t="shared" si="3"/>
        <v>1</v>
      </c>
      <c r="AB19" s="1352">
        <f t="shared" si="4"/>
        <v>1</v>
      </c>
      <c r="AC19" s="1352">
        <f t="shared" si="5"/>
        <v>1</v>
      </c>
    </row>
    <row r="20" spans="1:29" ht="15">
      <c r="A20" s="379"/>
      <c r="B20" s="407"/>
      <c r="C20" s="398" t="s">
        <v>3432</v>
      </c>
      <c r="D20" s="399"/>
      <c r="E20" s="398" t="s">
        <v>3432</v>
      </c>
      <c r="F20" s="400"/>
      <c r="G20" s="398" t="s">
        <v>3432</v>
      </c>
      <c r="H20" s="399"/>
      <c r="I20" s="398" t="s">
        <v>3432</v>
      </c>
      <c r="J20" s="399"/>
      <c r="K20" s="564"/>
      <c r="L20" s="2721"/>
      <c r="M20" s="2715"/>
      <c r="N20" s="2715"/>
      <c r="O20" s="2715"/>
      <c r="P20" s="3755"/>
      <c r="Q20" s="1351"/>
      <c r="R20" s="704"/>
      <c r="S20" s="705"/>
      <c r="T20" s="704"/>
      <c r="U20" s="705"/>
      <c r="V20" s="704"/>
      <c r="W20" s="705"/>
      <c r="X20" s="1354"/>
      <c r="Y20" s="3748"/>
      <c r="Z20" s="1355"/>
      <c r="AA20" s="1352">
        <v>1</v>
      </c>
      <c r="AB20" s="1352">
        <v>1</v>
      </c>
      <c r="AC20" s="1352">
        <v>1</v>
      </c>
    </row>
    <row r="21" spans="1:29" ht="28.5">
      <c r="A21" s="379"/>
      <c r="B21" s="1130" t="s">
        <v>1779</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1"/>
      <c r="M21" s="2715"/>
      <c r="N21" s="2715"/>
      <c r="O21" s="2715"/>
      <c r="P21" s="3755"/>
      <c r="Q21" s="1351" t="str">
        <f>B21</f>
        <v>基础设施水平</v>
      </c>
      <c r="R21" s="704" t="s">
        <v>14</v>
      </c>
      <c r="S21" s="705">
        <f>F21</f>
        <v>100</v>
      </c>
      <c r="T21" s="704" t="s">
        <v>14</v>
      </c>
      <c r="U21" s="705">
        <f>H21</f>
        <v>100</v>
      </c>
      <c r="V21" s="704" t="s">
        <v>14</v>
      </c>
      <c r="W21" s="705">
        <f>J21</f>
        <v>100</v>
      </c>
      <c r="X21" s="1354"/>
      <c r="Y21" s="3748"/>
      <c r="Z21" s="1355" t="str">
        <f>Q21</f>
        <v>基础设施水平</v>
      </c>
      <c r="AA21" s="1352">
        <f t="shared" ref="AA21" si="8">D21/F21</f>
        <v>1</v>
      </c>
      <c r="AB21" s="1352">
        <f t="shared" ref="AB21" si="9">D21/H21</f>
        <v>1</v>
      </c>
      <c r="AC21" s="1352">
        <f t="shared" ref="AC21" si="10">D21/J21</f>
        <v>1</v>
      </c>
    </row>
    <row r="22" spans="1:29" ht="15">
      <c r="A22" s="379"/>
      <c r="B22" s="1130"/>
      <c r="C22" s="1900" t="s">
        <v>3478</v>
      </c>
      <c r="D22" s="399"/>
      <c r="E22" s="398" t="s">
        <v>3478</v>
      </c>
      <c r="F22" s="400"/>
      <c r="G22" s="398" t="s">
        <v>3478</v>
      </c>
      <c r="H22" s="399"/>
      <c r="I22" s="398" t="s">
        <v>3478</v>
      </c>
      <c r="J22" s="399"/>
      <c r="K22" s="1129"/>
      <c r="L22" s="2721"/>
      <c r="M22" s="2715"/>
      <c r="N22" s="2715"/>
      <c r="O22" s="2715"/>
      <c r="P22" s="3755"/>
      <c r="Q22" s="1351"/>
      <c r="R22" s="704"/>
      <c r="S22" s="705"/>
      <c r="T22" s="704"/>
      <c r="U22" s="705"/>
      <c r="V22" s="704"/>
      <c r="W22" s="705"/>
      <c r="X22" s="1354"/>
      <c r="Y22" s="3748"/>
      <c r="Z22" s="1355"/>
      <c r="AA22" s="1352">
        <v>1</v>
      </c>
      <c r="AB22" s="1352">
        <v>1</v>
      </c>
      <c r="AC22" s="1352">
        <v>1</v>
      </c>
    </row>
    <row r="23" spans="1:29" ht="57">
      <c r="A23" s="379"/>
      <c r="B23" s="402" t="s">
        <v>1261</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1"/>
      <c r="M23" s="2715"/>
      <c r="N23" s="2715"/>
      <c r="O23" s="2715"/>
      <c r="P23" s="3755"/>
      <c r="Q23" s="1351" t="str">
        <f>B23</f>
        <v>自然及人文环境</v>
      </c>
      <c r="R23" s="704" t="s">
        <v>14</v>
      </c>
      <c r="S23" s="705">
        <f>F23</f>
        <v>100</v>
      </c>
      <c r="T23" s="704" t="s">
        <v>14</v>
      </c>
      <c r="U23" s="705">
        <f>H23</f>
        <v>100</v>
      </c>
      <c r="V23" s="704" t="s">
        <v>14</v>
      </c>
      <c r="W23" s="705">
        <f>J23</f>
        <v>100</v>
      </c>
      <c r="X23" s="1354"/>
      <c r="Y23" s="3748"/>
      <c r="Z23" s="1355" t="str">
        <f>Q23</f>
        <v>自然及人文环境</v>
      </c>
      <c r="AA23" s="1352">
        <f t="shared" si="3"/>
        <v>1</v>
      </c>
      <c r="AB23" s="1352">
        <f t="shared" si="4"/>
        <v>1</v>
      </c>
      <c r="AC23" s="1352">
        <f t="shared" si="5"/>
        <v>1</v>
      </c>
    </row>
    <row r="24" spans="1:29" ht="15">
      <c r="A24" s="379"/>
      <c r="B24" s="407"/>
      <c r="C24" s="398" t="s">
        <v>3432</v>
      </c>
      <c r="D24" s="399"/>
      <c r="E24" s="398" t="s">
        <v>3432</v>
      </c>
      <c r="F24" s="400"/>
      <c r="G24" s="398" t="s">
        <v>3432</v>
      </c>
      <c r="H24" s="399"/>
      <c r="I24" s="398" t="s">
        <v>3432</v>
      </c>
      <c r="J24" s="399"/>
      <c r="K24" s="564"/>
      <c r="L24" s="2721"/>
      <c r="M24" s="2715"/>
      <c r="N24" s="2715"/>
      <c r="O24" s="2715"/>
      <c r="P24" s="3755"/>
      <c r="Q24" s="1351"/>
      <c r="R24" s="704"/>
      <c r="S24" s="705"/>
      <c r="T24" s="704"/>
      <c r="U24" s="705"/>
      <c r="V24" s="704"/>
      <c r="W24" s="705"/>
      <c r="X24" s="1354"/>
      <c r="Y24" s="3748"/>
      <c r="Z24" s="1355"/>
      <c r="AA24" s="1352">
        <v>1</v>
      </c>
      <c r="AB24" s="1352">
        <v>1</v>
      </c>
      <c r="AC24" s="1352">
        <v>1</v>
      </c>
    </row>
    <row r="25" spans="1:29" ht="15">
      <c r="A25" s="379"/>
      <c r="B25" s="375" t="s">
        <v>1780</v>
      </c>
      <c r="C25" s="565" t="s">
        <v>3453</v>
      </c>
      <c r="D25" s="386">
        <v>100</v>
      </c>
      <c r="E25" s="565" t="s">
        <v>3455</v>
      </c>
      <c r="F25" s="412">
        <f>SUMIF(86:86,E25,87:87)-SUMIF(86:86,C25,87:87)+100</f>
        <v>100</v>
      </c>
      <c r="G25" s="565" t="s">
        <v>3453</v>
      </c>
      <c r="H25" s="386">
        <f>SUMIF(86:86,G25,87:87)-SUMIF(86:86,C25,87:87)+100</f>
        <v>100</v>
      </c>
      <c r="I25" s="565" t="s">
        <v>3453</v>
      </c>
      <c r="J25" s="386">
        <f>SUMIF(86:86,I25,87:87)-SUMIF(86:86,C25,87:87)+100</f>
        <v>100</v>
      </c>
      <c r="K25" s="561"/>
      <c r="L25" s="2721"/>
      <c r="M25" s="2715"/>
      <c r="N25" s="2715"/>
      <c r="O25" s="2715"/>
      <c r="P25" s="3755"/>
      <c r="Q25" s="1351" t="str">
        <f t="shared" ref="Q25:Q46" si="11">B25</f>
        <v>临街状况</v>
      </c>
      <c r="R25" s="704" t="s">
        <v>14</v>
      </c>
      <c r="S25" s="705">
        <f>F25</f>
        <v>100</v>
      </c>
      <c r="T25" s="704" t="s">
        <v>14</v>
      </c>
      <c r="U25" s="705">
        <f>H25</f>
        <v>100</v>
      </c>
      <c r="V25" s="704" t="s">
        <v>14</v>
      </c>
      <c r="W25" s="705">
        <f>J25</f>
        <v>100</v>
      </c>
      <c r="X25" s="1354"/>
      <c r="Y25" s="3748"/>
      <c r="Z25" s="1355" t="str">
        <f>Q25</f>
        <v>临街状况</v>
      </c>
      <c r="AA25" s="1352">
        <f t="shared" si="3"/>
        <v>1</v>
      </c>
      <c r="AB25" s="1352">
        <f t="shared" si="4"/>
        <v>1</v>
      </c>
      <c r="AC25" s="1352">
        <f t="shared" si="5"/>
        <v>1</v>
      </c>
    </row>
    <row r="26" spans="1:29" ht="15">
      <c r="A26" s="379"/>
      <c r="B26" s="1132" t="s">
        <v>1781</v>
      </c>
      <c r="C26" s="385" t="s">
        <v>3432</v>
      </c>
      <c r="D26" s="386">
        <v>100</v>
      </c>
      <c r="E26" s="385" t="s">
        <v>3432</v>
      </c>
      <c r="F26" s="412">
        <f>SUMIF(88:88,E26,89:89)-SUMIF(88:88,C26,89:89)+100</f>
        <v>100</v>
      </c>
      <c r="G26" s="385" t="s">
        <v>3432</v>
      </c>
      <c r="H26" s="386">
        <f>SUMIF(88:88,G26,89:89)-SUMIF(88:88,C26,89:89)+100</f>
        <v>100</v>
      </c>
      <c r="I26" s="385" t="s">
        <v>3432</v>
      </c>
      <c r="J26" s="386">
        <f>SUMIF(88:88,I26,89:89)-SUMIF(88:88,C26,89:89)+100</f>
        <v>100</v>
      </c>
      <c r="K26" s="562"/>
      <c r="L26" s="2721"/>
      <c r="M26" s="2715"/>
      <c r="N26" s="2715"/>
      <c r="O26" s="2715"/>
      <c r="P26" s="3755"/>
      <c r="Q26" s="1351" t="str">
        <f t="shared" si="11"/>
        <v>平面位置/可视性</v>
      </c>
      <c r="R26" s="704" t="s">
        <v>14</v>
      </c>
      <c r="S26" s="705">
        <f>F26</f>
        <v>100</v>
      </c>
      <c r="T26" s="704" t="s">
        <v>14</v>
      </c>
      <c r="U26" s="705">
        <f>H26</f>
        <v>100</v>
      </c>
      <c r="V26" s="704" t="s">
        <v>14</v>
      </c>
      <c r="W26" s="705">
        <f>J26</f>
        <v>100</v>
      </c>
      <c r="X26" s="1354"/>
      <c r="Y26" s="3748"/>
      <c r="Z26" s="1355" t="str">
        <f>Q26</f>
        <v>平面位置/可视性</v>
      </c>
      <c r="AA26" s="1352">
        <f t="shared" si="3"/>
        <v>1</v>
      </c>
      <c r="AB26" s="1352">
        <f t="shared" si="4"/>
        <v>1</v>
      </c>
      <c r="AC26" s="1352">
        <f t="shared" si="5"/>
        <v>1</v>
      </c>
    </row>
    <row r="27" spans="1:29" s="108" customFormat="1" ht="15">
      <c r="A27" s="382"/>
      <c r="B27" s="402" t="s">
        <v>1782</v>
      </c>
      <c r="C27" s="1955" t="s">
        <v>3433</v>
      </c>
      <c r="D27" s="413">
        <v>100</v>
      </c>
      <c r="E27" s="1955" t="s">
        <v>3432</v>
      </c>
      <c r="F27" s="415">
        <f>SUMIF(90:90,E27,91:91)-SUMIF(90:90,C27,91:91)+100</f>
        <v>102</v>
      </c>
      <c r="G27" s="1955" t="s">
        <v>3432</v>
      </c>
      <c r="H27" s="413">
        <f>SUMIF(90:90,G27,91:91)-SUMIF(90:90,C27,91:91)+100</f>
        <v>102</v>
      </c>
      <c r="I27" s="1955" t="s">
        <v>3433</v>
      </c>
      <c r="J27" s="413">
        <f>SUMIF(90:90,I27,91:91)-SUMIF(90:90,C27,91:91)+100</f>
        <v>100</v>
      </c>
      <c r="K27" s="561">
        <v>2</v>
      </c>
      <c r="L27" s="2716"/>
      <c r="M27" s="2717"/>
      <c r="N27" s="2717"/>
      <c r="O27" s="2717"/>
      <c r="P27" s="3755"/>
      <c r="Q27" s="1342" t="str">
        <f t="shared" si="11"/>
        <v>人流量</v>
      </c>
      <c r="R27" s="700" t="s">
        <v>14</v>
      </c>
      <c r="S27" s="701">
        <f>F27</f>
        <v>102</v>
      </c>
      <c r="T27" s="700" t="s">
        <v>14</v>
      </c>
      <c r="U27" s="701">
        <f>H27</f>
        <v>102</v>
      </c>
      <c r="V27" s="700" t="s">
        <v>14</v>
      </c>
      <c r="W27" s="701">
        <f>J27</f>
        <v>100</v>
      </c>
      <c r="X27" s="702"/>
      <c r="Y27" s="3748"/>
      <c r="Z27" s="52" t="str">
        <f>Q27</f>
        <v>人流量</v>
      </c>
      <c r="AA27" s="1352">
        <f>D27/F27</f>
        <v>0.98039215686274506</v>
      </c>
      <c r="AB27" s="1352">
        <f>D27/H27</f>
        <v>0.98039215686274506</v>
      </c>
      <c r="AC27" s="1352">
        <f>D27/J27</f>
        <v>1</v>
      </c>
    </row>
    <row r="28" spans="1:29" ht="15">
      <c r="A28" s="379"/>
      <c r="B28" s="375" t="s">
        <v>1783</v>
      </c>
      <c r="C28" s="565" t="s">
        <v>3479</v>
      </c>
      <c r="D28" s="386">
        <v>100</v>
      </c>
      <c r="E28" s="565" t="s">
        <v>3479</v>
      </c>
      <c r="F28" s="412">
        <f>SUMIF(92:92,E28,93:93)-SUMIF(92:92,C28,93:93)+100</f>
        <v>100</v>
      </c>
      <c r="G28" s="565" t="s">
        <v>3479</v>
      </c>
      <c r="H28" s="386">
        <f>SUMIF(92:92,G28,93:93)-SUMIF(92:92,C28,93:93)+100</f>
        <v>100</v>
      </c>
      <c r="I28" s="565" t="s">
        <v>3479</v>
      </c>
      <c r="J28" s="386">
        <f>SUMIF(92:92,I28,93:93)-SUMIF(92:92,C28,93:93)+100</f>
        <v>100</v>
      </c>
      <c r="K28" s="562"/>
      <c r="L28" s="2721"/>
      <c r="M28" s="2715"/>
      <c r="N28" s="2715"/>
      <c r="O28" s="2715"/>
      <c r="P28" s="3755"/>
      <c r="Q28" s="1351" t="str">
        <f t="shared" si="11"/>
        <v>楼层</v>
      </c>
      <c r="R28" s="704" t="s">
        <v>14</v>
      </c>
      <c r="S28" s="705">
        <f t="shared" ref="S28:S46" si="12">F28</f>
        <v>100</v>
      </c>
      <c r="T28" s="704" t="s">
        <v>14</v>
      </c>
      <c r="U28" s="705">
        <f t="shared" ref="U28:U46" si="13">H28</f>
        <v>100</v>
      </c>
      <c r="V28" s="704" t="s">
        <v>14</v>
      </c>
      <c r="W28" s="705">
        <f t="shared" ref="W28:W46" si="14">J28</f>
        <v>100</v>
      </c>
      <c r="X28" s="1354"/>
      <c r="Y28" s="3748"/>
      <c r="Z28" s="1355" t="str">
        <f t="shared" ref="Z28:Z46" si="15">Q28</f>
        <v>楼层</v>
      </c>
      <c r="AA28" s="1352">
        <f t="shared" si="3"/>
        <v>1</v>
      </c>
      <c r="AB28" s="1352">
        <f t="shared" si="4"/>
        <v>1</v>
      </c>
      <c r="AC28" s="1352">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755"/>
      <c r="Q29" s="1351">
        <f t="shared" si="11"/>
        <v>111</v>
      </c>
      <c r="R29" s="704" t="s">
        <v>14</v>
      </c>
      <c r="S29" s="705">
        <f t="shared" si="12"/>
        <v>100</v>
      </c>
      <c r="T29" s="704" t="s">
        <v>14</v>
      </c>
      <c r="U29" s="705">
        <f t="shared" si="13"/>
        <v>100</v>
      </c>
      <c r="V29" s="704" t="s">
        <v>14</v>
      </c>
      <c r="W29" s="705">
        <f t="shared" si="14"/>
        <v>100</v>
      </c>
      <c r="X29" s="1354"/>
      <c r="Y29" s="3748"/>
      <c r="Z29" s="1355">
        <f t="shared" si="15"/>
        <v>111</v>
      </c>
      <c r="AA29" s="1352">
        <f t="shared" si="3"/>
        <v>1</v>
      </c>
      <c r="AB29" s="1352">
        <f t="shared" si="4"/>
        <v>1</v>
      </c>
      <c r="AC29" s="1352">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755"/>
      <c r="Q30" s="1351">
        <f t="shared" si="11"/>
        <v>111</v>
      </c>
      <c r="R30" s="704" t="s">
        <v>14</v>
      </c>
      <c r="S30" s="705">
        <f t="shared" si="12"/>
        <v>100</v>
      </c>
      <c r="T30" s="704" t="s">
        <v>14</v>
      </c>
      <c r="U30" s="705">
        <f t="shared" si="13"/>
        <v>100</v>
      </c>
      <c r="V30" s="704" t="s">
        <v>14</v>
      </c>
      <c r="W30" s="705">
        <f t="shared" si="14"/>
        <v>100</v>
      </c>
      <c r="X30" s="1354"/>
      <c r="Y30" s="3748"/>
      <c r="Z30" s="1355">
        <f t="shared" si="15"/>
        <v>111</v>
      </c>
      <c r="AA30" s="1352">
        <f t="shared" si="3"/>
        <v>1</v>
      </c>
      <c r="AB30" s="1352">
        <f t="shared" si="4"/>
        <v>1</v>
      </c>
      <c r="AC30" s="1352">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755"/>
      <c r="Q31" s="1351">
        <f t="shared" si="11"/>
        <v>111</v>
      </c>
      <c r="R31" s="704" t="s">
        <v>14</v>
      </c>
      <c r="S31" s="705">
        <f t="shared" si="12"/>
        <v>100</v>
      </c>
      <c r="T31" s="704" t="s">
        <v>14</v>
      </c>
      <c r="U31" s="705">
        <f t="shared" si="13"/>
        <v>100</v>
      </c>
      <c r="V31" s="704" t="s">
        <v>14</v>
      </c>
      <c r="W31" s="705">
        <f t="shared" si="14"/>
        <v>100</v>
      </c>
      <c r="X31" s="1354"/>
      <c r="Y31" s="3748"/>
      <c r="Z31" s="1355">
        <f t="shared" si="15"/>
        <v>111</v>
      </c>
      <c r="AA31" s="1352">
        <f t="shared" si="3"/>
        <v>1</v>
      </c>
      <c r="AB31" s="1352">
        <f t="shared" si="4"/>
        <v>1</v>
      </c>
      <c r="AC31" s="1352">
        <f t="shared" si="5"/>
        <v>1</v>
      </c>
    </row>
    <row r="32" spans="1:29" ht="15">
      <c r="A32" s="391" t="s">
        <v>1694</v>
      </c>
      <c r="B32" s="63" t="s">
        <v>1784</v>
      </c>
      <c r="C32" s="1909" t="s">
        <v>3472</v>
      </c>
      <c r="D32" s="418">
        <v>100</v>
      </c>
      <c r="E32" s="1909" t="s">
        <v>3472</v>
      </c>
      <c r="F32" s="412">
        <f>SUMIF(100:100,E32,101:101)-SUMIF(100:100,C32,101:101)+100</f>
        <v>100</v>
      </c>
      <c r="G32" s="1909" t="s">
        <v>3474</v>
      </c>
      <c r="H32" s="386">
        <f>SUMIF(100:100,G32,101:101)-SUMIF(100:100,C32,101:101)+100</f>
        <v>98</v>
      </c>
      <c r="I32" s="1909" t="s">
        <v>3474</v>
      </c>
      <c r="J32" s="418">
        <f>SUMIF(100:100,I32,101:101)-SUMIF(100:100,C32,101:101)+100</f>
        <v>98</v>
      </c>
      <c r="K32" s="561">
        <v>2</v>
      </c>
      <c r="L32" s="2721"/>
      <c r="M32" s="2715"/>
      <c r="N32" s="2715"/>
      <c r="O32" s="2715"/>
      <c r="P32" s="3749" t="s">
        <v>1696</v>
      </c>
      <c r="Q32" s="1351" t="str">
        <f t="shared" si="11"/>
        <v>商业类型</v>
      </c>
      <c r="R32" s="704" t="s">
        <v>14</v>
      </c>
      <c r="S32" s="705">
        <f t="shared" si="12"/>
        <v>100</v>
      </c>
      <c r="T32" s="704" t="s">
        <v>14</v>
      </c>
      <c r="U32" s="705">
        <f t="shared" si="13"/>
        <v>98</v>
      </c>
      <c r="V32" s="704" t="s">
        <v>14</v>
      </c>
      <c r="W32" s="705">
        <f t="shared" si="14"/>
        <v>98</v>
      </c>
      <c r="X32" s="1354"/>
      <c r="Y32" s="3752" t="s">
        <v>1696</v>
      </c>
      <c r="Z32" s="1355" t="str">
        <f t="shared" si="15"/>
        <v>商业类型</v>
      </c>
      <c r="AA32" s="1352">
        <f t="shared" si="3"/>
        <v>1</v>
      </c>
      <c r="AB32" s="1352">
        <f t="shared" si="4"/>
        <v>1.0204081632653061</v>
      </c>
      <c r="AC32" s="1352">
        <f t="shared" si="5"/>
        <v>1.0204081632653061</v>
      </c>
    </row>
    <row r="33" spans="1:29" s="422" customFormat="1" ht="15">
      <c r="A33" s="419"/>
      <c r="B33" s="375" t="s">
        <v>1697</v>
      </c>
      <c r="C33" s="420">
        <f>D3</f>
        <v>121.8</v>
      </c>
      <c r="D33" s="127">
        <v>100</v>
      </c>
      <c r="E33" s="420">
        <v>560</v>
      </c>
      <c r="F33" s="376">
        <f>LOOKUP(E33,103:103,104:104)-LOOKUP(C33,103:103,104:104)+100</f>
        <v>92</v>
      </c>
      <c r="G33" s="420">
        <v>97.31</v>
      </c>
      <c r="H33" s="127">
        <f>LOOKUP(G33,103:103,104:104)-LOOKUP(C33,103:103,104:104)+100</f>
        <v>102</v>
      </c>
      <c r="I33" s="420">
        <v>158.35</v>
      </c>
      <c r="J33" s="127">
        <f>LOOKUP(I33,103:103,104:104)-LOOKUP(C33,103:103,104:104)+100</f>
        <v>100</v>
      </c>
      <c r="K33" s="562"/>
      <c r="L33" s="2720"/>
      <c r="M33" s="2722"/>
      <c r="N33" s="2722"/>
      <c r="O33" s="2722"/>
      <c r="P33" s="3750"/>
      <c r="Q33" s="706" t="str">
        <f t="shared" si="11"/>
        <v>项目建筑规模</v>
      </c>
      <c r="R33" s="707" t="s">
        <v>14</v>
      </c>
      <c r="S33" s="708">
        <f t="shared" si="12"/>
        <v>92</v>
      </c>
      <c r="T33" s="707" t="s">
        <v>14</v>
      </c>
      <c r="U33" s="708">
        <f t="shared" si="13"/>
        <v>102</v>
      </c>
      <c r="V33" s="707" t="s">
        <v>14</v>
      </c>
      <c r="W33" s="708">
        <f t="shared" si="14"/>
        <v>100</v>
      </c>
      <c r="X33" s="709"/>
      <c r="Y33" s="3752"/>
      <c r="Z33" s="710" t="str">
        <f t="shared" si="15"/>
        <v>项目建筑规模</v>
      </c>
      <c r="AA33" s="1352">
        <f t="shared" si="3"/>
        <v>1.0869565217391304</v>
      </c>
      <c r="AB33" s="1352">
        <f t="shared" si="4"/>
        <v>0.98039215686274506</v>
      </c>
      <c r="AC33" s="1352">
        <f t="shared" si="5"/>
        <v>1</v>
      </c>
    </row>
    <row r="34" spans="1:29" ht="15">
      <c r="A34" s="423"/>
      <c r="B34" s="375" t="s">
        <v>1698</v>
      </c>
      <c r="C34" s="1911" t="s">
        <v>3438</v>
      </c>
      <c r="D34" s="386">
        <v>100</v>
      </c>
      <c r="E34" s="1911" t="s">
        <v>3438</v>
      </c>
      <c r="F34" s="412">
        <f>SUMIF(105:105,E34,106:106)-SUMIF(105:105,C34,106:106)+100</f>
        <v>100</v>
      </c>
      <c r="G34" s="1911" t="s">
        <v>3438</v>
      </c>
      <c r="H34" s="386">
        <f>SUMIF(105:105,G34,106:106)-SUMIF(105:105,C34,106:106)+100</f>
        <v>100</v>
      </c>
      <c r="I34" s="1911" t="s">
        <v>3438</v>
      </c>
      <c r="J34" s="386">
        <f>SUMIF(105:105,I34,106:106)-SUMIF(105:105,C34,106:106)+100</f>
        <v>100</v>
      </c>
      <c r="K34" s="561"/>
      <c r="L34" s="2721"/>
      <c r="M34" s="2715"/>
      <c r="N34" s="2715"/>
      <c r="O34" s="2715"/>
      <c r="P34" s="3750"/>
      <c r="Q34" s="1351" t="str">
        <f t="shared" si="11"/>
        <v>建筑结构</v>
      </c>
      <c r="R34" s="704" t="s">
        <v>14</v>
      </c>
      <c r="S34" s="705">
        <f t="shared" si="12"/>
        <v>100</v>
      </c>
      <c r="T34" s="704" t="s">
        <v>14</v>
      </c>
      <c r="U34" s="705">
        <f t="shared" si="13"/>
        <v>100</v>
      </c>
      <c r="V34" s="704" t="s">
        <v>14</v>
      </c>
      <c r="W34" s="705">
        <f t="shared" si="14"/>
        <v>100</v>
      </c>
      <c r="X34" s="1354"/>
      <c r="Y34" s="3752"/>
      <c r="Z34" s="1355" t="str">
        <f t="shared" si="15"/>
        <v>建筑结构</v>
      </c>
      <c r="AA34" s="1352">
        <f t="shared" si="3"/>
        <v>1</v>
      </c>
      <c r="AB34" s="1352">
        <f t="shared" si="4"/>
        <v>1</v>
      </c>
      <c r="AC34" s="1352">
        <f t="shared" si="5"/>
        <v>1</v>
      </c>
    </row>
    <row r="35" spans="1:29" ht="15">
      <c r="A35" s="423"/>
      <c r="B35" s="375" t="s">
        <v>1785</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721"/>
      <c r="M35" s="2715"/>
      <c r="N35" s="2715"/>
      <c r="O35" s="2715"/>
      <c r="P35" s="3750"/>
      <c r="Q35" s="1351" t="str">
        <f t="shared" si="11"/>
        <v>公共部分装修</v>
      </c>
      <c r="R35" s="704" t="s">
        <v>14</v>
      </c>
      <c r="S35" s="705">
        <f t="shared" si="12"/>
        <v>100</v>
      </c>
      <c r="T35" s="704" t="s">
        <v>14</v>
      </c>
      <c r="U35" s="705">
        <f t="shared" si="13"/>
        <v>100</v>
      </c>
      <c r="V35" s="704" t="s">
        <v>14</v>
      </c>
      <c r="W35" s="705">
        <f t="shared" si="14"/>
        <v>100</v>
      </c>
      <c r="X35" s="1354"/>
      <c r="Y35" s="3752"/>
      <c r="Z35" s="1355" t="str">
        <f t="shared" si="15"/>
        <v>公共部分装修</v>
      </c>
      <c r="AA35" s="1352">
        <f t="shared" si="3"/>
        <v>1</v>
      </c>
      <c r="AB35" s="1352">
        <f t="shared" si="4"/>
        <v>1</v>
      </c>
      <c r="AC35" s="1352">
        <f t="shared" si="5"/>
        <v>1</v>
      </c>
    </row>
    <row r="36" spans="1:29" ht="15">
      <c r="A36" s="423"/>
      <c r="B36" s="375" t="s">
        <v>1786</v>
      </c>
      <c r="C36" s="425">
        <v>0.85</v>
      </c>
      <c r="D36" s="386">
        <v>100</v>
      </c>
      <c r="E36" s="425">
        <v>0.85</v>
      </c>
      <c r="F36" s="412">
        <f>LOOKUP(E36,110:110,111:111)-LOOKUP(C36,110:110,111:111)+100</f>
        <v>100</v>
      </c>
      <c r="G36" s="425">
        <v>0.85</v>
      </c>
      <c r="H36" s="412">
        <f>LOOKUP(G36,110:110,111:111)-LOOKUP(C36,110:110,111:111)+100</f>
        <v>100</v>
      </c>
      <c r="I36" s="425">
        <v>0.85</v>
      </c>
      <c r="J36" s="386">
        <f>LOOKUP(I36,110:110,111:111)-LOOKUP(C36,110:110,111:111)+100</f>
        <v>100</v>
      </c>
      <c r="K36" s="561"/>
      <c r="L36" s="2721"/>
      <c r="M36" s="2715"/>
      <c r="N36" s="2715"/>
      <c r="O36" s="2715"/>
      <c r="P36" s="3750"/>
      <c r="Q36" s="1351" t="str">
        <f t="shared" si="11"/>
        <v>成新度</v>
      </c>
      <c r="R36" s="704" t="s">
        <v>14</v>
      </c>
      <c r="S36" s="705">
        <f t="shared" si="12"/>
        <v>100</v>
      </c>
      <c r="T36" s="704" t="s">
        <v>14</v>
      </c>
      <c r="U36" s="705">
        <f t="shared" si="13"/>
        <v>100</v>
      </c>
      <c r="V36" s="704" t="s">
        <v>14</v>
      </c>
      <c r="W36" s="705">
        <f t="shared" si="14"/>
        <v>100</v>
      </c>
      <c r="X36" s="1354"/>
      <c r="Y36" s="3752"/>
      <c r="Z36" s="1355" t="str">
        <f t="shared" si="15"/>
        <v>成新度</v>
      </c>
      <c r="AA36" s="1352">
        <f t="shared" si="3"/>
        <v>1</v>
      </c>
      <c r="AB36" s="1352">
        <f t="shared" si="4"/>
        <v>1</v>
      </c>
      <c r="AC36" s="1352">
        <f t="shared" si="5"/>
        <v>1</v>
      </c>
    </row>
    <row r="37" spans="1:29" s="108" customFormat="1" ht="15">
      <c r="A37" s="424"/>
      <c r="B37" s="375" t="s">
        <v>1787</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6"/>
      <c r="M37" s="2717"/>
      <c r="N37" s="2717"/>
      <c r="O37" s="2717"/>
      <c r="P37" s="3750"/>
      <c r="Q37" s="1342" t="str">
        <f t="shared" si="11"/>
        <v>市政基础设施</v>
      </c>
      <c r="R37" s="700" t="s">
        <v>14</v>
      </c>
      <c r="S37" s="701">
        <f t="shared" si="12"/>
        <v>100</v>
      </c>
      <c r="T37" s="700" t="s">
        <v>14</v>
      </c>
      <c r="U37" s="701">
        <f t="shared" si="13"/>
        <v>100</v>
      </c>
      <c r="V37" s="700" t="s">
        <v>14</v>
      </c>
      <c r="W37" s="701">
        <f t="shared" si="14"/>
        <v>100</v>
      </c>
      <c r="X37" s="702"/>
      <c r="Y37" s="3752"/>
      <c r="Z37" s="52" t="str">
        <f t="shared" si="15"/>
        <v>市政基础设施</v>
      </c>
      <c r="AA37" s="703">
        <f t="shared" si="3"/>
        <v>1</v>
      </c>
      <c r="AB37" s="703">
        <f t="shared" si="4"/>
        <v>1</v>
      </c>
      <c r="AC37" s="703">
        <f t="shared" si="5"/>
        <v>1</v>
      </c>
    </row>
    <row r="38" spans="1:29" ht="15">
      <c r="A38" s="423"/>
      <c r="B38" s="375" t="s">
        <v>1788</v>
      </c>
      <c r="C38" s="1905" t="s">
        <v>3465</v>
      </c>
      <c r="D38" s="386">
        <v>100</v>
      </c>
      <c r="E38" s="1905" t="s">
        <v>3465</v>
      </c>
      <c r="F38" s="412">
        <f>SUMIF(114:114,E38,115:115)-SUMIF(114:114,C38,115:115)+100</f>
        <v>100</v>
      </c>
      <c r="G38" s="1905" t="s">
        <v>3465</v>
      </c>
      <c r="H38" s="386">
        <f>SUMIF(114:114,G38,115:115)-SUMIF(114:114,C38,115:115)+100</f>
        <v>100</v>
      </c>
      <c r="I38" s="1905" t="s">
        <v>3467</v>
      </c>
      <c r="J38" s="386">
        <f>SUMIF(114:114,I38,115:115)-SUMIF(114:114,C38,115:115)+100</f>
        <v>98</v>
      </c>
      <c r="K38" s="561">
        <v>2</v>
      </c>
      <c r="L38" s="2721"/>
      <c r="M38" s="2715"/>
      <c r="N38" s="2715"/>
      <c r="O38" s="2715"/>
      <c r="P38" s="3750" t="s">
        <v>1696</v>
      </c>
      <c r="Q38" s="1351" t="str">
        <f t="shared" si="11"/>
        <v>业态</v>
      </c>
      <c r="R38" s="704" t="s">
        <v>14</v>
      </c>
      <c r="S38" s="705">
        <f t="shared" si="12"/>
        <v>100</v>
      </c>
      <c r="T38" s="704" t="s">
        <v>14</v>
      </c>
      <c r="U38" s="705">
        <f t="shared" si="13"/>
        <v>100</v>
      </c>
      <c r="V38" s="704" t="s">
        <v>14</v>
      </c>
      <c r="W38" s="705">
        <f t="shared" si="14"/>
        <v>98</v>
      </c>
      <c r="X38" s="1354"/>
      <c r="Y38" s="3752" t="s">
        <v>1696</v>
      </c>
      <c r="Z38" s="1355" t="str">
        <f t="shared" si="15"/>
        <v>业态</v>
      </c>
      <c r="AA38" s="1352">
        <f t="shared" si="3"/>
        <v>1</v>
      </c>
      <c r="AB38" s="1352">
        <f t="shared" si="4"/>
        <v>1</v>
      </c>
      <c r="AC38" s="1352">
        <f t="shared" si="5"/>
        <v>1.0204081632653061</v>
      </c>
    </row>
    <row r="39" spans="1:29" ht="15">
      <c r="A39" s="423"/>
      <c r="B39" s="375" t="s">
        <v>1789</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721"/>
      <c r="M39" s="2715"/>
      <c r="N39" s="2715"/>
      <c r="O39" s="2715"/>
      <c r="P39" s="3750"/>
      <c r="Q39" s="1351" t="str">
        <f t="shared" si="11"/>
        <v>层高</v>
      </c>
      <c r="R39" s="704" t="s">
        <v>14</v>
      </c>
      <c r="S39" s="705">
        <f t="shared" si="12"/>
        <v>100</v>
      </c>
      <c r="T39" s="704" t="s">
        <v>14</v>
      </c>
      <c r="U39" s="705">
        <f t="shared" si="13"/>
        <v>100</v>
      </c>
      <c r="V39" s="704" t="s">
        <v>14</v>
      </c>
      <c r="W39" s="705">
        <f t="shared" si="14"/>
        <v>100</v>
      </c>
      <c r="X39" s="1354"/>
      <c r="Y39" s="3752"/>
      <c r="Z39" s="1355" t="str">
        <f t="shared" si="15"/>
        <v>层高</v>
      </c>
      <c r="AA39" s="1352">
        <f t="shared" si="3"/>
        <v>1</v>
      </c>
      <c r="AB39" s="1352">
        <f t="shared" si="4"/>
        <v>1</v>
      </c>
      <c r="AC39" s="1352">
        <f t="shared" si="5"/>
        <v>1</v>
      </c>
    </row>
    <row r="40" spans="1:29" ht="15">
      <c r="A40" s="423"/>
      <c r="B40" s="375" t="s">
        <v>1790</v>
      </c>
      <c r="C40" s="566"/>
      <c r="D40" s="386">
        <v>100</v>
      </c>
      <c r="E40" s="566"/>
      <c r="F40" s="412">
        <f>SUMIF(118:118,E40,119:119)-SUMIF(118:118,C40,119:119)+100</f>
        <v>100</v>
      </c>
      <c r="G40" s="566"/>
      <c r="H40" s="386">
        <f>SUMIF(118:118,G40,119:119)-SUMIF(118:118,C40,119:119)+100</f>
        <v>100</v>
      </c>
      <c r="I40" s="566"/>
      <c r="J40" s="386">
        <f>SUMIF(118:118,I40,119:119)-SUMIF(118:118,C40,119:119)+100</f>
        <v>100</v>
      </c>
      <c r="K40" s="562"/>
      <c r="L40" s="2721"/>
      <c r="M40" s="2715"/>
      <c r="N40" s="2715"/>
      <c r="O40" s="2715"/>
      <c r="P40" s="3750"/>
      <c r="Q40" s="1351" t="str">
        <f t="shared" si="11"/>
        <v>单套建筑面积</v>
      </c>
      <c r="R40" s="704" t="s">
        <v>14</v>
      </c>
      <c r="S40" s="705">
        <f t="shared" si="12"/>
        <v>100</v>
      </c>
      <c r="T40" s="704" t="s">
        <v>14</v>
      </c>
      <c r="U40" s="705">
        <f t="shared" si="13"/>
        <v>100</v>
      </c>
      <c r="V40" s="704" t="s">
        <v>14</v>
      </c>
      <c r="W40" s="705">
        <f t="shared" si="14"/>
        <v>100</v>
      </c>
      <c r="X40" s="1354"/>
      <c r="Y40" s="3752"/>
      <c r="Z40" s="1355" t="str">
        <f t="shared" si="15"/>
        <v>单套建筑面积</v>
      </c>
      <c r="AA40" s="1352">
        <f t="shared" si="3"/>
        <v>1</v>
      </c>
      <c r="AB40" s="1352">
        <f t="shared" si="4"/>
        <v>1</v>
      </c>
      <c r="AC40" s="1352">
        <f t="shared" si="5"/>
        <v>1</v>
      </c>
    </row>
    <row r="41" spans="1:29" s="422" customFormat="1" ht="15">
      <c r="A41" s="419"/>
      <c r="B41" s="1353"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750"/>
      <c r="Q41" s="706" t="str">
        <f t="shared" si="11"/>
        <v>进深比</v>
      </c>
      <c r="R41" s="707" t="s">
        <v>14</v>
      </c>
      <c r="S41" s="708">
        <f t="shared" si="12"/>
        <v>100</v>
      </c>
      <c r="T41" s="707" t="s">
        <v>14</v>
      </c>
      <c r="U41" s="708">
        <f t="shared" si="13"/>
        <v>100</v>
      </c>
      <c r="V41" s="707" t="s">
        <v>14</v>
      </c>
      <c r="W41" s="708">
        <f t="shared" si="14"/>
        <v>100</v>
      </c>
      <c r="X41" s="709"/>
      <c r="Y41" s="3752"/>
      <c r="Z41" s="710" t="str">
        <f t="shared" si="15"/>
        <v>进深比</v>
      </c>
      <c r="AA41" s="1352">
        <f t="shared" si="3"/>
        <v>1</v>
      </c>
      <c r="AB41" s="1352">
        <f t="shared" si="4"/>
        <v>1</v>
      </c>
      <c r="AC41" s="1352">
        <f t="shared" si="5"/>
        <v>1</v>
      </c>
    </row>
    <row r="42" spans="1:29" ht="15">
      <c r="A42" s="423"/>
      <c r="B42" s="375" t="s">
        <v>1792</v>
      </c>
      <c r="C42" s="1905" t="s">
        <v>3461</v>
      </c>
      <c r="D42" s="386">
        <v>100</v>
      </c>
      <c r="E42" s="1905" t="s">
        <v>3459</v>
      </c>
      <c r="F42" s="412">
        <f>SUMIF(122:122,E42,123:123)-SUMIF(122:122,C42,123:123)+100</f>
        <v>99</v>
      </c>
      <c r="G42" s="1905" t="s">
        <v>3459</v>
      </c>
      <c r="H42" s="386">
        <f>SUMIF(122:122,G42,123:123)-SUMIF(122:122,C42,123:123)+100</f>
        <v>99</v>
      </c>
      <c r="I42" s="1905" t="s">
        <v>3459</v>
      </c>
      <c r="J42" s="386">
        <f>SUMIF(122:122,I42,123:123)-SUMIF(122:122,C42,123:123)+100</f>
        <v>99</v>
      </c>
      <c r="K42" s="561">
        <v>1</v>
      </c>
      <c r="L42" s="2721"/>
      <c r="M42" s="2715"/>
      <c r="N42" s="2715"/>
      <c r="O42" s="2715"/>
      <c r="P42" s="3750"/>
      <c r="Q42" s="1351" t="str">
        <f t="shared" si="11"/>
        <v>内部装修</v>
      </c>
      <c r="R42" s="704" t="s">
        <v>14</v>
      </c>
      <c r="S42" s="705">
        <f t="shared" si="12"/>
        <v>99</v>
      </c>
      <c r="T42" s="704" t="s">
        <v>14</v>
      </c>
      <c r="U42" s="705">
        <f t="shared" si="13"/>
        <v>99</v>
      </c>
      <c r="V42" s="704" t="s">
        <v>14</v>
      </c>
      <c r="W42" s="705">
        <f t="shared" si="14"/>
        <v>99</v>
      </c>
      <c r="X42" s="1354"/>
      <c r="Y42" s="3752"/>
      <c r="Z42" s="1355" t="str">
        <f t="shared" si="15"/>
        <v>内部装修</v>
      </c>
      <c r="AA42" s="1352">
        <f t="shared" si="3"/>
        <v>1.0101010101010102</v>
      </c>
      <c r="AB42" s="1352">
        <f t="shared" si="4"/>
        <v>1.0101010101010102</v>
      </c>
      <c r="AC42" s="1352">
        <f t="shared" si="5"/>
        <v>1.0101010101010102</v>
      </c>
    </row>
    <row r="43" spans="1:29" ht="15">
      <c r="A43" s="423"/>
      <c r="B43" s="375" t="s">
        <v>1707</v>
      </c>
      <c r="C43" s="1905" t="s">
        <v>3432</v>
      </c>
      <c r="D43" s="386">
        <v>100</v>
      </c>
      <c r="E43" s="1905" t="s">
        <v>3432</v>
      </c>
      <c r="F43" s="412">
        <f>SUMIF(124:124,E43,125:125)-SUMIF(124:124,C43,125:125)+100</f>
        <v>100</v>
      </c>
      <c r="G43" s="1905" t="s">
        <v>3432</v>
      </c>
      <c r="H43" s="386">
        <f>SUMIF(124:124,G43,125:125)-SUMIF(124:124,C43,125:125)+100</f>
        <v>100</v>
      </c>
      <c r="I43" s="1905" t="s">
        <v>3432</v>
      </c>
      <c r="J43" s="386">
        <f>SUMIF(124:124,I43,125:125)-SUMIF(124:124,C43,125:125)+100</f>
        <v>100</v>
      </c>
      <c r="K43" s="561">
        <v>1</v>
      </c>
      <c r="L43" s="2721"/>
      <c r="M43" s="2715"/>
      <c r="N43" s="2715"/>
      <c r="O43" s="2715"/>
      <c r="P43" s="3750"/>
      <c r="Q43" s="1351" t="str">
        <f t="shared" si="11"/>
        <v>内部装修维护情况</v>
      </c>
      <c r="R43" s="704" t="s">
        <v>14</v>
      </c>
      <c r="S43" s="705">
        <f t="shared" si="12"/>
        <v>100</v>
      </c>
      <c r="T43" s="704" t="s">
        <v>14</v>
      </c>
      <c r="U43" s="705">
        <f t="shared" si="13"/>
        <v>100</v>
      </c>
      <c r="V43" s="704" t="s">
        <v>14</v>
      </c>
      <c r="W43" s="705">
        <f t="shared" si="14"/>
        <v>100</v>
      </c>
      <c r="X43" s="1354"/>
      <c r="Y43" s="3752"/>
      <c r="Z43" s="1355" t="str">
        <f t="shared" si="15"/>
        <v>内部装修维护情况</v>
      </c>
      <c r="AA43" s="1352">
        <f t="shared" si="3"/>
        <v>1</v>
      </c>
      <c r="AB43" s="1352">
        <f t="shared" si="4"/>
        <v>1</v>
      </c>
      <c r="AC43" s="1352">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750"/>
      <c r="Q44" s="1342">
        <f t="shared" si="11"/>
        <v>111</v>
      </c>
      <c r="R44" s="700" t="s">
        <v>14</v>
      </c>
      <c r="S44" s="701">
        <f t="shared" si="12"/>
        <v>100</v>
      </c>
      <c r="T44" s="700" t="s">
        <v>14</v>
      </c>
      <c r="U44" s="701">
        <f t="shared" si="13"/>
        <v>100</v>
      </c>
      <c r="V44" s="700" t="s">
        <v>14</v>
      </c>
      <c r="W44" s="701">
        <f t="shared" si="14"/>
        <v>100</v>
      </c>
      <c r="X44" s="702"/>
      <c r="Y44" s="3752"/>
      <c r="Z44" s="52">
        <f t="shared" si="15"/>
        <v>111</v>
      </c>
      <c r="AA44" s="703">
        <f t="shared" si="3"/>
        <v>1</v>
      </c>
      <c r="AB44" s="703">
        <f t="shared" si="4"/>
        <v>1</v>
      </c>
      <c r="AC44" s="703">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750"/>
      <c r="Q45" s="1351">
        <f t="shared" si="11"/>
        <v>111</v>
      </c>
      <c r="R45" s="704" t="s">
        <v>14</v>
      </c>
      <c r="S45" s="705">
        <f t="shared" si="12"/>
        <v>100</v>
      </c>
      <c r="T45" s="704" t="s">
        <v>14</v>
      </c>
      <c r="U45" s="705">
        <f t="shared" si="13"/>
        <v>100</v>
      </c>
      <c r="V45" s="704" t="s">
        <v>14</v>
      </c>
      <c r="W45" s="705">
        <f t="shared" si="14"/>
        <v>100</v>
      </c>
      <c r="X45" s="1354"/>
      <c r="Y45" s="3752"/>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751"/>
      <c r="Q46" s="1351">
        <f t="shared" si="11"/>
        <v>111</v>
      </c>
      <c r="R46" s="704" t="s">
        <v>14</v>
      </c>
      <c r="S46" s="705">
        <f t="shared" si="12"/>
        <v>100</v>
      </c>
      <c r="T46" s="704" t="s">
        <v>14</v>
      </c>
      <c r="U46" s="705">
        <f t="shared" si="13"/>
        <v>100</v>
      </c>
      <c r="V46" s="704" t="s">
        <v>14</v>
      </c>
      <c r="W46" s="705">
        <f t="shared" si="14"/>
        <v>100</v>
      </c>
      <c r="X46" s="1354"/>
      <c r="Y46" s="3753"/>
      <c r="Z46" s="1355">
        <f t="shared" si="15"/>
        <v>111</v>
      </c>
      <c r="AA46" s="1352">
        <f t="shared" si="3"/>
        <v>1</v>
      </c>
      <c r="AB46" s="1352">
        <f t="shared" si="4"/>
        <v>1</v>
      </c>
      <c r="AC46" s="1352">
        <f t="shared" si="5"/>
        <v>1</v>
      </c>
    </row>
    <row r="47" spans="1:29" ht="15">
      <c r="A47" s="430" t="s">
        <v>1708</v>
      </c>
      <c r="B47" s="431"/>
      <c r="C47" s="1153" t="s">
        <v>0</v>
      </c>
      <c r="D47" s="1154"/>
      <c r="E47" s="1155">
        <v>40000</v>
      </c>
      <c r="F47" s="1156"/>
      <c r="G47" s="1157">
        <v>46243</v>
      </c>
      <c r="H47" s="1158"/>
      <c r="I47" s="1155">
        <v>44200</v>
      </c>
      <c r="J47" s="1158"/>
      <c r="K47" s="713"/>
      <c r="L47" s="2723"/>
      <c r="M47" s="2724"/>
      <c r="N47" s="2715"/>
      <c r="O47" s="2724"/>
      <c r="P47" s="3745" t="str">
        <f>A47</f>
        <v>成交单价（元/平方米）</v>
      </c>
      <c r="Q47" s="3745"/>
      <c r="R47" s="3740">
        <f>E47</f>
        <v>40000</v>
      </c>
      <c r="S47" s="3740"/>
      <c r="T47" s="3740">
        <f>G47</f>
        <v>46243</v>
      </c>
      <c r="U47" s="3740"/>
      <c r="V47" s="3740">
        <f>I47</f>
        <v>44200</v>
      </c>
      <c r="W47" s="3740"/>
      <c r="X47" s="689"/>
      <c r="Y47" s="711"/>
      <c r="Z47" s="689"/>
      <c r="AA47" s="689"/>
      <c r="AB47" s="689"/>
      <c r="AC47" s="689"/>
    </row>
    <row r="48" spans="1:29" ht="15.75" thickBot="1">
      <c r="A48" s="437" t="s">
        <v>1793</v>
      </c>
      <c r="B48" s="438"/>
      <c r="C48" s="1159">
        <f>R49</f>
        <v>41627</v>
      </c>
      <c r="D48" s="2316" t="s">
        <v>2138</v>
      </c>
      <c r="E48" s="1160">
        <f>R48</f>
        <v>39053</v>
      </c>
      <c r="F48" s="2317"/>
      <c r="G48" s="1159">
        <f>T48</f>
        <v>41553</v>
      </c>
      <c r="H48" s="2317"/>
      <c r="I48" s="1160">
        <f>V48</f>
        <v>44274</v>
      </c>
      <c r="J48" s="2317"/>
      <c r="K48" s="2319">
        <f>F48+H48+J48</f>
        <v>0</v>
      </c>
      <c r="L48" s="2723"/>
      <c r="M48" s="2724"/>
      <c r="N48" s="2715"/>
      <c r="O48" s="2724"/>
      <c r="P48" s="3745" t="str">
        <f>A48</f>
        <v>比较价值（元/平方米）</v>
      </c>
      <c r="Q48" s="3745"/>
      <c r="R48" s="3746">
        <f>IF(F1="售价",ROUND(PRODUCT(R47,AA7:AA46),0),ROUND(PRODUCT(R47,AA7:AA46),1))</f>
        <v>39053</v>
      </c>
      <c r="S48" s="3746"/>
      <c r="T48" s="3746">
        <f>IF(F1="售价",ROUND(PRODUCT(T47,AB7:AB46),0),ROUND(PRODUCT(T47,AB7:AB46),1))</f>
        <v>41553</v>
      </c>
      <c r="U48" s="3746"/>
      <c r="V48" s="3746">
        <f>IF(F1="售价",ROUND(PRODUCT(V47,AC7:AC46),0),ROUND(PRODUCT(V47,AC7:AC46),1))</f>
        <v>44274</v>
      </c>
      <c r="W48" s="3746"/>
      <c r="X48" s="689"/>
      <c r="Y48" s="689"/>
      <c r="Z48" s="689"/>
      <c r="AA48" s="689"/>
      <c r="AB48" s="689"/>
      <c r="AC48" s="689"/>
    </row>
    <row r="49" spans="1:29" ht="15.75" thickBot="1">
      <c r="A49" s="441" t="s">
        <v>1794</v>
      </c>
      <c r="B49" s="442"/>
      <c r="C49" s="1162">
        <f>R49</f>
        <v>41627</v>
      </c>
      <c r="D49" s="1162"/>
      <c r="E49" s="1162"/>
      <c r="F49" s="1162"/>
      <c r="G49" s="1162"/>
      <c r="H49" s="1162"/>
      <c r="I49" s="1162"/>
      <c r="J49" s="1162"/>
      <c r="K49" s="714"/>
      <c r="L49" s="2723"/>
      <c r="M49" s="2724"/>
      <c r="N49" s="2715"/>
      <c r="O49" s="2724"/>
      <c r="P49" s="3742" t="str">
        <f>A49</f>
        <v>估价对象XX用房的比较价值（楼面单价，元/平方米）</v>
      </c>
      <c r="Q49" s="3743"/>
      <c r="R49" s="3744">
        <f>IF(F1="售价",ROUND(IF(D48="简单平均",AVERAGE(R48:V48),R48*F48+T48*H48+V48*J48),0),ROUND(IF(D48="简单平均",AVERAGE(R48:V48),R48*F48+T48*H48+V48*J48),1))</f>
        <v>41627</v>
      </c>
      <c r="S49" s="3744"/>
      <c r="T49" s="3744"/>
      <c r="U49" s="3744"/>
      <c r="V49" s="3744"/>
      <c r="W49" s="3744"/>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f>IF(E47&lt;E48,E48/E47-1,E47/E48-1)</f>
        <v>2.4249097380482976E-2</v>
      </c>
      <c r="F52" s="449" t="str">
        <f>IF(OR(E52&gt;=0.3,E52&lt;=-0.3),"超过30%","")</f>
        <v/>
      </c>
      <c r="G52" s="448">
        <f>IF(G47&lt;G48,G48/G47-1,G47/G48-1)</f>
        <v>0.11286790364113308</v>
      </c>
      <c r="H52" s="449" t="str">
        <f>IF(OR(G52&gt;=0.3,G52&lt;=-0.3),"超过30%","")</f>
        <v/>
      </c>
      <c r="I52" s="448">
        <f>IF(I47&lt;I48,I48/I47-1,I47/I48-1)</f>
        <v>1.674208144796463E-3</v>
      </c>
      <c r="J52" s="449" t="str">
        <f>IF(OR(I52&gt;=0.3,I52&lt;=-0.3),"超过30%","")</f>
        <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f>IF(E48&lt;G48,G48/E48-1,E48/G48-1)</f>
        <v>6.4015568586280214E-2</v>
      </c>
      <c r="F53" s="449" t="str">
        <f>IF(OR(E53&gt;=0.2,E53&lt;=-0.2),"超过20%","")</f>
        <v/>
      </c>
      <c r="G53" s="448">
        <f>IF(G48&lt;I48,I48/G48-1,G48/I48-1)</f>
        <v>6.5482636632734126E-2</v>
      </c>
      <c r="H53" s="449" t="str">
        <f>IF(OR(G53&gt;=0.2,G53&lt;=-0.2),"超过20%","")</f>
        <v/>
      </c>
      <c r="I53" s="448">
        <f>IF(I48&lt;E48,E48/I48-1,I48/E48-1)</f>
        <v>0.13369011343558745</v>
      </c>
      <c r="J53" s="449" t="str">
        <f>IF(OR(I53&gt;=0.2,I53&lt;=-0.2),"超过20%","")</f>
        <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f>IF(E47&lt;G47,G47/E47-1,E47/G47-1)</f>
        <v>0.15607499999999996</v>
      </c>
      <c r="F54" s="449" t="str">
        <f>IF(OR(E54&gt;=0.3,E54&lt;=-0.3),"超过30%","")</f>
        <v/>
      </c>
      <c r="G54" s="448">
        <f>IF(G47&lt;I47,I47/G47-1,G47/I47-1)</f>
        <v>4.6221719457013588E-2</v>
      </c>
      <c r="H54" s="449" t="str">
        <f>IF(OR(G54&gt;=0.3,G54&lt;=-0.3),"超过30%","")</f>
        <v/>
      </c>
      <c r="I54" s="448">
        <f>IF(I47&lt;E47,E47/I47-1,I47/E47-1)</f>
        <v>0.10499999999999998</v>
      </c>
      <c r="J54" s="449" t="str">
        <f>IF(OR(I54&gt;=0.3,I54&lt;=-0.3),"超过30%","")</f>
        <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3" t="s">
        <v>1798</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7" customFormat="1" ht="15">
      <c r="A58" s="454" t="s">
        <v>1679</v>
      </c>
      <c r="B58" s="455"/>
      <c r="C58" s="1183" t="str">
        <f>YEAR(C7)&amp;"-"&amp;MONTH(C7)</f>
        <v>2025-5</v>
      </c>
      <c r="D58" s="1184">
        <f>EDATE(C58,-1)</f>
        <v>45748</v>
      </c>
      <c r="E58" s="1184">
        <f t="shared" ref="E58:N58" si="16">EDATE(D58,-1)</f>
        <v>45717</v>
      </c>
      <c r="F58" s="1184">
        <f t="shared" si="16"/>
        <v>45689</v>
      </c>
      <c r="G58" s="1184">
        <f t="shared" si="16"/>
        <v>45658</v>
      </c>
      <c r="H58" s="1184">
        <f t="shared" si="16"/>
        <v>45627</v>
      </c>
      <c r="I58" s="1184">
        <f t="shared" si="16"/>
        <v>45597</v>
      </c>
      <c r="J58" s="1184">
        <f t="shared" si="16"/>
        <v>45566</v>
      </c>
      <c r="K58" s="1184">
        <f t="shared" si="16"/>
        <v>45536</v>
      </c>
      <c r="L58" s="1184">
        <f t="shared" si="16"/>
        <v>45505</v>
      </c>
      <c r="M58" s="1184">
        <f t="shared" si="16"/>
        <v>45474</v>
      </c>
      <c r="N58" s="1184">
        <f t="shared" si="16"/>
        <v>45444</v>
      </c>
      <c r="O58" s="1184">
        <f>EDATE(N58,-1)</f>
        <v>45413</v>
      </c>
      <c r="P58" s="2739"/>
      <c r="Q58" s="2740"/>
      <c r="R58" s="2740"/>
      <c r="S58" s="2740"/>
      <c r="T58" s="2740"/>
      <c r="U58" s="2740"/>
      <c r="V58" s="2740"/>
      <c r="W58" s="2740"/>
      <c r="X58" s="2740"/>
      <c r="Y58" s="2740"/>
      <c r="Z58" s="2740"/>
      <c r="AA58" s="2740"/>
      <c r="AB58" s="2740"/>
      <c r="AC58" s="2740"/>
    </row>
    <row r="59" spans="1:29" s="108" customFormat="1" ht="15">
      <c r="A59" s="458"/>
      <c r="B59" s="459"/>
      <c r="C59" s="1182">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1776</v>
      </c>
      <c r="D61" s="3840" t="s">
        <v>3477</v>
      </c>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v>105</v>
      </c>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t="str">
        <f>C9</f>
        <v>商业</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0（含）-1</v>
      </c>
      <c r="D67" s="496" t="str">
        <f t="shared" ref="D67:L67" si="17">D68&amp;"（含）"&amp;"-"&amp;E68</f>
        <v>1（含）-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v>0</v>
      </c>
      <c r="D68" s="498">
        <v>1</v>
      </c>
      <c r="E68" s="498"/>
      <c r="F68" s="498"/>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95</v>
      </c>
      <c r="E77" s="493">
        <f>D77-$K15</f>
        <v>90</v>
      </c>
      <c r="F77" s="493">
        <f>E77-$K15</f>
        <v>85</v>
      </c>
      <c r="G77" s="493">
        <f>F77-$K15</f>
        <v>80</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7" t="s">
        <v>1799</v>
      </c>
      <c r="D82" s="607" t="s">
        <v>1800</v>
      </c>
      <c r="E82" s="607" t="s">
        <v>1801</v>
      </c>
      <c r="F82" s="607" t="s">
        <v>1802</v>
      </c>
      <c r="G82" s="607" t="s">
        <v>1803</v>
      </c>
      <c r="H82" s="488"/>
      <c r="I82" s="488"/>
      <c r="J82" s="488"/>
      <c r="K82" s="488"/>
      <c r="L82" s="488"/>
      <c r="M82" s="1128"/>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100</v>
      </c>
      <c r="E83" s="493">
        <f t="shared" ref="E83:G83" si="19">D83-$K21</f>
        <v>100</v>
      </c>
      <c r="F83" s="493">
        <f t="shared" si="19"/>
        <v>100</v>
      </c>
      <c r="G83" s="493">
        <f t="shared" si="19"/>
        <v>100</v>
      </c>
      <c r="H83" s="607"/>
      <c r="I83" s="607"/>
      <c r="J83" s="607"/>
      <c r="K83" s="607"/>
      <c r="L83" s="607"/>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3838" t="s">
        <v>3454</v>
      </c>
      <c r="D86" s="3838" t="s">
        <v>3456</v>
      </c>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t="s">
        <v>3443</v>
      </c>
      <c r="D88" s="503" t="s">
        <v>3432</v>
      </c>
      <c r="E88" s="503" t="s">
        <v>3433</v>
      </c>
      <c r="F88" s="1926" t="s">
        <v>3434</v>
      </c>
      <c r="G88" s="503" t="s">
        <v>3457</v>
      </c>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v>100</v>
      </c>
      <c r="D89" s="485">
        <f>C89-1</f>
        <v>99</v>
      </c>
      <c r="E89" s="485">
        <f t="shared" ref="E89:G89" si="21">D89-1</f>
        <v>98</v>
      </c>
      <c r="F89" s="485">
        <f t="shared" si="21"/>
        <v>97</v>
      </c>
      <c r="G89" s="485">
        <f t="shared" si="21"/>
        <v>96</v>
      </c>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503" t="s">
        <v>3443</v>
      </c>
      <c r="D90" s="503" t="s">
        <v>3432</v>
      </c>
      <c r="E90" s="503" t="s">
        <v>3433</v>
      </c>
      <c r="F90" s="503" t="s">
        <v>3434</v>
      </c>
      <c r="G90" s="503" t="s">
        <v>3457</v>
      </c>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98</v>
      </c>
      <c r="E91" s="493">
        <f t="shared" ref="E91:M91" si="22">D91-$K27</f>
        <v>96</v>
      </c>
      <c r="F91" s="493">
        <f t="shared" si="22"/>
        <v>94</v>
      </c>
      <c r="G91" s="493">
        <f t="shared" si="22"/>
        <v>92</v>
      </c>
      <c r="H91" s="493">
        <f t="shared" si="22"/>
        <v>90</v>
      </c>
      <c r="I91" s="493">
        <f t="shared" si="22"/>
        <v>88</v>
      </c>
      <c r="J91" s="493">
        <f t="shared" si="22"/>
        <v>86</v>
      </c>
      <c r="K91" s="493">
        <f t="shared" si="22"/>
        <v>84</v>
      </c>
      <c r="L91" s="493">
        <f t="shared" si="22"/>
        <v>82</v>
      </c>
      <c r="M91" s="493">
        <f t="shared" si="22"/>
        <v>80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t="s">
        <v>3458</v>
      </c>
      <c r="D92" s="503" t="s">
        <v>3487</v>
      </c>
      <c r="E92" s="503" t="s">
        <v>3488</v>
      </c>
      <c r="F92" s="503"/>
      <c r="G92" s="503"/>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v>100</v>
      </c>
      <c r="D93" s="485">
        <v>85</v>
      </c>
      <c r="E93" s="485">
        <v>70</v>
      </c>
      <c r="F93" s="485"/>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7"/>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3839" t="s">
        <v>3473</v>
      </c>
      <c r="D100" s="3839" t="s">
        <v>3475</v>
      </c>
      <c r="E100" s="3839" t="s">
        <v>3489</v>
      </c>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3">C101-$K32</f>
        <v>98</v>
      </c>
      <c r="E101" s="493">
        <f t="shared" si="23"/>
        <v>96</v>
      </c>
      <c r="F101" s="493">
        <f t="shared" si="23"/>
        <v>94</v>
      </c>
      <c r="G101" s="493">
        <f t="shared" si="23"/>
        <v>92</v>
      </c>
      <c r="H101" s="493">
        <f t="shared" si="23"/>
        <v>90</v>
      </c>
      <c r="I101" s="493">
        <f t="shared" si="23"/>
        <v>88</v>
      </c>
      <c r="J101" s="493">
        <f t="shared" si="23"/>
        <v>86</v>
      </c>
      <c r="K101" s="493">
        <f t="shared" si="23"/>
        <v>84</v>
      </c>
      <c r="L101" s="493">
        <f t="shared" si="23"/>
        <v>82</v>
      </c>
      <c r="M101" s="494">
        <f t="shared" si="23"/>
        <v>80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0(含)-100</v>
      </c>
      <c r="D102" s="527" t="str">
        <f t="shared" ref="D102:L102" si="24">D103&amp;"(含)"&amp;"-"&amp;E103</f>
        <v>100(含)-200</v>
      </c>
      <c r="E102" s="527" t="str">
        <f t="shared" si="24"/>
        <v>200(含)-300</v>
      </c>
      <c r="F102" s="527" t="str">
        <f t="shared" si="24"/>
        <v>300(含)-500</v>
      </c>
      <c r="G102" s="527" t="str">
        <f t="shared" si="24"/>
        <v>500(含)-1000</v>
      </c>
      <c r="H102" s="527" t="str">
        <f t="shared" si="24"/>
        <v>1000(含)-</v>
      </c>
      <c r="I102" s="527" t="str">
        <f t="shared" si="24"/>
        <v>(含)-</v>
      </c>
      <c r="J102" s="527" t="str">
        <f t="shared" si="24"/>
        <v>(含)-</v>
      </c>
      <c r="K102" s="527" t="str">
        <f t="shared" si="24"/>
        <v>(含)-</v>
      </c>
      <c r="L102" s="527" t="str">
        <f t="shared" si="24"/>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v>0</v>
      </c>
      <c r="D103" s="544">
        <v>100</v>
      </c>
      <c r="E103" s="544">
        <v>200</v>
      </c>
      <c r="F103" s="544">
        <v>300</v>
      </c>
      <c r="G103" s="544">
        <v>500</v>
      </c>
      <c r="H103" s="544">
        <v>1000</v>
      </c>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v>100</v>
      </c>
      <c r="D104" s="485">
        <f>C104-2</f>
        <v>98</v>
      </c>
      <c r="E104" s="485">
        <f t="shared" ref="E104:F104" si="25">D104-2</f>
        <v>96</v>
      </c>
      <c r="F104" s="485">
        <f t="shared" si="25"/>
        <v>94</v>
      </c>
      <c r="G104" s="485">
        <v>90</v>
      </c>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3838" t="s">
        <v>3471</v>
      </c>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503" t="s">
        <v>3461</v>
      </c>
      <c r="D107" s="503" t="s">
        <v>3459</v>
      </c>
      <c r="E107" s="503" t="s">
        <v>3463</v>
      </c>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100</v>
      </c>
      <c r="E111" s="493">
        <f t="shared" ref="E111:M111" si="28">D111+$K36</f>
        <v>100</v>
      </c>
      <c r="F111" s="493">
        <f t="shared" si="28"/>
        <v>100</v>
      </c>
      <c r="G111" s="493">
        <f t="shared" si="28"/>
        <v>100</v>
      </c>
      <c r="H111" s="493">
        <f t="shared" si="28"/>
        <v>100</v>
      </c>
      <c r="I111" s="493">
        <f t="shared" si="28"/>
        <v>100</v>
      </c>
      <c r="J111" s="493">
        <f t="shared" si="28"/>
        <v>100</v>
      </c>
      <c r="K111" s="493">
        <f t="shared" si="28"/>
        <v>100</v>
      </c>
      <c r="L111" s="493">
        <f t="shared" si="28"/>
        <v>100</v>
      </c>
      <c r="M111" s="493">
        <f t="shared" si="28"/>
        <v>100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503"/>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9">D113-$K37</f>
        <v>100</v>
      </c>
      <c r="F113" s="493">
        <f t="shared" si="29"/>
        <v>100</v>
      </c>
      <c r="G113" s="493">
        <f t="shared" si="29"/>
        <v>100</v>
      </c>
      <c r="H113" s="493">
        <f t="shared" si="29"/>
        <v>100</v>
      </c>
      <c r="I113" s="493">
        <f t="shared" si="29"/>
        <v>100</v>
      </c>
      <c r="J113" s="493">
        <f t="shared" si="29"/>
        <v>100</v>
      </c>
      <c r="K113" s="493">
        <f t="shared" si="29"/>
        <v>100</v>
      </c>
      <c r="L113" s="493">
        <f t="shared" si="29"/>
        <v>100</v>
      </c>
      <c r="M113" s="493">
        <f t="shared" si="29"/>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3838" t="s">
        <v>3466</v>
      </c>
      <c r="D114" s="3838" t="s">
        <v>3468</v>
      </c>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30">C115-$K38</f>
        <v>98</v>
      </c>
      <c r="E115" s="493">
        <f t="shared" si="30"/>
        <v>96</v>
      </c>
      <c r="F115" s="493">
        <f t="shared" si="30"/>
        <v>94</v>
      </c>
      <c r="G115" s="493">
        <f t="shared" si="30"/>
        <v>92</v>
      </c>
      <c r="H115" s="493">
        <f t="shared" si="30"/>
        <v>90</v>
      </c>
      <c r="I115" s="493">
        <f t="shared" si="30"/>
        <v>88</v>
      </c>
      <c r="J115" s="493">
        <f t="shared" si="30"/>
        <v>86</v>
      </c>
      <c r="K115" s="493">
        <f t="shared" si="30"/>
        <v>84</v>
      </c>
      <c r="L115" s="493">
        <f t="shared" si="30"/>
        <v>82</v>
      </c>
      <c r="M115" s="494">
        <f t="shared" si="30"/>
        <v>80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3838" t="s">
        <v>3469</v>
      </c>
      <c r="D116" s="3838" t="s">
        <v>3470</v>
      </c>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4"/>
      <c r="D118" s="574"/>
      <c r="E118" s="574"/>
      <c r="F118" s="574"/>
      <c r="G118" s="574"/>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3838" t="s">
        <v>3462</v>
      </c>
      <c r="D122" s="3838" t="s">
        <v>3460</v>
      </c>
      <c r="E122" s="3838" t="s">
        <v>3464</v>
      </c>
      <c r="F122" s="532"/>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2">C123-$K42</f>
        <v>99</v>
      </c>
      <c r="E123" s="493">
        <f t="shared" si="32"/>
        <v>98</v>
      </c>
      <c r="F123" s="493">
        <f t="shared" si="32"/>
        <v>97</v>
      </c>
      <c r="G123" s="493">
        <f t="shared" si="32"/>
        <v>96</v>
      </c>
      <c r="H123" s="493">
        <f t="shared" si="32"/>
        <v>95</v>
      </c>
      <c r="I123" s="493">
        <f t="shared" si="32"/>
        <v>94</v>
      </c>
      <c r="J123" s="493">
        <f t="shared" si="32"/>
        <v>93</v>
      </c>
      <c r="K123" s="493">
        <f t="shared" si="32"/>
        <v>92</v>
      </c>
      <c r="L123" s="493">
        <f t="shared" si="32"/>
        <v>91</v>
      </c>
      <c r="M123" s="494">
        <f t="shared" si="32"/>
        <v>90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7"/>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73" priority="21" stopIfTrue="1" operator="containsText" text="超过">
      <formula>NOT(ISERROR(SEARCH("超过",F52)))</formula>
    </cfRule>
  </conditionalFormatting>
  <conditionalFormatting sqref="H54">
    <cfRule type="containsText" dxfId="172" priority="19" stopIfTrue="1" operator="containsText" text="超过">
      <formula>NOT(ISERROR(SEARCH("超过",H54)))</formula>
    </cfRule>
  </conditionalFormatting>
  <conditionalFormatting sqref="F54">
    <cfRule type="containsText" dxfId="171" priority="18" stopIfTrue="1" operator="containsText" text="超过">
      <formula>NOT(ISERROR(SEARCH("超过",F54)))</formula>
    </cfRule>
  </conditionalFormatting>
  <conditionalFormatting sqref="F53 H53">
    <cfRule type="containsText" dxfId="170" priority="17" stopIfTrue="1" operator="containsText" text="超过">
      <formula>NOT(ISERROR(SEARCH("超过",F53)))</formula>
    </cfRule>
  </conditionalFormatting>
  <conditionalFormatting sqref="E52">
    <cfRule type="expression" dxfId="169" priority="16" stopIfTrue="1">
      <formula>$F$52="超过30%"</formula>
    </cfRule>
  </conditionalFormatting>
  <conditionalFormatting sqref="E53">
    <cfRule type="expression" dxfId="168" priority="15" stopIfTrue="1">
      <formula>$F$53="超过20%"</formula>
    </cfRule>
  </conditionalFormatting>
  <conditionalFormatting sqref="E54">
    <cfRule type="expression" dxfId="167" priority="14" stopIfTrue="1">
      <formula>$F$54="超过30%"</formula>
    </cfRule>
  </conditionalFormatting>
  <conditionalFormatting sqref="G54">
    <cfRule type="expression" dxfId="166" priority="13" stopIfTrue="1">
      <formula>$H$54="超过30%"</formula>
    </cfRule>
  </conditionalFormatting>
  <conditionalFormatting sqref="G52">
    <cfRule type="expression" dxfId="165" priority="12" stopIfTrue="1">
      <formula>$H$52="超过30%"</formula>
    </cfRule>
  </conditionalFormatting>
  <conditionalFormatting sqref="G53">
    <cfRule type="expression" dxfId="164" priority="11" stopIfTrue="1">
      <formula>$H$53="超过20%"</formula>
    </cfRule>
  </conditionalFormatting>
  <conditionalFormatting sqref="J52">
    <cfRule type="containsText" dxfId="163" priority="10" stopIfTrue="1" operator="containsText" text="超过">
      <formula>NOT(ISERROR(SEARCH("超过",J52)))</formula>
    </cfRule>
  </conditionalFormatting>
  <conditionalFormatting sqref="J54">
    <cfRule type="containsText" dxfId="162" priority="9" stopIfTrue="1" operator="containsText" text="超过">
      <formula>NOT(ISERROR(SEARCH("超过",J54)))</formula>
    </cfRule>
  </conditionalFormatting>
  <conditionalFormatting sqref="J53">
    <cfRule type="containsText" dxfId="161" priority="8" stopIfTrue="1" operator="containsText" text="超过">
      <formula>NOT(ISERROR(SEARCH("超过",J53)))</formula>
    </cfRule>
  </conditionalFormatting>
  <conditionalFormatting sqref="I52">
    <cfRule type="expression" dxfId="160" priority="7" stopIfTrue="1">
      <formula>$J$52="超过30%"</formula>
    </cfRule>
  </conditionalFormatting>
  <conditionalFormatting sqref="I53">
    <cfRule type="expression" dxfId="159" priority="6" stopIfTrue="1">
      <formula>$J$53="超过20%"</formula>
    </cfRule>
  </conditionalFormatting>
  <conditionalFormatting sqref="I54">
    <cfRule type="expression" dxfId="158" priority="5" stopIfTrue="1">
      <formula>$J$54="超过30%"</formula>
    </cfRule>
  </conditionalFormatting>
  <conditionalFormatting sqref="F48">
    <cfRule type="expression" dxfId="157" priority="4">
      <formula>$D$48="简单平均"</formula>
    </cfRule>
  </conditionalFormatting>
  <conditionalFormatting sqref="H48">
    <cfRule type="expression" dxfId="156" priority="3">
      <formula>$D$48="简单平均"</formula>
    </cfRule>
  </conditionalFormatting>
  <conditionalFormatting sqref="J48">
    <cfRule type="expression" dxfId="155" priority="2">
      <formula>$D$48="简单平均"</formula>
    </cfRule>
  </conditionalFormatting>
  <conditionalFormatting sqref="F7:F46 H7:H46 J7:J46">
    <cfRule type="cellIs" dxfId="15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2435</v>
      </c>
      <c r="B1" s="2831"/>
      <c r="C1" s="2843"/>
      <c r="D1" s="2843"/>
      <c r="E1" s="2832"/>
      <c r="F1" s="2833"/>
      <c r="G1" s="2834"/>
      <c r="J1" s="2837" t="s">
        <v>2314</v>
      </c>
      <c r="K1" s="2838"/>
      <c r="L1" s="2838"/>
      <c r="M1" s="2838"/>
      <c r="N1" s="2838"/>
      <c r="O1" s="2838"/>
      <c r="P1" s="2838"/>
      <c r="Q1" s="2838"/>
      <c r="R1" s="2839"/>
      <c r="S1" s="2840"/>
      <c r="T1" s="2840"/>
      <c r="U1" s="2840"/>
    </row>
    <row r="2" spans="1:22" s="2852" customFormat="1" ht="13.15" customHeight="1">
      <c r="A2" s="1384" t="s">
        <v>2315</v>
      </c>
      <c r="B2" s="2842" t="e">
        <f>IF(D2="——",C40,C40+E2)</f>
        <v>#DIV/0!</v>
      </c>
      <c r="C2" s="2843" t="s">
        <v>2316</v>
      </c>
      <c r="D2" s="3442" t="s">
        <v>3358</v>
      </c>
      <c r="E2" s="3443"/>
      <c r="F2" s="2845"/>
      <c r="G2" s="2846"/>
      <c r="H2" s="2847"/>
      <c r="I2" s="2848"/>
      <c r="J2" s="3689" t="s">
        <v>2317</v>
      </c>
      <c r="K2" s="3690"/>
      <c r="L2" s="2849" t="s">
        <v>2318</v>
      </c>
      <c r="M2" s="2849" t="s">
        <v>2319</v>
      </c>
      <c r="N2" s="2849" t="s">
        <v>2320</v>
      </c>
      <c r="O2" s="2849" t="s">
        <v>2321</v>
      </c>
      <c r="P2" s="2849" t="s">
        <v>2322</v>
      </c>
      <c r="Q2" s="2850" t="s">
        <v>2323</v>
      </c>
      <c r="R2" s="2851" t="s">
        <v>2324</v>
      </c>
      <c r="S2" s="2840"/>
      <c r="T2" s="2840"/>
      <c r="U2" s="2840"/>
      <c r="V2" s="2848"/>
    </row>
    <row r="3" spans="1:22" s="2852" customFormat="1" ht="13.15" customHeight="1">
      <c r="A3" s="2853" t="s">
        <v>2325</v>
      </c>
      <c r="B3" s="2854" t="e">
        <f>ROUND(B2*10000/B4,0)</f>
        <v>#DIV/0!</v>
      </c>
      <c r="C3" s="2843" t="s">
        <v>2326</v>
      </c>
      <c r="D3" s="2843"/>
      <c r="E3" s="2844"/>
      <c r="F3" s="2845"/>
      <c r="G3" s="2846"/>
      <c r="H3" s="2847"/>
      <c r="I3" s="2848"/>
      <c r="J3" s="3691" t="s">
        <v>2327</v>
      </c>
      <c r="K3" s="3692"/>
      <c r="L3" s="2855"/>
      <c r="M3" s="2855"/>
      <c r="N3" s="2855"/>
      <c r="O3" s="2855"/>
      <c r="P3" s="2855"/>
      <c r="Q3" s="2856"/>
      <c r="R3" s="2857">
        <f>SUM(L3:Q3)</f>
        <v>0</v>
      </c>
      <c r="S3" s="2840"/>
      <c r="T3" s="2840"/>
      <c r="U3" s="2840"/>
      <c r="V3" s="2848"/>
    </row>
    <row r="4" spans="1:22" s="2852" customFormat="1" ht="13.15" customHeight="1">
      <c r="A4" s="2858" t="s">
        <v>2328</v>
      </c>
      <c r="B4" s="2859"/>
      <c r="C4" s="2843"/>
      <c r="D4" s="2843"/>
      <c r="E4" s="2844"/>
      <c r="F4" s="2845"/>
      <c r="G4" s="2846"/>
      <c r="H4" s="2847"/>
      <c r="I4" s="2848"/>
      <c r="J4" s="3691" t="s">
        <v>2329</v>
      </c>
      <c r="K4" s="3692"/>
      <c r="L4" s="2860"/>
      <c r="M4" s="2860"/>
      <c r="N4" s="2860"/>
      <c r="O4" s="2860"/>
      <c r="P4" s="2860"/>
      <c r="Q4" s="2861"/>
      <c r="R4" s="2862">
        <f>SUM(L4:Q4)</f>
        <v>0</v>
      </c>
      <c r="S4" s="2840"/>
      <c r="T4" s="2840"/>
      <c r="U4" s="2840"/>
      <c r="V4" s="2848"/>
    </row>
    <row r="5" spans="1:22" s="2852" customFormat="1" ht="13.15" customHeight="1" thickBot="1">
      <c r="A5" s="2863" t="s">
        <v>2330</v>
      </c>
      <c r="B5" s="2864"/>
      <c r="C5" s="2843"/>
      <c r="D5" s="2865"/>
      <c r="E5" s="2845"/>
      <c r="F5" s="2845"/>
      <c r="G5" s="2846"/>
      <c r="H5" s="2847"/>
      <c r="I5" s="2848"/>
      <c r="J5" s="2866" t="s">
        <v>2331</v>
      </c>
      <c r="K5" s="2867"/>
      <c r="L5" s="2867"/>
      <c r="M5" s="2868"/>
      <c r="N5" s="2868"/>
      <c r="O5" s="2868"/>
      <c r="P5" s="2868"/>
      <c r="Q5" s="2868"/>
      <c r="R5" s="2851">
        <f>SUM(R14,R19,R24,R25,R27,R28)</f>
        <v>0</v>
      </c>
      <c r="S5" s="2840"/>
      <c r="T5" s="2840" t="s">
        <v>2332</v>
      </c>
      <c r="U5" s="2840" t="e">
        <f>ROUND(R5*10000/365/R3,1)</f>
        <v>#DIV/0!</v>
      </c>
      <c r="V5" s="2848"/>
    </row>
    <row r="6" spans="1:22" s="2852" customFormat="1" ht="13.15" customHeight="1" thickBot="1">
      <c r="A6" s="3693" t="s">
        <v>2333</v>
      </c>
      <c r="B6" s="3694"/>
      <c r="C6" s="3695"/>
      <c r="D6" s="2869"/>
      <c r="E6" s="2870"/>
      <c r="F6" s="2871"/>
      <c r="G6" s="2872"/>
      <c r="H6" s="2847"/>
      <c r="I6" s="2848"/>
      <c r="J6" s="3696">
        <v>1</v>
      </c>
      <c r="K6" s="3697" t="s">
        <v>2334</v>
      </c>
      <c r="L6" s="2873" t="s">
        <v>2335</v>
      </c>
      <c r="M6" s="2874" t="s">
        <v>2336</v>
      </c>
      <c r="N6" s="2874" t="s">
        <v>2337</v>
      </c>
      <c r="O6" s="2874" t="s">
        <v>2338</v>
      </c>
      <c r="P6" s="2874" t="s">
        <v>2339</v>
      </c>
      <c r="Q6" s="2874" t="s">
        <v>2340</v>
      </c>
      <c r="R6" s="2857" t="s">
        <v>2341</v>
      </c>
      <c r="S6" s="2840"/>
      <c r="T6" s="2840" t="s">
        <v>2342</v>
      </c>
      <c r="U6" s="2840"/>
      <c r="V6" s="2848"/>
    </row>
    <row r="7" spans="1:22" s="2852" customFormat="1" ht="13.15" customHeight="1">
      <c r="A7" s="2875" t="s">
        <v>2343</v>
      </c>
      <c r="B7" s="2876"/>
      <c r="C7" s="2877"/>
      <c r="D7" s="2878">
        <f>SUM(D9,D10,D11,D17,0)</f>
        <v>0</v>
      </c>
      <c r="E7" s="2879" t="e">
        <f>E9+E10+E11+E17</f>
        <v>#DIV/0!</v>
      </c>
      <c r="F7" s="2880"/>
      <c r="G7" s="2881"/>
      <c r="H7" s="2847"/>
      <c r="I7" s="2848"/>
      <c r="J7" s="3696"/>
      <c r="K7" s="3698"/>
      <c r="L7" s="2882" t="s">
        <v>2344</v>
      </c>
      <c r="M7" s="2883"/>
      <c r="N7" s="2859"/>
      <c r="O7" s="2884"/>
      <c r="P7" s="2884"/>
      <c r="Q7" s="2885">
        <v>365</v>
      </c>
      <c r="R7" s="2886">
        <f>ROUND(M7*N7*O7*P7*Q7/10000,0)</f>
        <v>0</v>
      </c>
      <c r="S7" s="2840"/>
      <c r="T7" s="2840" t="s">
        <v>2345</v>
      </c>
      <c r="U7" s="2840"/>
      <c r="V7" s="2848"/>
    </row>
    <row r="8" spans="1:22" s="2852" customFormat="1" ht="13.15" customHeight="1">
      <c r="A8" s="2887" t="s">
        <v>2346</v>
      </c>
      <c r="B8" s="3700" t="s">
        <v>2347</v>
      </c>
      <c r="C8" s="3701"/>
      <c r="D8" s="2888" t="s">
        <v>2348</v>
      </c>
      <c r="E8" s="2889" t="s">
        <v>2349</v>
      </c>
      <c r="F8" s="2890" t="s">
        <v>2350</v>
      </c>
      <c r="G8" s="2891"/>
      <c r="H8" s="2847"/>
      <c r="I8" s="2848"/>
      <c r="J8" s="3696"/>
      <c r="K8" s="3698"/>
      <c r="L8" s="2882" t="s">
        <v>2351</v>
      </c>
      <c r="M8" s="2883"/>
      <c r="N8" s="2859"/>
      <c r="O8" s="2884"/>
      <c r="P8" s="2884"/>
      <c r="Q8" s="2885">
        <v>365</v>
      </c>
      <c r="R8" s="2886">
        <f t="shared" ref="R8:R13" si="0">ROUND(M8*N8*O8*P8*Q8/10000,0)</f>
        <v>0</v>
      </c>
      <c r="S8" s="2840"/>
      <c r="T8" s="2840" t="s">
        <v>2352</v>
      </c>
      <c r="U8" s="2840"/>
      <c r="V8" s="2848"/>
    </row>
    <row r="9" spans="1:22" s="2852" customFormat="1" ht="13.15" customHeight="1">
      <c r="A9" s="2887">
        <v>1</v>
      </c>
      <c r="B9" s="3700" t="s">
        <v>2353</v>
      </c>
      <c r="C9" s="3701"/>
      <c r="D9" s="2888">
        <f>ROUND(D6*E9,0)</f>
        <v>0</v>
      </c>
      <c r="E9" s="2892"/>
      <c r="F9" s="2893" t="s">
        <v>2354</v>
      </c>
      <c r="G9" s="2872"/>
      <c r="H9" s="2847"/>
      <c r="I9" s="2848"/>
      <c r="J9" s="3696"/>
      <c r="K9" s="3698"/>
      <c r="L9" s="2882" t="s">
        <v>2355</v>
      </c>
      <c r="M9" s="2883"/>
      <c r="N9" s="2859"/>
      <c r="O9" s="2884"/>
      <c r="P9" s="2884"/>
      <c r="Q9" s="2885">
        <v>365</v>
      </c>
      <c r="R9" s="2886">
        <f t="shared" si="0"/>
        <v>0</v>
      </c>
      <c r="S9" s="2840"/>
      <c r="T9" s="2840"/>
      <c r="U9" s="2840"/>
      <c r="V9" s="2848"/>
    </row>
    <row r="10" spans="1:22" s="2852" customFormat="1" ht="13.15" customHeight="1">
      <c r="A10" s="2887">
        <v>2</v>
      </c>
      <c r="B10" s="3700" t="s">
        <v>2356</v>
      </c>
      <c r="C10" s="3701"/>
      <c r="D10" s="2888">
        <f>ROUND(D6*E10,0)</f>
        <v>0</v>
      </c>
      <c r="E10" s="2892"/>
      <c r="F10" s="2893" t="s">
        <v>2357</v>
      </c>
      <c r="G10" s="2872"/>
      <c r="H10" s="2847"/>
      <c r="I10" s="2848"/>
      <c r="J10" s="3696"/>
      <c r="K10" s="3698"/>
      <c r="L10" s="2882" t="s">
        <v>2358</v>
      </c>
      <c r="M10" s="2883"/>
      <c r="N10" s="2859"/>
      <c r="O10" s="2884"/>
      <c r="P10" s="2884"/>
      <c r="Q10" s="2885">
        <v>365</v>
      </c>
      <c r="R10" s="2886">
        <f t="shared" si="0"/>
        <v>0</v>
      </c>
      <c r="S10" s="2840"/>
      <c r="T10" s="2840"/>
      <c r="U10" s="2840"/>
      <c r="V10" s="2848"/>
    </row>
    <row r="11" spans="1:22" s="2852" customFormat="1" ht="13.15" customHeight="1">
      <c r="A11" s="2887">
        <v>3</v>
      </c>
      <c r="B11" s="3700" t="s">
        <v>2359</v>
      </c>
      <c r="C11" s="3701"/>
      <c r="D11" s="2888">
        <f>D12+D14+D15+D16</f>
        <v>0</v>
      </c>
      <c r="E11" s="2894" t="e">
        <f>D11/D6</f>
        <v>#DIV/0!</v>
      </c>
      <c r="F11" s="2890"/>
      <c r="G11" s="2891"/>
      <c r="H11" s="2847"/>
      <c r="I11" s="2848"/>
      <c r="J11" s="3696"/>
      <c r="K11" s="3698"/>
      <c r="L11" s="2882" t="s">
        <v>2360</v>
      </c>
      <c r="M11" s="2883"/>
      <c r="N11" s="2859"/>
      <c r="O11" s="2884"/>
      <c r="P11" s="2884"/>
      <c r="Q11" s="2885">
        <v>365</v>
      </c>
      <c r="R11" s="2886">
        <f t="shared" si="0"/>
        <v>0</v>
      </c>
      <c r="S11" s="2840"/>
      <c r="T11" s="2840"/>
      <c r="U11" s="2840"/>
      <c r="V11" s="2848"/>
    </row>
    <row r="12" spans="1:22" s="2852" customFormat="1" ht="13.15" customHeight="1">
      <c r="A12" s="2895" t="s">
        <v>2361</v>
      </c>
      <c r="B12" s="3702" t="s">
        <v>2362</v>
      </c>
      <c r="C12" s="3703"/>
      <c r="D12" s="2896">
        <f>ROUND(D13*1.2%*(1-30%),0)</f>
        <v>0</v>
      </c>
      <c r="E12" s="2897">
        <v>1.2E-2</v>
      </c>
      <c r="F12" s="2890" t="s">
        <v>2363</v>
      </c>
      <c r="G12" s="2891"/>
      <c r="H12" s="2847"/>
      <c r="I12" s="2848"/>
      <c r="J12" s="3696"/>
      <c r="K12" s="3698"/>
      <c r="L12" s="2882" t="s">
        <v>2364</v>
      </c>
      <c r="M12" s="2883"/>
      <c r="N12" s="2859"/>
      <c r="O12" s="2884"/>
      <c r="P12" s="2884"/>
      <c r="Q12" s="2885">
        <v>365</v>
      </c>
      <c r="R12" s="2886">
        <f t="shared" si="0"/>
        <v>0</v>
      </c>
      <c r="S12" s="2840"/>
      <c r="T12" s="2840"/>
      <c r="U12" s="2840"/>
      <c r="V12" s="2848"/>
    </row>
    <row r="13" spans="1:22" s="2852" customFormat="1" ht="13.15" customHeight="1">
      <c r="A13" s="2895"/>
      <c r="B13" s="2898"/>
      <c r="C13" s="2899" t="s">
        <v>2365</v>
      </c>
      <c r="D13" s="2900"/>
      <c r="E13" s="2901"/>
      <c r="F13" s="2890"/>
      <c r="G13" s="2891"/>
      <c r="H13" s="2847"/>
      <c r="I13" s="2848"/>
      <c r="J13" s="3696"/>
      <c r="K13" s="3698"/>
      <c r="L13" s="2882" t="s">
        <v>2366</v>
      </c>
      <c r="M13" s="2883"/>
      <c r="N13" s="2859"/>
      <c r="O13" s="2884"/>
      <c r="P13" s="2884"/>
      <c r="Q13" s="2885">
        <v>365</v>
      </c>
      <c r="R13" s="2886">
        <f t="shared" si="0"/>
        <v>0</v>
      </c>
      <c r="S13" s="2840"/>
      <c r="T13" s="2840"/>
      <c r="U13" s="2840"/>
      <c r="V13" s="2848"/>
    </row>
    <row r="14" spans="1:22" s="2852" customFormat="1" ht="13.15" customHeight="1">
      <c r="A14" s="2895" t="s">
        <v>2367</v>
      </c>
      <c r="B14" s="3702" t="s">
        <v>2368</v>
      </c>
      <c r="C14" s="3703"/>
      <c r="D14" s="2896">
        <f>ROUND(E14*B5/10000,0)</f>
        <v>0</v>
      </c>
      <c r="E14" s="2885"/>
      <c r="F14" s="2890" t="s">
        <v>2369</v>
      </c>
      <c r="G14" s="2891"/>
      <c r="H14" s="2847"/>
      <c r="I14" s="2848"/>
      <c r="J14" s="3696"/>
      <c r="K14" s="3699"/>
      <c r="L14" s="2902" t="s">
        <v>2370</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2371</v>
      </c>
      <c r="B15" s="3702" t="s">
        <v>2372</v>
      </c>
      <c r="C15" s="3703"/>
      <c r="D15" s="2896">
        <f>ROUND(D6*E15,0)</f>
        <v>0</v>
      </c>
      <c r="E15" s="2897">
        <v>5.5E-2</v>
      </c>
      <c r="F15" s="2890" t="s">
        <v>2373</v>
      </c>
      <c r="G15" s="2872"/>
      <c r="H15" s="2847"/>
      <c r="I15" s="2848"/>
      <c r="J15" s="3696">
        <v>2</v>
      </c>
      <c r="K15" s="3697" t="s">
        <v>2374</v>
      </c>
      <c r="L15" s="2882" t="s">
        <v>2375</v>
      </c>
      <c r="M15" s="2883" t="s">
        <v>2376</v>
      </c>
      <c r="N15" s="2883" t="s">
        <v>2377</v>
      </c>
      <c r="O15" s="2884" t="s">
        <v>2378</v>
      </c>
      <c r="P15" s="2884" t="s">
        <v>2340</v>
      </c>
      <c r="Q15" s="2859" t="s">
        <v>2379</v>
      </c>
      <c r="R15" s="2906" t="s">
        <v>2341</v>
      </c>
      <c r="S15" s="2840"/>
      <c r="T15" s="2840"/>
      <c r="U15" s="2840"/>
      <c r="V15" s="2848"/>
    </row>
    <row r="16" spans="1:22" s="2852" customFormat="1" ht="13.15" customHeight="1">
      <c r="A16" s="2895" t="s">
        <v>2380</v>
      </c>
      <c r="B16" s="3702" t="s">
        <v>2381</v>
      </c>
      <c r="C16" s="3703"/>
      <c r="D16" s="2907">
        <f>D6*E16</f>
        <v>0</v>
      </c>
      <c r="E16" s="2908"/>
      <c r="F16" s="2893" t="s">
        <v>2382</v>
      </c>
      <c r="G16" s="2872"/>
      <c r="H16" s="2847"/>
      <c r="I16" s="2848"/>
      <c r="J16" s="3696"/>
      <c r="K16" s="3698"/>
      <c r="L16" s="2882" t="s">
        <v>2383</v>
      </c>
      <c r="M16" s="2883"/>
      <c r="N16" s="2883"/>
      <c r="O16" s="2884"/>
      <c r="P16" s="2885">
        <v>365</v>
      </c>
      <c r="Q16" s="2859"/>
      <c r="R16" s="2906">
        <f>ROUND(M16*N16*O16*P16/10000,0)</f>
        <v>0</v>
      </c>
      <c r="S16" s="2840"/>
      <c r="T16" s="2840"/>
      <c r="U16" s="2840"/>
      <c r="V16" s="2848"/>
    </row>
    <row r="17" spans="1:22" s="2852" customFormat="1" ht="13.15" customHeight="1" thickBot="1">
      <c r="A17" s="2909">
        <v>4</v>
      </c>
      <c r="B17" s="3704" t="s">
        <v>2384</v>
      </c>
      <c r="C17" s="3705"/>
      <c r="D17" s="2910">
        <f>ROUND(D6*E17,0)</f>
        <v>0</v>
      </c>
      <c r="E17" s="2911"/>
      <c r="F17" s="2912" t="s">
        <v>2385</v>
      </c>
      <c r="G17" s="2872"/>
      <c r="H17" s="2847"/>
      <c r="I17" s="2848"/>
      <c r="J17" s="3696"/>
      <c r="K17" s="3698"/>
      <c r="L17" s="2882" t="s">
        <v>2386</v>
      </c>
      <c r="M17" s="2883"/>
      <c r="N17" s="2883"/>
      <c r="O17" s="2884"/>
      <c r="P17" s="2885">
        <v>365</v>
      </c>
      <c r="Q17" s="2859"/>
      <c r="R17" s="2906">
        <f>ROUND(M17*N17*O17*P17/10000,0)</f>
        <v>0</v>
      </c>
      <c r="S17" s="2840"/>
      <c r="T17" s="2840"/>
      <c r="U17" s="2840"/>
      <c r="V17" s="2848"/>
    </row>
    <row r="18" spans="1:22" s="2852" customFormat="1" ht="13.15" customHeight="1" thickBot="1">
      <c r="A18" s="2875" t="s">
        <v>2387</v>
      </c>
      <c r="B18" s="2876"/>
      <c r="C18" s="2876"/>
      <c r="D18" s="2913">
        <f>ROUND(D6*E18,0)</f>
        <v>0</v>
      </c>
      <c r="E18" s="2914"/>
      <c r="F18" s="2915" t="s">
        <v>2388</v>
      </c>
      <c r="G18" s="2872"/>
      <c r="H18" s="2847"/>
      <c r="I18" s="2848"/>
      <c r="J18" s="3696"/>
      <c r="K18" s="3698"/>
      <c r="L18" s="2882" t="s">
        <v>2389</v>
      </c>
      <c r="M18" s="2883"/>
      <c r="N18" s="2883"/>
      <c r="O18" s="2884"/>
      <c r="P18" s="2885">
        <v>365</v>
      </c>
      <c r="Q18" s="2859"/>
      <c r="R18" s="2906">
        <f>ROUND(M18*N18*O18*P18/10000,0)</f>
        <v>0</v>
      </c>
      <c r="S18" s="2840"/>
      <c r="T18" s="2840"/>
      <c r="U18" s="2840"/>
      <c r="V18" s="2848"/>
    </row>
    <row r="19" spans="1:22" s="2852" customFormat="1" ht="13.15" customHeight="1" thickBot="1">
      <c r="A19" s="2916" t="s">
        <v>2390</v>
      </c>
      <c r="B19" s="2870"/>
      <c r="C19" s="2870"/>
      <c r="D19" s="2870"/>
      <c r="E19" s="2870"/>
      <c r="F19" s="2871"/>
      <c r="G19" s="2891"/>
      <c r="H19" s="2847"/>
      <c r="I19" s="2848"/>
      <c r="J19" s="3696"/>
      <c r="K19" s="3699"/>
      <c r="L19" s="2902" t="s">
        <v>2370</v>
      </c>
      <c r="M19" s="2903"/>
      <c r="N19" s="2903">
        <f>SUM(N16:N18)</f>
        <v>0</v>
      </c>
      <c r="O19" s="2904"/>
      <c r="P19" s="2917" t="s">
        <v>2434</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696">
        <v>3</v>
      </c>
      <c r="K20" s="3697" t="s">
        <v>2391</v>
      </c>
      <c r="L20" s="2882" t="s">
        <v>2392</v>
      </c>
      <c r="M20" s="2883" t="s">
        <v>2393</v>
      </c>
      <c r="N20" s="2920" t="s">
        <v>2394</v>
      </c>
      <c r="O20" s="2884" t="s">
        <v>2395</v>
      </c>
      <c r="P20" s="2885" t="s">
        <v>2396</v>
      </c>
      <c r="Q20" s="2859" t="s">
        <v>2397</v>
      </c>
      <c r="R20" s="2906" t="s">
        <v>2398</v>
      </c>
      <c r="S20" s="2921"/>
      <c r="T20" s="2921"/>
      <c r="U20" s="2921"/>
      <c r="V20" s="2848"/>
    </row>
    <row r="21" spans="1:22" s="2852" customFormat="1" ht="13.15" customHeight="1">
      <c r="A21" s="2875"/>
      <c r="B21" s="2876"/>
      <c r="C21" s="2922" t="s">
        <v>2399</v>
      </c>
      <c r="D21" s="2923" t="s">
        <v>2400</v>
      </c>
      <c r="E21" s="2924" t="s">
        <v>2401</v>
      </c>
      <c r="F21" s="2919"/>
      <c r="G21" s="2891"/>
      <c r="H21" s="2847"/>
      <c r="I21" s="2848"/>
      <c r="J21" s="3696"/>
      <c r="K21" s="3698"/>
      <c r="L21" s="2882" t="s">
        <v>2402</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2403</v>
      </c>
      <c r="D22" s="2927" t="s">
        <v>2404</v>
      </c>
      <c r="E22" s="2928" t="s">
        <v>2405</v>
      </c>
      <c r="F22" s="2919"/>
      <c r="G22" s="2929"/>
      <c r="H22" s="2847"/>
      <c r="I22" s="2848"/>
      <c r="J22" s="3696"/>
      <c r="K22" s="3698"/>
      <c r="L22" s="2882" t="s">
        <v>2406</v>
      </c>
      <c r="M22" s="2883"/>
      <c r="N22" s="2883"/>
      <c r="O22" s="2884"/>
      <c r="P22" s="2885">
        <v>365</v>
      </c>
      <c r="Q22" s="2859"/>
      <c r="R22" s="2925">
        <f>ROUND(M22*N22*O22*P22/10000,0)</f>
        <v>0</v>
      </c>
      <c r="S22" s="2921"/>
      <c r="T22" s="2921"/>
      <c r="U22" s="2921"/>
      <c r="V22" s="2848"/>
    </row>
    <row r="23" spans="1:22" s="2852" customFormat="1" ht="13.15" customHeight="1">
      <c r="A23" s="2930">
        <v>1</v>
      </c>
      <c r="B23" s="2931" t="s">
        <v>2407</v>
      </c>
      <c r="C23" s="2932">
        <f>D6</f>
        <v>0</v>
      </c>
      <c r="D23" s="2933">
        <f>C23*(1+D24)</f>
        <v>0</v>
      </c>
      <c r="E23" s="2934">
        <f>D23*(1+E24)</f>
        <v>0</v>
      </c>
      <c r="F23" s="2935"/>
      <c r="G23" s="2936"/>
      <c r="H23" s="2847"/>
      <c r="I23" s="2848"/>
      <c r="J23" s="3696"/>
      <c r="K23" s="3698"/>
      <c r="L23" s="2882" t="s">
        <v>2408</v>
      </c>
      <c r="M23" s="2883"/>
      <c r="N23" s="2883"/>
      <c r="O23" s="2884"/>
      <c r="P23" s="2885">
        <v>365</v>
      </c>
      <c r="Q23" s="2859"/>
      <c r="R23" s="2925">
        <f>ROUND(M23*N23*O23*P23/10000,0)</f>
        <v>0</v>
      </c>
      <c r="S23" s="2840"/>
      <c r="T23" s="2840"/>
      <c r="U23" s="2840"/>
      <c r="V23" s="2848"/>
    </row>
    <row r="24" spans="1:22" s="2852" customFormat="1" ht="13.15" customHeight="1">
      <c r="A24" s="2937"/>
      <c r="B24" s="2938" t="s">
        <v>2409</v>
      </c>
      <c r="C24" s="2939"/>
      <c r="D24" s="2940"/>
      <c r="E24" s="2941"/>
      <c r="F24" s="2942"/>
      <c r="G24" s="2936"/>
      <c r="H24" s="2847"/>
      <c r="I24" s="2848"/>
      <c r="J24" s="3696"/>
      <c r="K24" s="3699"/>
      <c r="L24" s="2902" t="s">
        <v>2370</v>
      </c>
      <c r="M24" s="2903">
        <f>SUM(M21:M23)</f>
        <v>0</v>
      </c>
      <c r="N24" s="2903"/>
      <c r="O24" s="2904"/>
      <c r="P24" s="2917" t="s">
        <v>2434</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2410</v>
      </c>
      <c r="L25" s="2945"/>
      <c r="M25" s="2945"/>
      <c r="N25" s="2945"/>
      <c r="O25" s="2945"/>
      <c r="P25" s="2946"/>
      <c r="Q25" s="2947">
        <v>0</v>
      </c>
      <c r="R25" s="2918">
        <f>ROUND(R14*Q25,0)</f>
        <v>0</v>
      </c>
      <c r="S25" s="2840"/>
      <c r="T25" s="2840"/>
      <c r="U25" s="2840"/>
      <c r="V25" s="2948"/>
    </row>
    <row r="26" spans="1:22" s="2949" customFormat="1" ht="13.15" customHeight="1">
      <c r="A26" s="2930">
        <v>2</v>
      </c>
      <c r="B26" s="2931" t="s">
        <v>2411</v>
      </c>
      <c r="C26" s="2932">
        <f>D7</f>
        <v>0</v>
      </c>
      <c r="D26" s="2933">
        <f>D23*D27</f>
        <v>0</v>
      </c>
      <c r="E26" s="2934">
        <f>E23*E27</f>
        <v>0</v>
      </c>
      <c r="F26" s="2935"/>
      <c r="G26" s="2936"/>
      <c r="H26" s="2847"/>
      <c r="I26" s="2848"/>
      <c r="J26" s="3706">
        <v>5</v>
      </c>
      <c r="K26" s="2950" t="s">
        <v>2412</v>
      </c>
      <c r="L26" s="2951"/>
      <c r="M26" s="2952"/>
      <c r="N26" s="2953" t="s">
        <v>2413</v>
      </c>
      <c r="O26" s="2953" t="s">
        <v>2414</v>
      </c>
      <c r="P26" s="2954" t="s">
        <v>2415</v>
      </c>
      <c r="Q26" s="2954" t="s">
        <v>2416</v>
      </c>
      <c r="R26" s="2857" t="s">
        <v>2341</v>
      </c>
      <c r="S26" s="2955"/>
      <c r="T26" s="2955"/>
      <c r="U26" s="2955"/>
      <c r="V26" s="2948"/>
    </row>
    <row r="27" spans="1:22" s="2852" customFormat="1" ht="13.15" customHeight="1">
      <c r="A27" s="2937"/>
      <c r="B27" s="2938" t="s">
        <v>2417</v>
      </c>
      <c r="C27" s="2956" t="e">
        <f>E7</f>
        <v>#DIV/0!</v>
      </c>
      <c r="D27" s="2940"/>
      <c r="E27" s="2941"/>
      <c r="F27" s="2942"/>
      <c r="G27" s="2936"/>
      <c r="H27" s="2957"/>
      <c r="I27" s="2948"/>
      <c r="J27" s="3707"/>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2418</v>
      </c>
      <c r="F28" s="2942"/>
      <c r="G28" s="2929"/>
      <c r="H28" s="2957"/>
      <c r="I28" s="2948"/>
      <c r="J28" s="2963">
        <v>6</v>
      </c>
      <c r="K28" s="2964" t="s">
        <v>2419</v>
      </c>
      <c r="L28" s="2965" t="s">
        <v>2420</v>
      </c>
      <c r="M28" s="2966"/>
      <c r="N28" s="2965" t="s">
        <v>2421</v>
      </c>
      <c r="O28" s="2967"/>
      <c r="P28" s="2965" t="s">
        <v>2422</v>
      </c>
      <c r="Q28" s="2968">
        <v>1.4999999999999999E-2</v>
      </c>
      <c r="R28" s="2969"/>
      <c r="S28" s="2921"/>
      <c r="T28" s="2921"/>
      <c r="U28" s="2921"/>
      <c r="V28" s="2948"/>
    </row>
    <row r="29" spans="1:22" s="2949" customFormat="1" ht="13.15" customHeight="1">
      <c r="A29" s="2930">
        <v>3</v>
      </c>
      <c r="B29" s="2931" t="s">
        <v>2423</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2417</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2424</v>
      </c>
      <c r="K31" s="2838"/>
      <c r="L31" s="2838"/>
      <c r="M31" s="2838"/>
      <c r="N31" s="2838"/>
      <c r="O31" s="2838"/>
      <c r="P31" s="2838"/>
      <c r="Q31" s="2838"/>
      <c r="R31" s="2839"/>
      <c r="S31" s="2921"/>
      <c r="T31" s="2840"/>
      <c r="U31" s="2840"/>
      <c r="V31" s="2948"/>
    </row>
    <row r="32" spans="1:22" s="2949" customFormat="1" ht="13.15" customHeight="1">
      <c r="A32" s="2930">
        <v>4</v>
      </c>
      <c r="B32" s="2931" t="s">
        <v>2425</v>
      </c>
      <c r="C32" s="2932">
        <f>C23-C26-C29</f>
        <v>0</v>
      </c>
      <c r="D32" s="2933">
        <f>D23-D26-D29</f>
        <v>0</v>
      </c>
      <c r="E32" s="2934">
        <f>E23-E26-E29</f>
        <v>0</v>
      </c>
      <c r="F32" s="2935"/>
      <c r="G32" s="2929"/>
      <c r="H32" s="2847"/>
      <c r="I32" s="2848"/>
      <c r="J32" s="3689" t="s">
        <v>2317</v>
      </c>
      <c r="K32" s="3690"/>
      <c r="L32" s="2849" t="s">
        <v>2318</v>
      </c>
      <c r="M32" s="2849" t="s">
        <v>2319</v>
      </c>
      <c r="N32" s="2849" t="s">
        <v>2320</v>
      </c>
      <c r="O32" s="2849" t="s">
        <v>2321</v>
      </c>
      <c r="P32" s="2849" t="s">
        <v>2322</v>
      </c>
      <c r="Q32" s="2850" t="s">
        <v>2323</v>
      </c>
      <c r="R32" s="2972" t="s">
        <v>2324</v>
      </c>
      <c r="S32" s="2921"/>
      <c r="T32" s="2840"/>
      <c r="U32" s="2840"/>
      <c r="V32" s="2948"/>
    </row>
    <row r="33" spans="1:23" s="2852" customFormat="1" ht="13.15" customHeight="1">
      <c r="A33" s="2930"/>
      <c r="B33" s="2931"/>
      <c r="C33" s="2932"/>
      <c r="D33" s="2973"/>
      <c r="E33" s="2974"/>
      <c r="F33" s="2935"/>
      <c r="G33" s="2929"/>
      <c r="H33" s="2957"/>
      <c r="I33" s="2948"/>
      <c r="J33" s="3691" t="s">
        <v>2327</v>
      </c>
      <c r="K33" s="3692"/>
      <c r="L33" s="2855"/>
      <c r="M33" s="2855"/>
      <c r="N33" s="2855"/>
      <c r="O33" s="2855"/>
      <c r="P33" s="2855"/>
      <c r="Q33" s="2856"/>
      <c r="R33" s="2975">
        <f>SUM(L33:Q33)</f>
        <v>0</v>
      </c>
      <c r="S33" s="2921"/>
      <c r="T33" s="2840"/>
      <c r="U33" s="2840"/>
      <c r="V33" s="2848"/>
    </row>
    <row r="34" spans="1:23" s="2852" customFormat="1" ht="13.15" customHeight="1">
      <c r="A34" s="2930">
        <v>5</v>
      </c>
      <c r="B34" s="2931" t="s">
        <v>2426</v>
      </c>
      <c r="C34" s="2976"/>
      <c r="D34" s="2977"/>
      <c r="E34" s="2978"/>
      <c r="F34" s="2935"/>
      <c r="G34" s="2929"/>
      <c r="H34" s="2957"/>
      <c r="I34" s="2948"/>
      <c r="J34" s="3691" t="s">
        <v>2329</v>
      </c>
      <c r="K34" s="3692"/>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2427</v>
      </c>
      <c r="C35" s="2980"/>
      <c r="D35" s="2981"/>
      <c r="E35" s="2982"/>
      <c r="F35" s="2935"/>
      <c r="G35" s="2983"/>
      <c r="H35" s="2847"/>
      <c r="I35" s="2948"/>
      <c r="J35" s="2866" t="s">
        <v>2331</v>
      </c>
      <c r="K35" s="2867"/>
      <c r="L35" s="2867"/>
      <c r="M35" s="2868"/>
      <c r="N35" s="2868"/>
      <c r="O35" s="2868"/>
      <c r="P35" s="2868"/>
      <c r="Q35" s="2868"/>
      <c r="R35" s="2984">
        <f>R40+R41+R43</f>
        <v>0</v>
      </c>
      <c r="S35" s="2921"/>
      <c r="T35" s="2840" t="s">
        <v>2332</v>
      </c>
      <c r="U35" s="2840"/>
      <c r="V35" s="2848"/>
    </row>
    <row r="36" spans="1:23" s="2852" customFormat="1" ht="13.15" customHeight="1" thickBot="1">
      <c r="A36" s="2930">
        <v>7</v>
      </c>
      <c r="B36" s="2985" t="s">
        <v>2428</v>
      </c>
      <c r="C36" s="2986"/>
      <c r="D36" s="2987"/>
      <c r="E36" s="2988"/>
      <c r="F36" s="2989">
        <f>C36+D36+E36</f>
        <v>0</v>
      </c>
      <c r="G36" s="2929"/>
      <c r="H36" s="2847"/>
      <c r="I36" s="2848"/>
      <c r="J36" s="3696">
        <v>1</v>
      </c>
      <c r="K36" s="3697" t="s">
        <v>2429</v>
      </c>
      <c r="L36" s="2873"/>
      <c r="M36" s="2874"/>
      <c r="N36" s="2874"/>
      <c r="O36" s="2874"/>
      <c r="P36" s="2874"/>
      <c r="Q36" s="2874"/>
      <c r="R36" s="2857" t="s">
        <v>2341</v>
      </c>
      <c r="S36" s="2921"/>
      <c r="T36" s="2840" t="s">
        <v>2342</v>
      </c>
      <c r="U36" s="2840"/>
      <c r="V36" s="2848"/>
    </row>
    <row r="37" spans="1:23" s="2852" customFormat="1" ht="13.15" customHeight="1">
      <c r="A37" s="2930"/>
      <c r="B37" s="2931"/>
      <c r="C37" s="2931"/>
      <c r="D37" s="2931"/>
      <c r="E37" s="2931"/>
      <c r="F37" s="2935"/>
      <c r="G37" s="2929"/>
      <c r="H37" s="2847"/>
      <c r="I37" s="2848"/>
      <c r="J37" s="3696"/>
      <c r="K37" s="3698"/>
      <c r="L37" s="2882"/>
      <c r="M37" s="2883"/>
      <c r="N37" s="2859"/>
      <c r="O37" s="2884"/>
      <c r="P37" s="2884"/>
      <c r="Q37" s="2885"/>
      <c r="R37" s="2886"/>
      <c r="S37" s="2921"/>
      <c r="T37" s="2840" t="s">
        <v>2345</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696"/>
      <c r="K38" s="3698"/>
      <c r="L38" s="2882"/>
      <c r="M38" s="2883"/>
      <c r="N38" s="2859"/>
      <c r="O38" s="2884"/>
      <c r="P38" s="2884"/>
      <c r="Q38" s="2885"/>
      <c r="R38" s="2886"/>
      <c r="S38" s="2921"/>
      <c r="T38" s="2840" t="s">
        <v>2352</v>
      </c>
      <c r="U38" s="2840"/>
      <c r="V38" s="2848"/>
    </row>
    <row r="39" spans="1:23" s="2852" customFormat="1" ht="13.15" customHeight="1">
      <c r="A39" s="2930">
        <v>9</v>
      </c>
      <c r="B39" s="2931" t="s">
        <v>2430</v>
      </c>
      <c r="C39" s="2896" t="e">
        <f>C38</f>
        <v>#DIV/0!</v>
      </c>
      <c r="D39" s="2931">
        <f>D38/(1+D34)^C36</f>
        <v>0</v>
      </c>
      <c r="E39" s="2931">
        <f>E38/(1+E34)^(C36+D36)</f>
        <v>0</v>
      </c>
      <c r="F39" s="2935"/>
      <c r="G39" s="2990"/>
      <c r="H39" s="2847"/>
      <c r="I39" s="2848"/>
      <c r="J39" s="3696"/>
      <c r="K39" s="3698"/>
      <c r="L39" s="2882"/>
      <c r="M39" s="2883"/>
      <c r="N39" s="2859"/>
      <c r="O39" s="2884"/>
      <c r="P39" s="2884"/>
      <c r="Q39" s="2885"/>
      <c r="R39" s="2886"/>
      <c r="S39" s="2921"/>
      <c r="T39" s="2840"/>
      <c r="U39" s="2840"/>
      <c r="V39" s="2848"/>
    </row>
    <row r="40" spans="1:23" s="2852" customFormat="1" ht="13.15" customHeight="1">
      <c r="A40" s="2991">
        <v>10</v>
      </c>
      <c r="B40" s="2931" t="s">
        <v>2431</v>
      </c>
      <c r="C40" s="2992" t="e">
        <f>C39+D39+E39</f>
        <v>#DIV/0!</v>
      </c>
      <c r="D40" s="2993"/>
      <c r="E40" s="2993"/>
      <c r="F40" s="2994"/>
      <c r="G40" s="2929"/>
      <c r="H40" s="2847"/>
      <c r="I40" s="2848"/>
      <c r="J40" s="3696"/>
      <c r="K40" s="3699"/>
      <c r="L40" s="2902" t="s">
        <v>2370</v>
      </c>
      <c r="M40" s="2903"/>
      <c r="N40" s="2903"/>
      <c r="O40" s="2904"/>
      <c r="P40" s="2904"/>
      <c r="Q40" s="2905"/>
      <c r="R40" s="2851">
        <f>SUM(R37:R39)</f>
        <v>0</v>
      </c>
      <c r="S40" s="2921"/>
      <c r="T40" s="2840"/>
      <c r="U40" s="2840"/>
      <c r="V40" s="2848"/>
    </row>
    <row r="41" spans="1:23" s="2852" customFormat="1" ht="13.15" customHeight="1" thickBot="1">
      <c r="A41" s="2995">
        <v>11</v>
      </c>
      <c r="B41" s="2996" t="s">
        <v>2432</v>
      </c>
      <c r="C41" s="2996" t="e">
        <f>ROUND(C40*10000/B4,0)</f>
        <v>#DIV/0!</v>
      </c>
      <c r="D41" s="2997"/>
      <c r="E41" s="2997"/>
      <c r="F41" s="2998"/>
      <c r="G41" s="2999"/>
      <c r="H41" s="2847"/>
      <c r="I41" s="2848"/>
      <c r="J41" s="2943">
        <v>2</v>
      </c>
      <c r="K41" s="2944" t="s">
        <v>2410</v>
      </c>
      <c r="L41" s="2945"/>
      <c r="M41" s="2945"/>
      <c r="N41" s="2945"/>
      <c r="O41" s="2945"/>
      <c r="P41" s="2946"/>
      <c r="Q41" s="2947"/>
      <c r="R41" s="2918">
        <f>ROUND(R40*Q41,0)</f>
        <v>0</v>
      </c>
      <c r="S41" s="2921"/>
      <c r="T41" s="2840"/>
      <c r="U41" s="2955"/>
      <c r="V41" s="2848"/>
    </row>
    <row r="42" spans="1:23" s="2852" customFormat="1" ht="13.15" customHeight="1">
      <c r="G42" s="2999"/>
      <c r="H42" s="2847"/>
      <c r="I42" s="2848"/>
      <c r="J42" s="3706">
        <v>3</v>
      </c>
      <c r="K42" s="2950" t="s">
        <v>2412</v>
      </c>
      <c r="L42" s="2951"/>
      <c r="M42" s="2952"/>
      <c r="N42" s="2953" t="s">
        <v>2413</v>
      </c>
      <c r="O42" s="2953" t="s">
        <v>2414</v>
      </c>
      <c r="P42" s="2954" t="s">
        <v>2415</v>
      </c>
      <c r="Q42" s="2954" t="s">
        <v>2416</v>
      </c>
      <c r="R42" s="2857" t="s">
        <v>2341</v>
      </c>
      <c r="S42" s="2955"/>
      <c r="T42" s="2955"/>
      <c r="U42" s="2840"/>
      <c r="V42" s="2848"/>
    </row>
    <row r="43" spans="1:23" ht="13.15" customHeight="1">
      <c r="A43" s="2852"/>
      <c r="B43" s="2852"/>
      <c r="C43" s="2852"/>
      <c r="D43" s="2852"/>
      <c r="E43" s="2852"/>
      <c r="F43" s="2852"/>
      <c r="I43" s="2835"/>
      <c r="J43" s="3707"/>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2419</v>
      </c>
      <c r="L44" s="3003" t="s">
        <v>2420</v>
      </c>
      <c r="M44" s="2966"/>
      <c r="N44" s="3003" t="s">
        <v>2421</v>
      </c>
      <c r="O44" s="2966"/>
      <c r="P44" s="3003" t="s">
        <v>2422</v>
      </c>
      <c r="Q44" s="2968">
        <v>1.4999999999999999E-2</v>
      </c>
      <c r="R44" s="2969"/>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1658</v>
      </c>
      <c r="B1" s="1867"/>
      <c r="C1" s="1867"/>
      <c r="D1" s="1867"/>
      <c r="E1" s="1868"/>
      <c r="F1" s="2706"/>
      <c r="G1" s="1488"/>
      <c r="H1" s="1488"/>
      <c r="I1" s="1488"/>
      <c r="J1" s="1488"/>
      <c r="K1" s="1488"/>
      <c r="L1" s="1488"/>
      <c r="M1" s="1488"/>
      <c r="N1" s="1488"/>
      <c r="O1" s="1488"/>
      <c r="P1" s="1488"/>
      <c r="Q1" s="1488"/>
      <c r="R1" s="1488"/>
      <c r="S1" s="1488"/>
    </row>
    <row r="2" spans="1:22" ht="15.75">
      <c r="A2" s="1869" t="s">
        <v>1462</v>
      </c>
      <c r="B2" s="1870">
        <f ca="1">SUMIF(B6:B13,"&lt;&gt;#ref!",B6:B13)</f>
        <v>554.46379999999999</v>
      </c>
      <c r="C2" s="1871" t="s">
        <v>1651</v>
      </c>
      <c r="D2" s="1872" t="s">
        <v>1652</v>
      </c>
      <c r="E2" s="2606">
        <f>SUM(E6:E13)</f>
        <v>557.98</v>
      </c>
      <c r="F2" s="2706"/>
      <c r="G2" s="1488"/>
      <c r="H2" s="1488"/>
      <c r="I2" s="1488"/>
      <c r="J2" s="1488"/>
      <c r="K2" s="1488"/>
      <c r="L2" s="1488"/>
      <c r="M2" s="1488"/>
      <c r="N2" s="1488"/>
      <c r="O2" s="1488"/>
      <c r="P2" s="1488"/>
      <c r="Q2" s="1488"/>
      <c r="R2" s="1488"/>
      <c r="S2" s="1488"/>
    </row>
    <row r="3" spans="1:22" ht="15.75">
      <c r="A3" s="1869" t="s">
        <v>686</v>
      </c>
      <c r="B3" s="2600">
        <f ca="1">ROUND(B2*10000/E2,0)</f>
        <v>9937</v>
      </c>
      <c r="C3" s="1871" t="s">
        <v>1659</v>
      </c>
      <c r="D3" s="2708"/>
      <c r="E3" s="2710"/>
      <c r="F3" s="2706"/>
      <c r="G3" s="1488"/>
      <c r="H3" s="1488"/>
      <c r="I3" s="1488"/>
      <c r="J3" s="1488"/>
      <c r="K3" s="1488"/>
      <c r="L3" s="1488"/>
      <c r="M3" s="1488"/>
      <c r="N3" s="1488"/>
      <c r="O3" s="1488"/>
      <c r="P3" s="1488"/>
      <c r="Q3" s="1488"/>
      <c r="R3" s="1488"/>
      <c r="S3" s="1488"/>
    </row>
    <row r="4" spans="1:22" ht="15.75">
      <c r="A4" s="2711"/>
      <c r="B4" s="2708"/>
      <c r="C4" s="2708"/>
      <c r="D4" s="2708"/>
      <c r="E4" s="2710"/>
      <c r="F4" s="2706"/>
      <c r="G4" s="1488"/>
      <c r="H4" s="1488"/>
      <c r="I4" s="1488"/>
      <c r="J4" s="1488"/>
      <c r="K4" s="1488"/>
      <c r="L4" s="1488"/>
      <c r="M4" s="1488"/>
      <c r="N4" s="1488"/>
      <c r="O4" s="1488"/>
      <c r="P4" s="1488"/>
      <c r="Q4" s="1488"/>
      <c r="R4" s="1488"/>
      <c r="S4" s="1488"/>
    </row>
    <row r="5" spans="1:22" ht="15">
      <c r="A5" s="2602" t="s">
        <v>1653</v>
      </c>
      <c r="B5" s="3708" t="s">
        <v>1654</v>
      </c>
      <c r="C5" s="3709"/>
      <c r="D5" s="2707"/>
      <c r="E5" s="1873" t="s">
        <v>1655</v>
      </c>
      <c r="F5" s="1874" t="s">
        <v>1656</v>
      </c>
      <c r="G5" s="1488"/>
      <c r="H5" s="1488"/>
      <c r="I5" s="1488"/>
      <c r="J5" s="1488"/>
      <c r="K5" s="1488"/>
      <c r="L5" s="1488"/>
      <c r="M5" s="1488"/>
      <c r="N5" s="1488"/>
      <c r="O5" s="1488"/>
      <c r="P5" s="1488"/>
      <c r="Q5" s="1488"/>
      <c r="R5" s="1488"/>
      <c r="S5" s="1488"/>
    </row>
    <row r="6" spans="1:22">
      <c r="A6" s="2603" t="str">
        <f>'数据-取费表'!AN6</f>
        <v>收益法 (元)</v>
      </c>
      <c r="B6" s="2601">
        <f ca="1">IF(F6="是",'数据-取费表'!AO6,0)</f>
        <v>277.2319</v>
      </c>
      <c r="C6" s="1871" t="s">
        <v>1651</v>
      </c>
      <c r="D6" s="2708"/>
      <c r="E6" s="2605">
        <f>IF(OR(A6=0,F6="否"),0,'数据-取费表'!K6+'数据-取费表'!S6)</f>
        <v>121.8</v>
      </c>
      <c r="F6" s="1875" t="s">
        <v>1657</v>
      </c>
      <c r="G6" s="1488"/>
      <c r="H6" s="1488"/>
      <c r="I6" s="1488"/>
      <c r="J6" s="1488"/>
      <c r="K6" s="1488"/>
      <c r="L6" s="1488"/>
      <c r="M6" s="1488"/>
      <c r="N6" s="1488"/>
      <c r="O6" s="1488"/>
      <c r="P6" s="1488"/>
      <c r="Q6" s="1488"/>
      <c r="R6" s="1488"/>
      <c r="S6" s="1488"/>
    </row>
    <row r="7" spans="1:22">
      <c r="A7" s="2603" t="str">
        <f>'数据-取费表'!AN7</f>
        <v>收益法 (元)</v>
      </c>
      <c r="B7" s="2601">
        <f ca="1">IF(F7="是",'数据-取费表'!AO7,0)</f>
        <v>277.2319</v>
      </c>
      <c r="C7" s="1871" t="s">
        <v>1651</v>
      </c>
      <c r="D7" s="2708"/>
      <c r="E7" s="2605">
        <f>IF(OR(A7=0,F7="否"),0,'数据-取费表'!K7+'数据-取费表'!S7)</f>
        <v>436.18</v>
      </c>
      <c r="F7" s="1875" t="s">
        <v>1657</v>
      </c>
      <c r="G7" s="1488"/>
      <c r="H7" s="1488"/>
      <c r="I7" s="1488"/>
      <c r="J7" s="1488"/>
      <c r="K7" s="1488"/>
      <c r="L7" s="1488"/>
      <c r="M7" s="1488"/>
      <c r="N7" s="1488"/>
      <c r="O7" s="1488"/>
      <c r="P7" s="1488"/>
      <c r="Q7" s="1488"/>
      <c r="R7" s="1488"/>
      <c r="S7" s="1488"/>
    </row>
    <row r="8" spans="1:22">
      <c r="A8" s="2603">
        <f>'数据-取费表'!AN8</f>
        <v>0</v>
      </c>
      <c r="B8" s="2601" t="e">
        <f ca="1">IF(F8="是",'数据-取费表'!AO8,0)</f>
        <v>#REF!</v>
      </c>
      <c r="C8" s="1871" t="s">
        <v>1651</v>
      </c>
      <c r="D8" s="2708"/>
      <c r="E8" s="2605">
        <f>IF(OR(A8=0,F8="否"),0,'数据-取费表'!K8+'数据-取费表'!S8)</f>
        <v>0</v>
      </c>
      <c r="F8" s="1875" t="s">
        <v>1657</v>
      </c>
      <c r="G8" s="1488"/>
      <c r="H8" s="1488"/>
      <c r="I8" s="1488"/>
      <c r="J8" s="1488"/>
      <c r="K8" s="1488"/>
      <c r="L8" s="1488"/>
      <c r="M8" s="1488"/>
      <c r="N8" s="1488"/>
      <c r="O8" s="1488"/>
      <c r="P8" s="1488"/>
      <c r="Q8" s="1488"/>
      <c r="R8" s="1488"/>
      <c r="S8" s="1488"/>
    </row>
    <row r="9" spans="1:22">
      <c r="A9" s="2603">
        <f>'数据-取费表'!AN9</f>
        <v>0</v>
      </c>
      <c r="B9" s="2601" t="e">
        <f ca="1">IF(F9="是",'数据-取费表'!AO9,0)</f>
        <v>#REF!</v>
      </c>
      <c r="C9" s="1871" t="s">
        <v>1651</v>
      </c>
      <c r="D9" s="2708"/>
      <c r="E9" s="2605">
        <f>IF(OR(A9=0,F9="否"),0,'数据-取费表'!K9+'数据-取费表'!S9)</f>
        <v>0</v>
      </c>
      <c r="F9" s="1875" t="s">
        <v>1657</v>
      </c>
      <c r="G9" s="1488"/>
      <c r="H9" s="1488"/>
      <c r="I9" s="1488"/>
      <c r="J9" s="1488"/>
      <c r="K9" s="1488"/>
      <c r="L9" s="1488"/>
      <c r="M9" s="1488"/>
      <c r="N9" s="1488"/>
      <c r="O9" s="1488"/>
      <c r="P9" s="1488"/>
      <c r="Q9" s="1488"/>
      <c r="R9" s="1488"/>
      <c r="S9" s="1488"/>
    </row>
    <row r="10" spans="1:22">
      <c r="A10" s="2603">
        <f>'数据-取费表'!AN10</f>
        <v>0</v>
      </c>
      <c r="B10" s="2601" t="e">
        <f ca="1">IF(F10="是",'数据-取费表'!AO10,0)</f>
        <v>#REF!</v>
      </c>
      <c r="C10" s="1871" t="s">
        <v>1651</v>
      </c>
      <c r="D10" s="2708"/>
      <c r="E10" s="2605">
        <f>IF(OR(A10=0,F10="否"),0,'数据-取费表'!K10+'数据-取费表'!S10)</f>
        <v>0</v>
      </c>
      <c r="F10" s="1875" t="s">
        <v>1657</v>
      </c>
      <c r="G10" s="1488"/>
      <c r="H10" s="1488"/>
      <c r="I10" s="1488"/>
      <c r="J10" s="1488"/>
      <c r="K10" s="1488"/>
      <c r="L10" s="1488"/>
      <c r="M10" s="1488"/>
      <c r="N10" s="1488"/>
      <c r="O10" s="1488"/>
      <c r="P10" s="1488"/>
      <c r="Q10" s="1488"/>
      <c r="R10" s="1488"/>
      <c r="S10" s="1488"/>
    </row>
    <row r="11" spans="1:22">
      <c r="A11" s="2603">
        <f>'数据-取费表'!AN11</f>
        <v>0</v>
      </c>
      <c r="B11" s="2601" t="e">
        <f ca="1">IF(F11="是",'数据-取费表'!AO11,0)</f>
        <v>#REF!</v>
      </c>
      <c r="C11" s="1871" t="s">
        <v>1651</v>
      </c>
      <c r="D11" s="2708"/>
      <c r="E11" s="2605">
        <f>IF(OR(A11=0,F11="否"),0,'数据-取费表'!K11+'数据-取费表'!S11)</f>
        <v>0</v>
      </c>
      <c r="F11" s="1875" t="s">
        <v>1657</v>
      </c>
      <c r="G11" s="1488"/>
      <c r="H11" s="1488"/>
      <c r="I11" s="1488"/>
      <c r="J11" s="1488"/>
      <c r="K11" s="1488"/>
      <c r="L11" s="1488"/>
      <c r="M11" s="1488"/>
      <c r="N11" s="1488"/>
      <c r="O11" s="1488"/>
      <c r="P11" s="1488"/>
      <c r="Q11" s="1488"/>
      <c r="R11" s="1488"/>
      <c r="S11" s="1488"/>
    </row>
    <row r="12" spans="1:22">
      <c r="A12" s="2603">
        <f>'数据-取费表'!AN12</f>
        <v>0</v>
      </c>
      <c r="B12" s="2601" t="e">
        <f ca="1">IF(F12="是",'数据-取费表'!AO12,0)</f>
        <v>#REF!</v>
      </c>
      <c r="C12" s="1871" t="s">
        <v>1651</v>
      </c>
      <c r="D12" s="2708"/>
      <c r="E12" s="2605">
        <f>IF(OR(A12=0,F12="否"),0,'数据-取费表'!K12+'数据-取费表'!S12)</f>
        <v>0</v>
      </c>
      <c r="F12" s="1875" t="s">
        <v>1657</v>
      </c>
      <c r="G12" s="1488"/>
      <c r="H12" s="1488"/>
      <c r="I12" s="1488"/>
      <c r="J12" s="1488"/>
      <c r="K12" s="1488"/>
      <c r="L12" s="1488"/>
      <c r="M12" s="1488"/>
      <c r="N12" s="1488"/>
      <c r="O12" s="1488"/>
      <c r="P12" s="1488"/>
      <c r="Q12" s="1488"/>
      <c r="R12" s="1488"/>
      <c r="S12" s="1488"/>
    </row>
    <row r="13" spans="1:22" ht="15" thickBot="1">
      <c r="A13" s="2604">
        <f>'数据-取费表'!AN13</f>
        <v>0</v>
      </c>
      <c r="B13" s="2601" t="e">
        <f ca="1">IF(F13="是",'数据-取费表'!AO13,0)</f>
        <v>#REF!</v>
      </c>
      <c r="C13" s="1876" t="s">
        <v>1651</v>
      </c>
      <c r="D13" s="2709"/>
      <c r="E13" s="2605">
        <f>IF(OR(A13=0,F13="否"),0,'数据-取费表'!K13+'数据-取费表'!S13)</f>
        <v>0</v>
      </c>
      <c r="F13" s="1875" t="s">
        <v>1657</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1661</v>
      </c>
      <c r="C1" s="1237" t="s">
        <v>1662</v>
      </c>
      <c r="D1" s="1224"/>
      <c r="E1" s="3425"/>
      <c r="F1" s="1878"/>
      <c r="G1" s="1234" t="s">
        <v>1663</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26"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1664</v>
      </c>
      <c r="F2" s="1882"/>
      <c r="G2" s="906"/>
      <c r="H2" s="906"/>
      <c r="I2" s="906"/>
      <c r="J2" s="906"/>
      <c r="K2" s="1883"/>
      <c r="L2" s="2712"/>
      <c r="M2" s="2713"/>
      <c r="N2" s="2713"/>
      <c r="O2" s="2713"/>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1665</v>
      </c>
      <c r="D3" s="353">
        <f>IF(D1="",'数据-汇总表'!E3,SUMIF('数据-汇总表'!$C19:$C33,D1,'数据-汇总表'!$E19:$E33))</f>
        <v>557.98</v>
      </c>
      <c r="E3" s="906"/>
      <c r="F3" s="1887"/>
      <c r="G3" s="906"/>
      <c r="H3" s="906"/>
      <c r="I3" s="906"/>
      <c r="J3" s="906"/>
      <c r="K3" s="1883"/>
      <c r="L3" s="2712"/>
      <c r="M3" s="2713"/>
      <c r="N3" s="2713"/>
      <c r="O3" s="2713"/>
      <c r="P3" s="1884"/>
      <c r="Q3" s="1885"/>
      <c r="R3" s="1885"/>
      <c r="S3" s="1885"/>
      <c r="T3" s="1885"/>
      <c r="U3" s="1885"/>
      <c r="V3" s="1885"/>
      <c r="W3" s="1885"/>
      <c r="X3" s="1885"/>
      <c r="Y3" s="1885"/>
      <c r="Z3" s="1885"/>
      <c r="AA3" s="1885"/>
      <c r="AB3" s="1885"/>
      <c r="AC3" s="1060"/>
    </row>
    <row r="4" spans="1:29" ht="15">
      <c r="A4" s="355" t="s">
        <v>1666</v>
      </c>
      <c r="B4" s="356"/>
      <c r="C4" s="3728" t="s">
        <v>1667</v>
      </c>
      <c r="D4" s="3729"/>
      <c r="E4" s="3730" t="s">
        <v>1668</v>
      </c>
      <c r="F4" s="3731"/>
      <c r="G4" s="3728" t="s">
        <v>1669</v>
      </c>
      <c r="H4" s="3729"/>
      <c r="I4" s="3728" t="s">
        <v>1670</v>
      </c>
      <c r="J4" s="3729"/>
      <c r="K4" s="1888" t="s">
        <v>1671</v>
      </c>
      <c r="L4" s="2714"/>
      <c r="M4" s="2715"/>
      <c r="N4" s="2715"/>
      <c r="O4" s="2715"/>
      <c r="P4" s="3732" t="s">
        <v>1672</v>
      </c>
      <c r="Q4" s="3733"/>
      <c r="R4" s="3715" t="s">
        <v>1668</v>
      </c>
      <c r="S4" s="3716"/>
      <c r="T4" s="3715" t="s">
        <v>1669</v>
      </c>
      <c r="U4" s="3716"/>
      <c r="V4" s="3740" t="s">
        <v>1670</v>
      </c>
      <c r="W4" s="3740"/>
      <c r="X4" s="1354"/>
      <c r="Y4" s="3715" t="s">
        <v>1672</v>
      </c>
      <c r="Z4" s="3716"/>
      <c r="AA4" s="3710" t="s">
        <v>1668</v>
      </c>
      <c r="AB4" s="3710" t="s">
        <v>1669</v>
      </c>
      <c r="AC4" s="3710" t="s">
        <v>1670</v>
      </c>
    </row>
    <row r="5" spans="1:29" ht="15">
      <c r="A5" s="358"/>
      <c r="B5" s="359"/>
      <c r="C5" s="3721" t="s">
        <v>1673</v>
      </c>
      <c r="D5" s="3722"/>
      <c r="E5" s="3719" t="s">
        <v>1674</v>
      </c>
      <c r="F5" s="3720"/>
      <c r="G5" s="3721" t="s">
        <v>1675</v>
      </c>
      <c r="H5" s="3722"/>
      <c r="I5" s="3721" t="s">
        <v>1676</v>
      </c>
      <c r="J5" s="3722"/>
      <c r="K5" s="1889"/>
      <c r="L5" s="2714"/>
      <c r="M5" s="2715"/>
      <c r="N5" s="2715"/>
      <c r="O5" s="2715"/>
      <c r="P5" s="3734"/>
      <c r="Q5" s="3735"/>
      <c r="R5" s="3717"/>
      <c r="S5" s="3718"/>
      <c r="T5" s="3717"/>
      <c r="U5" s="3718"/>
      <c r="V5" s="3740"/>
      <c r="W5" s="3740"/>
      <c r="X5" s="1354"/>
      <c r="Y5" s="3717"/>
      <c r="Z5" s="3718"/>
      <c r="AA5" s="3711"/>
      <c r="AB5" s="3711"/>
      <c r="AC5" s="3711"/>
    </row>
    <row r="6" spans="1:29" ht="15.75" thickBot="1">
      <c r="A6" s="360"/>
      <c r="B6" s="361"/>
      <c r="C6" s="3723" t="s">
        <v>1677</v>
      </c>
      <c r="D6" s="3724"/>
      <c r="E6" s="3725" t="s">
        <v>1677</v>
      </c>
      <c r="F6" s="3726"/>
      <c r="G6" s="3723" t="s">
        <v>1677</v>
      </c>
      <c r="H6" s="3724"/>
      <c r="I6" s="3723" t="s">
        <v>1677</v>
      </c>
      <c r="J6" s="3724"/>
      <c r="K6" s="1889" t="s">
        <v>1678</v>
      </c>
      <c r="L6" s="2714"/>
      <c r="M6" s="2715"/>
      <c r="N6" s="2715"/>
      <c r="O6" s="2715"/>
      <c r="P6" s="3736"/>
      <c r="Q6" s="3737"/>
      <c r="R6" s="3717"/>
      <c r="S6" s="3718"/>
      <c r="T6" s="3738"/>
      <c r="U6" s="3739"/>
      <c r="V6" s="3740"/>
      <c r="W6" s="3740"/>
      <c r="X6" s="1354"/>
      <c r="Y6" s="3738"/>
      <c r="Z6" s="3739"/>
      <c r="AA6" s="3712"/>
      <c r="AB6" s="3712"/>
      <c r="AC6" s="3712"/>
    </row>
    <row r="7" spans="1:29" s="108" customFormat="1" ht="15.75" thickBot="1">
      <c r="A7" s="362" t="s">
        <v>1679</v>
      </c>
      <c r="B7" s="363"/>
      <c r="C7" s="364">
        <f>'数据-取费表'!B2</f>
        <v>45805</v>
      </c>
      <c r="D7" s="365">
        <v>100</v>
      </c>
      <c r="E7" s="366"/>
      <c r="F7" s="367">
        <f>SUMIF(58:58,YEAR(E7)&amp;"-"&amp;MONTH(E7),59:59)</f>
        <v>0</v>
      </c>
      <c r="G7" s="366"/>
      <c r="H7" s="365">
        <f>SUMIF(58:58,YEAR(G7)&amp;"-"&amp;MONTH(G7),59:59)</f>
        <v>0</v>
      </c>
      <c r="I7" s="366"/>
      <c r="J7" s="365">
        <f>SUMIF(58:58,YEAR(I7)&amp;"-"&amp;MONTH(I7),59:59)</f>
        <v>0</v>
      </c>
      <c r="K7" s="1890"/>
      <c r="L7" s="2716"/>
      <c r="M7" s="2717"/>
      <c r="N7" s="2717"/>
      <c r="O7" s="2717"/>
      <c r="P7" s="3713" t="s">
        <v>1680</v>
      </c>
      <c r="Q7" s="3741"/>
      <c r="R7" s="700" t="s">
        <v>20</v>
      </c>
      <c r="S7" s="701">
        <f t="shared" ref="S7:S15" si="0">F7</f>
        <v>0</v>
      </c>
      <c r="T7" s="700" t="s">
        <v>20</v>
      </c>
      <c r="U7" s="701">
        <f t="shared" ref="U7:U15" si="1">H7</f>
        <v>0</v>
      </c>
      <c r="V7" s="700" t="s">
        <v>20</v>
      </c>
      <c r="W7" s="701">
        <f t="shared" ref="W7:W15" si="2">J7</f>
        <v>0</v>
      </c>
      <c r="X7" s="702"/>
      <c r="Y7" s="3713" t="s">
        <v>1680</v>
      </c>
      <c r="Z7" s="3714"/>
      <c r="AA7" s="703" t="e">
        <f>D7/F7</f>
        <v>#DIV/0!</v>
      </c>
      <c r="AB7" s="703" t="e">
        <f>D7/H7</f>
        <v>#DIV/0!</v>
      </c>
      <c r="AC7" s="703" t="e">
        <f>D7/J7</f>
        <v>#DIV/0!</v>
      </c>
    </row>
    <row r="8" spans="1:29" s="108" customFormat="1" ht="15.75" thickBot="1">
      <c r="A8" s="362" t="s">
        <v>1681</v>
      </c>
      <c r="B8" s="363"/>
      <c r="C8" s="368"/>
      <c r="D8" s="365">
        <v>100</v>
      </c>
      <c r="E8" s="1891"/>
      <c r="F8" s="367">
        <f>SUMIF(61:61,E8,62:62)-SUMIF(61:61,C8,62:62)+100</f>
        <v>100</v>
      </c>
      <c r="G8" s="368"/>
      <c r="H8" s="365">
        <f>SUMIF(61:61,G8,62:62)-SUMIF(61:61,C8,62:62)+100</f>
        <v>100</v>
      </c>
      <c r="I8" s="1891"/>
      <c r="J8" s="365">
        <f>SUMIF(61:61,I8,62:62)-SUMIF(61:61,C8,62:62)+100</f>
        <v>100</v>
      </c>
      <c r="K8" s="1890"/>
      <c r="L8" s="2716"/>
      <c r="M8" s="2717"/>
      <c r="N8" s="2717"/>
      <c r="O8" s="2717"/>
      <c r="P8" s="3713" t="s">
        <v>1683</v>
      </c>
      <c r="Q8" s="3714"/>
      <c r="R8" s="700" t="s">
        <v>20</v>
      </c>
      <c r="S8" s="701">
        <f t="shared" si="0"/>
        <v>100</v>
      </c>
      <c r="T8" s="700" t="s">
        <v>20</v>
      </c>
      <c r="U8" s="701">
        <f t="shared" si="1"/>
        <v>100</v>
      </c>
      <c r="V8" s="700" t="s">
        <v>20</v>
      </c>
      <c r="W8" s="701">
        <f t="shared" si="2"/>
        <v>100</v>
      </c>
      <c r="X8" s="702"/>
      <c r="Y8" s="3713" t="s">
        <v>1683</v>
      </c>
      <c r="Z8" s="3714"/>
      <c r="AA8" s="703">
        <f t="shared" ref="AA8:AA19" si="3">D8/F8</f>
        <v>1</v>
      </c>
      <c r="AB8" s="703">
        <f t="shared" ref="AB8:AB19" si="4">D8/H8</f>
        <v>1</v>
      </c>
      <c r="AC8" s="703">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0"/>
      <c r="L9" s="2716"/>
      <c r="M9" s="2717"/>
      <c r="N9" s="2717"/>
      <c r="O9" s="2717"/>
      <c r="P9" s="3727" t="s">
        <v>1686</v>
      </c>
      <c r="Q9" s="1342" t="str">
        <f t="shared" ref="Q9:Q15" si="6">B9</f>
        <v>用途</v>
      </c>
      <c r="R9" s="700" t="s">
        <v>14</v>
      </c>
      <c r="S9" s="701">
        <f t="shared" si="0"/>
        <v>100</v>
      </c>
      <c r="T9" s="700" t="s">
        <v>14</v>
      </c>
      <c r="U9" s="701">
        <f t="shared" si="1"/>
        <v>100</v>
      </c>
      <c r="V9" s="700" t="s">
        <v>14</v>
      </c>
      <c r="W9" s="701">
        <f t="shared" si="2"/>
        <v>100</v>
      </c>
      <c r="X9" s="702"/>
      <c r="Y9" s="3657" t="s">
        <v>1687</v>
      </c>
      <c r="Z9" s="52" t="str">
        <f t="shared" ref="Z9:Z15" si="7">Q9</f>
        <v>用途</v>
      </c>
      <c r="AA9" s="703">
        <f t="shared" si="3"/>
        <v>1</v>
      </c>
      <c r="AB9" s="703">
        <f t="shared" si="4"/>
        <v>1</v>
      </c>
      <c r="AC9" s="703">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0"/>
      <c r="L10" s="2718"/>
      <c r="M10" s="2719"/>
      <c r="N10" s="2719"/>
      <c r="O10" s="2719"/>
      <c r="P10" s="3727"/>
      <c r="Q10" s="1342" t="str">
        <f t="shared" si="6"/>
        <v>土地使用年限（年）</v>
      </c>
      <c r="R10" s="700" t="s">
        <v>14</v>
      </c>
      <c r="S10" s="701">
        <f t="shared" si="0"/>
        <v>100</v>
      </c>
      <c r="T10" s="700" t="s">
        <v>14</v>
      </c>
      <c r="U10" s="701">
        <f t="shared" si="1"/>
        <v>100</v>
      </c>
      <c r="V10" s="700" t="s">
        <v>14</v>
      </c>
      <c r="W10" s="701">
        <f t="shared" si="2"/>
        <v>100</v>
      </c>
      <c r="X10" s="702"/>
      <c r="Y10" s="3657"/>
      <c r="Z10" s="52" t="str">
        <f t="shared" si="7"/>
        <v>土地使用年限（年）</v>
      </c>
      <c r="AA10" s="703">
        <f t="shared" si="3"/>
        <v>1</v>
      </c>
      <c r="AB10" s="703">
        <f t="shared" si="4"/>
        <v>1</v>
      </c>
      <c r="AC10" s="703">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727"/>
      <c r="Q11" s="1342" t="str">
        <f t="shared" si="6"/>
        <v>容积率</v>
      </c>
      <c r="R11" s="700" t="s">
        <v>18</v>
      </c>
      <c r="S11" s="701" t="e">
        <f t="shared" si="0"/>
        <v>#N/A</v>
      </c>
      <c r="T11" s="700" t="s">
        <v>18</v>
      </c>
      <c r="U11" s="701" t="e">
        <f t="shared" si="1"/>
        <v>#N/A</v>
      </c>
      <c r="V11" s="700" t="s">
        <v>18</v>
      </c>
      <c r="W11" s="701" t="e">
        <f t="shared" si="2"/>
        <v>#N/A</v>
      </c>
      <c r="X11" s="702"/>
      <c r="Y11" s="3657"/>
      <c r="Z11" s="52" t="str">
        <f t="shared" si="7"/>
        <v>容积率</v>
      </c>
      <c r="AA11" s="703" t="e">
        <f t="shared" si="3"/>
        <v>#N/A</v>
      </c>
      <c r="AB11" s="703" t="e">
        <f t="shared" si="4"/>
        <v>#N/A</v>
      </c>
      <c r="AC11" s="703"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716"/>
      <c r="M12" s="2717"/>
      <c r="N12" s="2717"/>
      <c r="O12" s="2717"/>
      <c r="P12" s="3727"/>
      <c r="Q12" s="1342">
        <f t="shared" si="6"/>
        <v>111</v>
      </c>
      <c r="R12" s="700" t="s">
        <v>18</v>
      </c>
      <c r="S12" s="701">
        <f t="shared" si="0"/>
        <v>100</v>
      </c>
      <c r="T12" s="700" t="s">
        <v>18</v>
      </c>
      <c r="U12" s="701">
        <f t="shared" si="1"/>
        <v>100</v>
      </c>
      <c r="V12" s="700" t="s">
        <v>18</v>
      </c>
      <c r="W12" s="701">
        <f t="shared" si="2"/>
        <v>100</v>
      </c>
      <c r="X12" s="702"/>
      <c r="Y12" s="3657"/>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721"/>
      <c r="M13" s="2715"/>
      <c r="N13" s="2715"/>
      <c r="O13" s="2715"/>
      <c r="P13" s="3727"/>
      <c r="Q13" s="1342">
        <f t="shared" si="6"/>
        <v>111</v>
      </c>
      <c r="R13" s="700" t="s">
        <v>18</v>
      </c>
      <c r="S13" s="701">
        <f t="shared" si="0"/>
        <v>100</v>
      </c>
      <c r="T13" s="700" t="s">
        <v>18</v>
      </c>
      <c r="U13" s="701">
        <f t="shared" si="1"/>
        <v>100</v>
      </c>
      <c r="V13" s="700" t="s">
        <v>18</v>
      </c>
      <c r="W13" s="701">
        <f t="shared" si="2"/>
        <v>100</v>
      </c>
      <c r="X13" s="702"/>
      <c r="Y13" s="3657"/>
      <c r="Z13" s="52">
        <f t="shared" si="7"/>
        <v>111</v>
      </c>
      <c r="AA13" s="703">
        <f t="shared" si="3"/>
        <v>1</v>
      </c>
      <c r="AB13" s="703">
        <f t="shared" si="4"/>
        <v>1</v>
      </c>
      <c r="AC13" s="703">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721"/>
      <c r="M14" s="2715"/>
      <c r="N14" s="2715"/>
      <c r="O14" s="2715"/>
      <c r="P14" s="3727"/>
      <c r="Q14" s="1342">
        <f t="shared" si="6"/>
        <v>111</v>
      </c>
      <c r="R14" s="700" t="s">
        <v>18</v>
      </c>
      <c r="S14" s="701">
        <f t="shared" si="0"/>
        <v>100</v>
      </c>
      <c r="T14" s="700" t="s">
        <v>18</v>
      </c>
      <c r="U14" s="701">
        <f t="shared" si="1"/>
        <v>100</v>
      </c>
      <c r="V14" s="700" t="s">
        <v>18</v>
      </c>
      <c r="W14" s="701">
        <f t="shared" si="2"/>
        <v>100</v>
      </c>
      <c r="X14" s="702"/>
      <c r="Y14" s="3657"/>
      <c r="Z14" s="52">
        <f t="shared" si="7"/>
        <v>111</v>
      </c>
      <c r="AA14" s="703">
        <f t="shared" si="3"/>
        <v>1</v>
      </c>
      <c r="AB14" s="703">
        <f t="shared" si="4"/>
        <v>1</v>
      </c>
      <c r="AC14" s="703">
        <f t="shared" si="5"/>
        <v>1</v>
      </c>
    </row>
    <row r="15" spans="1:29" ht="85.5">
      <c r="A15" s="391" t="s">
        <v>1690</v>
      </c>
      <c r="B15" s="61" t="s">
        <v>1257</v>
      </c>
      <c r="C15" s="1895"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754" t="s">
        <v>1691</v>
      </c>
      <c r="Q15" s="1351" t="str">
        <f t="shared" si="6"/>
        <v>居住社区成熟度</v>
      </c>
      <c r="R15" s="704" t="s">
        <v>18</v>
      </c>
      <c r="S15" s="705">
        <f t="shared" si="0"/>
        <v>100</v>
      </c>
      <c r="T15" s="704" t="s">
        <v>18</v>
      </c>
      <c r="U15" s="705">
        <f t="shared" si="1"/>
        <v>100</v>
      </c>
      <c r="V15" s="704" t="s">
        <v>18</v>
      </c>
      <c r="W15" s="705">
        <f t="shared" si="2"/>
        <v>100</v>
      </c>
      <c r="X15" s="1354"/>
      <c r="Y15" s="3747" t="s">
        <v>1691</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721"/>
      <c r="M16" s="2715"/>
      <c r="N16" s="2715"/>
      <c r="O16" s="2715"/>
      <c r="P16" s="3755"/>
      <c r="Q16" s="1351"/>
      <c r="R16" s="704"/>
      <c r="S16" s="705"/>
      <c r="T16" s="704"/>
      <c r="U16" s="705"/>
      <c r="V16" s="704"/>
      <c r="W16" s="705"/>
      <c r="X16" s="1354"/>
      <c r="Y16" s="3748"/>
      <c r="Z16" s="1355"/>
      <c r="AA16" s="1352">
        <v>1</v>
      </c>
      <c r="AB16" s="1352">
        <v>1</v>
      </c>
      <c r="AC16" s="1352">
        <v>1</v>
      </c>
    </row>
    <row r="17" spans="1:29" ht="71.25">
      <c r="A17" s="379"/>
      <c r="B17" s="402" t="s">
        <v>1259</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755"/>
      <c r="Q17" s="1351" t="str">
        <f>B17</f>
        <v>交通便捷度</v>
      </c>
      <c r="R17" s="704" t="s">
        <v>18</v>
      </c>
      <c r="S17" s="705">
        <f>F17</f>
        <v>100</v>
      </c>
      <c r="T17" s="704" t="s">
        <v>18</v>
      </c>
      <c r="U17" s="705">
        <f>H17</f>
        <v>100</v>
      </c>
      <c r="V17" s="704" t="s">
        <v>18</v>
      </c>
      <c r="W17" s="705">
        <f>J17</f>
        <v>100</v>
      </c>
      <c r="X17" s="1354"/>
      <c r="Y17" s="3748"/>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721"/>
      <c r="M18" s="2715"/>
      <c r="N18" s="2715"/>
      <c r="O18" s="2715"/>
      <c r="P18" s="3755"/>
      <c r="Q18" s="1351"/>
      <c r="R18" s="704"/>
      <c r="S18" s="705"/>
      <c r="T18" s="704"/>
      <c r="U18" s="705"/>
      <c r="V18" s="704"/>
      <c r="W18" s="705"/>
      <c r="X18" s="1354"/>
      <c r="Y18" s="3748"/>
      <c r="Z18" s="1355"/>
      <c r="AA18" s="1352">
        <v>1</v>
      </c>
      <c r="AB18" s="1352">
        <v>1</v>
      </c>
      <c r="AC18" s="1352">
        <v>1</v>
      </c>
    </row>
    <row r="19" spans="1:29" ht="42.75">
      <c r="A19" s="379"/>
      <c r="B19" s="402" t="s">
        <v>1258</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755"/>
      <c r="Q19" s="1351" t="str">
        <f>B19</f>
        <v>公共配套设施</v>
      </c>
      <c r="R19" s="704" t="s">
        <v>18</v>
      </c>
      <c r="S19" s="705">
        <f>F19</f>
        <v>100</v>
      </c>
      <c r="T19" s="704" t="s">
        <v>18</v>
      </c>
      <c r="U19" s="705">
        <f>H19</f>
        <v>100</v>
      </c>
      <c r="V19" s="704" t="s">
        <v>18</v>
      </c>
      <c r="W19" s="705">
        <f>J19</f>
        <v>100</v>
      </c>
      <c r="X19" s="1354"/>
      <c r="Y19" s="3748"/>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721"/>
      <c r="M20" s="2715"/>
      <c r="N20" s="2715"/>
      <c r="O20" s="2715"/>
      <c r="P20" s="3755"/>
      <c r="Q20" s="1351"/>
      <c r="R20" s="704"/>
      <c r="S20" s="705"/>
      <c r="T20" s="704"/>
      <c r="U20" s="705"/>
      <c r="V20" s="704"/>
      <c r="W20" s="705"/>
      <c r="X20" s="1354"/>
      <c r="Y20" s="3748"/>
      <c r="Z20" s="1355"/>
      <c r="AA20" s="1352">
        <v>1</v>
      </c>
      <c r="AB20" s="1352">
        <v>1</v>
      </c>
      <c r="AC20" s="1352">
        <v>1</v>
      </c>
    </row>
    <row r="21" spans="1:29" ht="28.5">
      <c r="A21" s="379"/>
      <c r="B21" s="1130" t="s">
        <v>1260</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755"/>
      <c r="Q21" s="1351" t="str">
        <f>B21</f>
        <v>基础设施水平</v>
      </c>
      <c r="R21" s="704" t="s">
        <v>14</v>
      </c>
      <c r="S21" s="705">
        <f>F21</f>
        <v>100</v>
      </c>
      <c r="T21" s="704" t="s">
        <v>14</v>
      </c>
      <c r="U21" s="705">
        <f>H21</f>
        <v>100</v>
      </c>
      <c r="V21" s="704" t="s">
        <v>14</v>
      </c>
      <c r="W21" s="705">
        <f>J21</f>
        <v>100</v>
      </c>
      <c r="X21" s="1354"/>
      <c r="Y21" s="3748"/>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399"/>
      <c r="G22" s="1903"/>
      <c r="H22" s="399"/>
      <c r="I22" s="398"/>
      <c r="J22" s="399"/>
      <c r="K22" s="1904"/>
      <c r="L22" s="2721"/>
      <c r="M22" s="2715"/>
      <c r="N22" s="2715"/>
      <c r="O22" s="2715"/>
      <c r="P22" s="3755"/>
      <c r="Q22" s="1351"/>
      <c r="R22" s="704"/>
      <c r="S22" s="705"/>
      <c r="T22" s="704"/>
      <c r="U22" s="705"/>
      <c r="V22" s="704"/>
      <c r="W22" s="705"/>
      <c r="X22" s="1354"/>
      <c r="Y22" s="3748"/>
      <c r="Z22" s="1355"/>
      <c r="AA22" s="1352">
        <v>1</v>
      </c>
      <c r="AB22" s="1352">
        <v>1</v>
      </c>
      <c r="AC22" s="1352">
        <v>1</v>
      </c>
    </row>
    <row r="23" spans="1:29" ht="42.75">
      <c r="A23" s="379"/>
      <c r="B23" s="402" t="s">
        <v>1261</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755"/>
      <c r="Q23" s="1351" t="str">
        <f>B23</f>
        <v>自然及人文环境</v>
      </c>
      <c r="R23" s="704" t="s">
        <v>18</v>
      </c>
      <c r="S23" s="705">
        <f>F23</f>
        <v>100</v>
      </c>
      <c r="T23" s="704" t="s">
        <v>18</v>
      </c>
      <c r="U23" s="705">
        <f>H23</f>
        <v>100</v>
      </c>
      <c r="V23" s="704" t="s">
        <v>18</v>
      </c>
      <c r="W23" s="705">
        <f>J23</f>
        <v>100</v>
      </c>
      <c r="X23" s="1354"/>
      <c r="Y23" s="3748"/>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721"/>
      <c r="M24" s="2715"/>
      <c r="N24" s="2715"/>
      <c r="O24" s="2715"/>
      <c r="P24" s="3755"/>
      <c r="Q24" s="1351"/>
      <c r="R24" s="704"/>
      <c r="S24" s="705"/>
      <c r="T24" s="704"/>
      <c r="U24" s="705"/>
      <c r="V24" s="704"/>
      <c r="W24" s="705"/>
      <c r="X24" s="1354"/>
      <c r="Y24" s="3748"/>
      <c r="Z24" s="1355"/>
      <c r="AA24" s="1352">
        <v>1</v>
      </c>
      <c r="AB24" s="1352">
        <v>1</v>
      </c>
      <c r="AC24" s="1352">
        <v>1</v>
      </c>
    </row>
    <row r="25" spans="1:29" ht="15">
      <c r="A25" s="379"/>
      <c r="B25" s="375" t="s">
        <v>1692</v>
      </c>
      <c r="C25" s="411"/>
      <c r="D25" s="386">
        <v>100</v>
      </c>
      <c r="E25" s="1905"/>
      <c r="F25" s="386">
        <f>SUMIF(86:86,E25,87:87)-SUMIF(86:86,C25,87:87)+100</f>
        <v>100</v>
      </c>
      <c r="G25" s="1906"/>
      <c r="H25" s="386">
        <f>SUMIF(86:86,G25,87:87)-SUMIF(86:86,C25,87:87)+100</f>
        <v>100</v>
      </c>
      <c r="I25" s="1906"/>
      <c r="J25" s="386">
        <f>SUMIF(86:86,I25,87:87)-SUMIF(86:86,C25,87:87)+100</f>
        <v>100</v>
      </c>
      <c r="K25" s="377"/>
      <c r="L25" s="2721"/>
      <c r="M25" s="2715"/>
      <c r="N25" s="2715"/>
      <c r="O25" s="2715"/>
      <c r="P25" s="3755"/>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3748"/>
      <c r="Z25" s="1355" t="str">
        <f>Q25</f>
        <v>楼层-1</v>
      </c>
      <c r="AA25" s="1352">
        <f t="shared" ref="AA25:AA46" si="15">D25/F25</f>
        <v>1</v>
      </c>
      <c r="AB25" s="1352">
        <f t="shared" ref="AB25:AB46" si="16">D25/H25</f>
        <v>1</v>
      </c>
      <c r="AC25" s="1352">
        <f t="shared" ref="AC25:AC46" si="17">D25/J25</f>
        <v>1</v>
      </c>
    </row>
    <row r="26" spans="1:29" ht="15">
      <c r="A26" s="379"/>
      <c r="B26" s="375" t="s">
        <v>1693</v>
      </c>
      <c r="C26" s="411"/>
      <c r="D26" s="386">
        <v>100</v>
      </c>
      <c r="E26" s="1905"/>
      <c r="F26" s="386">
        <f>SUMIF(88:88,E26,89:89)-SUMIF(88:88,C26,89:89)+100</f>
        <v>100</v>
      </c>
      <c r="G26" s="1906"/>
      <c r="H26" s="386">
        <f>SUMIF(88:88,G26,89:89)-SUMIF(88:88,C26,89:89)+100</f>
        <v>100</v>
      </c>
      <c r="I26" s="1906"/>
      <c r="J26" s="386">
        <f>SUMIF(88:88,I26,89:89)-SUMIF(88:88,C26,89:89)+100</f>
        <v>100</v>
      </c>
      <c r="K26" s="377"/>
      <c r="L26" s="2721"/>
      <c r="M26" s="2715"/>
      <c r="N26" s="2715"/>
      <c r="O26" s="2715"/>
      <c r="P26" s="3755"/>
      <c r="Q26" s="1351" t="str">
        <f t="shared" si="11"/>
        <v>朝向</v>
      </c>
      <c r="R26" s="704" t="s">
        <v>18</v>
      </c>
      <c r="S26" s="705">
        <f t="shared" si="12"/>
        <v>100</v>
      </c>
      <c r="T26" s="704" t="s">
        <v>18</v>
      </c>
      <c r="U26" s="705">
        <f t="shared" si="13"/>
        <v>100</v>
      </c>
      <c r="V26" s="704" t="s">
        <v>18</v>
      </c>
      <c r="W26" s="705">
        <f t="shared" si="14"/>
        <v>100</v>
      </c>
      <c r="X26" s="1354"/>
      <c r="Y26" s="3748"/>
      <c r="Z26" s="1355" t="str">
        <f>Q26</f>
        <v>朝向</v>
      </c>
      <c r="AA26" s="1352">
        <f t="shared" si="15"/>
        <v>1</v>
      </c>
      <c r="AB26" s="1352">
        <f t="shared" si="16"/>
        <v>1</v>
      </c>
      <c r="AC26" s="1352">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3"/>
      <c r="L27" s="2716"/>
      <c r="M27" s="2717"/>
      <c r="N27" s="2717"/>
      <c r="O27" s="2717"/>
      <c r="P27" s="3755"/>
      <c r="Q27" s="1342">
        <f t="shared" si="11"/>
        <v>111</v>
      </c>
      <c r="R27" s="700" t="s">
        <v>18</v>
      </c>
      <c r="S27" s="701">
        <f t="shared" si="12"/>
        <v>100</v>
      </c>
      <c r="T27" s="700" t="s">
        <v>18</v>
      </c>
      <c r="U27" s="701">
        <f t="shared" si="13"/>
        <v>100</v>
      </c>
      <c r="V27" s="700" t="s">
        <v>18</v>
      </c>
      <c r="W27" s="701">
        <f t="shared" si="14"/>
        <v>100</v>
      </c>
      <c r="X27" s="702"/>
      <c r="Y27" s="3748"/>
      <c r="Z27" s="52">
        <f>Q27</f>
        <v>111</v>
      </c>
      <c r="AA27" s="1352">
        <f t="shared" si="15"/>
        <v>1</v>
      </c>
      <c r="AB27" s="1352">
        <f t="shared" si="16"/>
        <v>1</v>
      </c>
      <c r="AC27" s="1352">
        <f t="shared" si="17"/>
        <v>1</v>
      </c>
    </row>
    <row r="28" spans="1:29" ht="15">
      <c r="A28" s="379"/>
      <c r="B28" s="1132">
        <v>111</v>
      </c>
      <c r="C28" s="385"/>
      <c r="D28" s="386">
        <v>100</v>
      </c>
      <c r="E28" s="385"/>
      <c r="F28" s="386">
        <f>SUMIF(92:92,E28,93:93)-SUMIF(92:92,C28,93:93)+100</f>
        <v>100</v>
      </c>
      <c r="G28" s="1907"/>
      <c r="H28" s="386">
        <f>SUMIF(92:92,G28,93:93)-SUMIF(92:92,C28,93:93)+100</f>
        <v>100</v>
      </c>
      <c r="I28" s="385"/>
      <c r="J28" s="386">
        <f>SUMIF(92:92,I28,93:93)-SUMIF(92:92,C28,93:93)+100</f>
        <v>100</v>
      </c>
      <c r="K28" s="1893"/>
      <c r="L28" s="2721"/>
      <c r="M28" s="2715"/>
      <c r="N28" s="2715"/>
      <c r="O28" s="2715"/>
      <c r="P28" s="3755"/>
      <c r="Q28" s="1351">
        <f t="shared" si="11"/>
        <v>111</v>
      </c>
      <c r="R28" s="704" t="s">
        <v>18</v>
      </c>
      <c r="S28" s="705">
        <f t="shared" si="12"/>
        <v>100</v>
      </c>
      <c r="T28" s="704" t="s">
        <v>18</v>
      </c>
      <c r="U28" s="705">
        <f t="shared" si="13"/>
        <v>100</v>
      </c>
      <c r="V28" s="704" t="s">
        <v>18</v>
      </c>
      <c r="W28" s="705">
        <f t="shared" si="14"/>
        <v>100</v>
      </c>
      <c r="X28" s="1354"/>
      <c r="Y28" s="3748"/>
      <c r="Z28" s="1355">
        <f t="shared" ref="Z28:Z46" si="18">Q28</f>
        <v>111</v>
      </c>
      <c r="AA28" s="1352">
        <f t="shared" si="15"/>
        <v>1</v>
      </c>
      <c r="AB28" s="1352">
        <f t="shared" si="16"/>
        <v>1</v>
      </c>
      <c r="AC28" s="1352">
        <f t="shared" si="17"/>
        <v>1</v>
      </c>
    </row>
    <row r="29" spans="1:29" ht="15">
      <c r="A29" s="379"/>
      <c r="B29" s="1132">
        <v>111</v>
      </c>
      <c r="C29" s="385"/>
      <c r="D29" s="386">
        <v>100</v>
      </c>
      <c r="E29" s="385"/>
      <c r="F29" s="386">
        <f>SUMIF(94:94,E29,95:95)-SUMIF(94:94,C29,95:95)+100</f>
        <v>100</v>
      </c>
      <c r="G29" s="1907"/>
      <c r="H29" s="386">
        <f>SUMIF(94:94,G29,95:95)-SUMIF(94:94,C29,95:95)+100</f>
        <v>100</v>
      </c>
      <c r="I29" s="385"/>
      <c r="J29" s="386">
        <f>SUMIF(94:94,I29,95:95)-SUMIF(94:94,C29,95:95)+100</f>
        <v>100</v>
      </c>
      <c r="K29" s="1893"/>
      <c r="L29" s="2721"/>
      <c r="M29" s="2715"/>
      <c r="N29" s="2715"/>
      <c r="O29" s="2715"/>
      <c r="P29" s="3755"/>
      <c r="Q29" s="1351">
        <f t="shared" si="11"/>
        <v>111</v>
      </c>
      <c r="R29" s="704" t="s">
        <v>18</v>
      </c>
      <c r="S29" s="705">
        <f t="shared" si="12"/>
        <v>100</v>
      </c>
      <c r="T29" s="704" t="s">
        <v>18</v>
      </c>
      <c r="U29" s="705">
        <f t="shared" si="13"/>
        <v>100</v>
      </c>
      <c r="V29" s="704" t="s">
        <v>18</v>
      </c>
      <c r="W29" s="705">
        <f t="shared" si="14"/>
        <v>100</v>
      </c>
      <c r="X29" s="1354"/>
      <c r="Y29" s="3748"/>
      <c r="Z29" s="1355">
        <f t="shared" si="18"/>
        <v>111</v>
      </c>
      <c r="AA29" s="1352">
        <f t="shared" si="15"/>
        <v>1</v>
      </c>
      <c r="AB29" s="1352">
        <f t="shared" si="16"/>
        <v>1</v>
      </c>
      <c r="AC29" s="1352">
        <f t="shared" si="17"/>
        <v>1</v>
      </c>
    </row>
    <row r="30" spans="1:29" ht="15">
      <c r="A30" s="379"/>
      <c r="B30" s="1132">
        <v>111</v>
      </c>
      <c r="C30" s="385"/>
      <c r="D30" s="386">
        <v>100</v>
      </c>
      <c r="E30" s="385"/>
      <c r="F30" s="386">
        <f>SUMIF(96:96,E30,97:97)-SUMIF(96:96,C30,97:97)+100</f>
        <v>100</v>
      </c>
      <c r="G30" s="1907"/>
      <c r="H30" s="386">
        <f>SUMIF(96:96,G30,97:97)-SUMIF(96:96,C30,97:97)+100</f>
        <v>100</v>
      </c>
      <c r="I30" s="385"/>
      <c r="J30" s="386">
        <f>SUMIF(96:96,I30,97:97)-SUMIF(96:96,C30,97:97)+100</f>
        <v>100</v>
      </c>
      <c r="K30" s="1893"/>
      <c r="L30" s="2721"/>
      <c r="M30" s="2715"/>
      <c r="N30" s="2715"/>
      <c r="O30" s="2715"/>
      <c r="P30" s="3755"/>
      <c r="Q30" s="1351">
        <f t="shared" si="11"/>
        <v>111</v>
      </c>
      <c r="R30" s="704" t="s">
        <v>18</v>
      </c>
      <c r="S30" s="705">
        <f t="shared" si="12"/>
        <v>100</v>
      </c>
      <c r="T30" s="704" t="s">
        <v>18</v>
      </c>
      <c r="U30" s="705">
        <f t="shared" si="13"/>
        <v>100</v>
      </c>
      <c r="V30" s="704" t="s">
        <v>18</v>
      </c>
      <c r="W30" s="705">
        <f t="shared" si="14"/>
        <v>100</v>
      </c>
      <c r="X30" s="1354"/>
      <c r="Y30" s="3748"/>
      <c r="Z30" s="1355">
        <f t="shared" si="18"/>
        <v>111</v>
      </c>
      <c r="AA30" s="1352">
        <f t="shared" si="15"/>
        <v>1</v>
      </c>
      <c r="AB30" s="1352">
        <f t="shared" si="16"/>
        <v>1</v>
      </c>
      <c r="AC30" s="1352">
        <f t="shared" si="17"/>
        <v>1</v>
      </c>
    </row>
    <row r="31" spans="1:29" ht="15.75" thickBot="1">
      <c r="A31" s="387"/>
      <c r="B31" s="1132">
        <v>111</v>
      </c>
      <c r="C31" s="388"/>
      <c r="D31" s="389">
        <v>100</v>
      </c>
      <c r="E31" s="388"/>
      <c r="F31" s="389">
        <f>SUMIF(98:98,E31,99:99)-SUMIF(98:98,C31,99:99)+100</f>
        <v>100</v>
      </c>
      <c r="G31" s="1908"/>
      <c r="H31" s="389">
        <f>SUMIF(98:98,G31,99:99)-SUMIF(98:98,C31,99:99)+100</f>
        <v>100</v>
      </c>
      <c r="I31" s="388"/>
      <c r="J31" s="389">
        <f>SUMIF(98:98,I31,99:99)-SUMIF(98:98,C31,99:99)+100</f>
        <v>100</v>
      </c>
      <c r="K31" s="1893"/>
      <c r="L31" s="2721"/>
      <c r="M31" s="2715"/>
      <c r="N31" s="2715"/>
      <c r="O31" s="2715"/>
      <c r="P31" s="3755"/>
      <c r="Q31" s="1351">
        <f t="shared" si="11"/>
        <v>111</v>
      </c>
      <c r="R31" s="704" t="s">
        <v>18</v>
      </c>
      <c r="S31" s="705">
        <f t="shared" si="12"/>
        <v>100</v>
      </c>
      <c r="T31" s="704" t="s">
        <v>18</v>
      </c>
      <c r="U31" s="705">
        <f t="shared" si="13"/>
        <v>100</v>
      </c>
      <c r="V31" s="704" t="s">
        <v>18</v>
      </c>
      <c r="W31" s="705">
        <f t="shared" si="14"/>
        <v>100</v>
      </c>
      <c r="X31" s="1354"/>
      <c r="Y31" s="3748"/>
      <c r="Z31" s="1355">
        <f t="shared" si="18"/>
        <v>111</v>
      </c>
      <c r="AA31" s="1352">
        <f t="shared" si="15"/>
        <v>1</v>
      </c>
      <c r="AB31" s="1352">
        <f t="shared" si="16"/>
        <v>1</v>
      </c>
      <c r="AC31" s="1352">
        <f t="shared" si="17"/>
        <v>1</v>
      </c>
    </row>
    <row r="32" spans="1:29" ht="15">
      <c r="A32" s="391" t="s">
        <v>1694</v>
      </c>
      <c r="B32" s="63" t="s">
        <v>1695</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721"/>
      <c r="M32" s="2715"/>
      <c r="N32" s="2715"/>
      <c r="O32" s="2715"/>
      <c r="P32" s="3749" t="s">
        <v>1696</v>
      </c>
      <c r="Q32" s="1351" t="str">
        <f t="shared" si="11"/>
        <v>建筑类型</v>
      </c>
      <c r="R32" s="704" t="s">
        <v>18</v>
      </c>
      <c r="S32" s="705">
        <f t="shared" si="12"/>
        <v>100</v>
      </c>
      <c r="T32" s="704" t="s">
        <v>18</v>
      </c>
      <c r="U32" s="705">
        <f t="shared" si="13"/>
        <v>100</v>
      </c>
      <c r="V32" s="704" t="s">
        <v>18</v>
      </c>
      <c r="W32" s="705">
        <f t="shared" si="14"/>
        <v>100</v>
      </c>
      <c r="X32" s="1354"/>
      <c r="Y32" s="3752" t="s">
        <v>1696</v>
      </c>
      <c r="Z32" s="1355" t="str">
        <f t="shared" si="18"/>
        <v>建筑类型</v>
      </c>
      <c r="AA32" s="1352">
        <f t="shared" si="15"/>
        <v>1</v>
      </c>
      <c r="AB32" s="1352">
        <f t="shared" si="16"/>
        <v>1</v>
      </c>
      <c r="AC32" s="1352">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720"/>
      <c r="M33" s="2722"/>
      <c r="N33" s="2722"/>
      <c r="O33" s="2722"/>
      <c r="P33" s="3750"/>
      <c r="Q33" s="706" t="str">
        <f t="shared" si="11"/>
        <v>项目建筑规模</v>
      </c>
      <c r="R33" s="707" t="s">
        <v>18</v>
      </c>
      <c r="S33" s="708" t="e">
        <f t="shared" si="12"/>
        <v>#N/A</v>
      </c>
      <c r="T33" s="707" t="s">
        <v>18</v>
      </c>
      <c r="U33" s="708" t="e">
        <f t="shared" si="13"/>
        <v>#N/A</v>
      </c>
      <c r="V33" s="707" t="s">
        <v>18</v>
      </c>
      <c r="W33" s="708" t="e">
        <f t="shared" si="14"/>
        <v>#N/A</v>
      </c>
      <c r="X33" s="709"/>
      <c r="Y33" s="3752"/>
      <c r="Z33" s="710" t="str">
        <f t="shared" si="18"/>
        <v>项目建筑规模</v>
      </c>
      <c r="AA33" s="1352" t="e">
        <f t="shared" si="15"/>
        <v>#N/A</v>
      </c>
      <c r="AB33" s="1352" t="e">
        <f t="shared" si="16"/>
        <v>#N/A</v>
      </c>
      <c r="AC33" s="1352" t="e">
        <f t="shared" si="17"/>
        <v>#N/A</v>
      </c>
    </row>
    <row r="34" spans="1:29" ht="15">
      <c r="A34" s="423"/>
      <c r="B34" s="375" t="s">
        <v>1698</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721"/>
      <c r="M34" s="2715"/>
      <c r="N34" s="2715"/>
      <c r="O34" s="2715"/>
      <c r="P34" s="3750"/>
      <c r="Q34" s="1351" t="str">
        <f t="shared" si="11"/>
        <v>建筑结构</v>
      </c>
      <c r="R34" s="704" t="s">
        <v>18</v>
      </c>
      <c r="S34" s="705">
        <f t="shared" si="12"/>
        <v>100</v>
      </c>
      <c r="T34" s="704" t="s">
        <v>18</v>
      </c>
      <c r="U34" s="705">
        <f t="shared" si="13"/>
        <v>100</v>
      </c>
      <c r="V34" s="704" t="s">
        <v>18</v>
      </c>
      <c r="W34" s="705">
        <f t="shared" si="14"/>
        <v>100</v>
      </c>
      <c r="X34" s="1354"/>
      <c r="Y34" s="3752"/>
      <c r="Z34" s="1355" t="str">
        <f t="shared" si="18"/>
        <v>建筑结构</v>
      </c>
      <c r="AA34" s="1352">
        <f t="shared" si="15"/>
        <v>1</v>
      </c>
      <c r="AB34" s="1352">
        <f t="shared" si="16"/>
        <v>1</v>
      </c>
      <c r="AC34" s="1352">
        <f t="shared" si="17"/>
        <v>1</v>
      </c>
    </row>
    <row r="35" spans="1:29" ht="15">
      <c r="A35" s="423"/>
      <c r="B35" s="375" t="s">
        <v>1699</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721"/>
      <c r="M35" s="2715"/>
      <c r="N35" s="2715"/>
      <c r="O35" s="2715"/>
      <c r="P35" s="3750"/>
      <c r="Q35" s="1351" t="str">
        <f t="shared" si="11"/>
        <v>建筑品质</v>
      </c>
      <c r="R35" s="704" t="s">
        <v>18</v>
      </c>
      <c r="S35" s="705">
        <f t="shared" si="12"/>
        <v>100</v>
      </c>
      <c r="T35" s="704" t="s">
        <v>18</v>
      </c>
      <c r="U35" s="705">
        <f t="shared" si="13"/>
        <v>100</v>
      </c>
      <c r="V35" s="704" t="s">
        <v>18</v>
      </c>
      <c r="W35" s="705">
        <f t="shared" si="14"/>
        <v>100</v>
      </c>
      <c r="X35" s="1354"/>
      <c r="Y35" s="3752"/>
      <c r="Z35" s="1355" t="str">
        <f t="shared" si="18"/>
        <v>建筑品质</v>
      </c>
      <c r="AA35" s="1352">
        <f t="shared" si="15"/>
        <v>1</v>
      </c>
      <c r="AB35" s="1352">
        <f t="shared" si="16"/>
        <v>1</v>
      </c>
      <c r="AC35" s="1352">
        <f t="shared" si="17"/>
        <v>1</v>
      </c>
    </row>
    <row r="36" spans="1:29" ht="15">
      <c r="A36" s="423"/>
      <c r="B36" s="375" t="s">
        <v>1700</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721"/>
      <c r="M36" s="2715"/>
      <c r="N36" s="2715"/>
      <c r="O36" s="2715"/>
      <c r="P36" s="3750"/>
      <c r="Q36" s="1351" t="str">
        <f t="shared" si="11"/>
        <v>公共部分装修</v>
      </c>
      <c r="R36" s="704" t="s">
        <v>18</v>
      </c>
      <c r="S36" s="705">
        <f t="shared" si="12"/>
        <v>100</v>
      </c>
      <c r="T36" s="704" t="s">
        <v>18</v>
      </c>
      <c r="U36" s="705">
        <f t="shared" si="13"/>
        <v>100</v>
      </c>
      <c r="V36" s="704" t="s">
        <v>18</v>
      </c>
      <c r="W36" s="705">
        <f t="shared" si="14"/>
        <v>100</v>
      </c>
      <c r="X36" s="1354"/>
      <c r="Y36" s="3752"/>
      <c r="Z36" s="1355" t="str">
        <f t="shared" si="18"/>
        <v>公共部分装修</v>
      </c>
      <c r="AA36" s="1352">
        <f t="shared" si="15"/>
        <v>1</v>
      </c>
      <c r="AB36" s="1352">
        <f t="shared" si="16"/>
        <v>1</v>
      </c>
      <c r="AC36" s="1352">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750"/>
      <c r="Q37" s="1342" t="str">
        <f t="shared" si="11"/>
        <v>成新度</v>
      </c>
      <c r="R37" s="700" t="s">
        <v>18</v>
      </c>
      <c r="S37" s="701" t="e">
        <f t="shared" si="12"/>
        <v>#N/A</v>
      </c>
      <c r="T37" s="700" t="s">
        <v>18</v>
      </c>
      <c r="U37" s="701" t="e">
        <f t="shared" si="13"/>
        <v>#N/A</v>
      </c>
      <c r="V37" s="700" t="s">
        <v>18</v>
      </c>
      <c r="W37" s="701" t="e">
        <f t="shared" si="14"/>
        <v>#N/A</v>
      </c>
      <c r="X37" s="702"/>
      <c r="Y37" s="3752"/>
      <c r="Z37" s="52" t="str">
        <f t="shared" si="18"/>
        <v>成新度</v>
      </c>
      <c r="AA37" s="703" t="e">
        <f t="shared" si="15"/>
        <v>#N/A</v>
      </c>
      <c r="AB37" s="703" t="e">
        <f t="shared" si="16"/>
        <v>#N/A</v>
      </c>
      <c r="AC37" s="703" t="e">
        <f t="shared" si="17"/>
        <v>#N/A</v>
      </c>
    </row>
    <row r="38" spans="1:29" ht="15">
      <c r="A38" s="423"/>
      <c r="B38" s="375" t="s">
        <v>1702</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721"/>
      <c r="M38" s="2715"/>
      <c r="N38" s="2715"/>
      <c r="O38" s="2715"/>
      <c r="P38" s="3750" t="s">
        <v>1696</v>
      </c>
      <c r="Q38" s="1351" t="str">
        <f t="shared" si="11"/>
        <v>物业管理</v>
      </c>
      <c r="R38" s="704" t="s">
        <v>18</v>
      </c>
      <c r="S38" s="705">
        <f t="shared" si="12"/>
        <v>100</v>
      </c>
      <c r="T38" s="704" t="s">
        <v>18</v>
      </c>
      <c r="U38" s="705">
        <f t="shared" si="13"/>
        <v>100</v>
      </c>
      <c r="V38" s="704" t="s">
        <v>18</v>
      </c>
      <c r="W38" s="705">
        <f t="shared" si="14"/>
        <v>100</v>
      </c>
      <c r="X38" s="1354"/>
      <c r="Y38" s="3752" t="s">
        <v>1696</v>
      </c>
      <c r="Z38" s="1355" t="str">
        <f t="shared" si="18"/>
        <v>物业管理</v>
      </c>
      <c r="AA38" s="1352">
        <f t="shared" si="15"/>
        <v>1</v>
      </c>
      <c r="AB38" s="1352">
        <f t="shared" si="16"/>
        <v>1</v>
      </c>
      <c r="AC38" s="1352">
        <f t="shared" si="17"/>
        <v>1</v>
      </c>
    </row>
    <row r="39" spans="1:29" ht="15">
      <c r="A39" s="423"/>
      <c r="B39" s="375" t="s">
        <v>1703</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721"/>
      <c r="M39" s="2715"/>
      <c r="N39" s="2715"/>
      <c r="O39" s="2715"/>
      <c r="P39" s="3750"/>
      <c r="Q39" s="1351" t="str">
        <f t="shared" si="11"/>
        <v>市政基础设施</v>
      </c>
      <c r="R39" s="704" t="s">
        <v>18</v>
      </c>
      <c r="S39" s="705">
        <f t="shared" si="12"/>
        <v>100</v>
      </c>
      <c r="T39" s="704" t="s">
        <v>18</v>
      </c>
      <c r="U39" s="705">
        <f t="shared" si="13"/>
        <v>100</v>
      </c>
      <c r="V39" s="704" t="s">
        <v>18</v>
      </c>
      <c r="W39" s="705">
        <f t="shared" si="14"/>
        <v>100</v>
      </c>
      <c r="X39" s="1354"/>
      <c r="Y39" s="3752"/>
      <c r="Z39" s="1355" t="str">
        <f t="shared" si="18"/>
        <v>市政基础设施</v>
      </c>
      <c r="AA39" s="1352">
        <f t="shared" si="15"/>
        <v>1</v>
      </c>
      <c r="AB39" s="1352">
        <f t="shared" si="16"/>
        <v>1</v>
      </c>
      <c r="AC39" s="1352">
        <f t="shared" si="17"/>
        <v>1</v>
      </c>
    </row>
    <row r="40" spans="1:29" ht="15">
      <c r="A40" s="423"/>
      <c r="B40" s="375" t="s">
        <v>1704</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721"/>
      <c r="M40" s="2715"/>
      <c r="N40" s="2715"/>
      <c r="O40" s="2715"/>
      <c r="P40" s="3750"/>
      <c r="Q40" s="1351" t="str">
        <f t="shared" si="11"/>
        <v>房型</v>
      </c>
      <c r="R40" s="704" t="s">
        <v>18</v>
      </c>
      <c r="S40" s="705">
        <f t="shared" si="12"/>
        <v>100</v>
      </c>
      <c r="T40" s="704" t="s">
        <v>18</v>
      </c>
      <c r="U40" s="705">
        <f t="shared" si="13"/>
        <v>100</v>
      </c>
      <c r="V40" s="704" t="s">
        <v>18</v>
      </c>
      <c r="W40" s="705">
        <f t="shared" si="14"/>
        <v>100</v>
      </c>
      <c r="X40" s="1354"/>
      <c r="Y40" s="3752"/>
      <c r="Z40" s="1355" t="str">
        <f t="shared" si="18"/>
        <v>房型</v>
      </c>
      <c r="AA40" s="1352">
        <f t="shared" si="15"/>
        <v>1</v>
      </c>
      <c r="AB40" s="1352">
        <f t="shared" si="16"/>
        <v>1</v>
      </c>
      <c r="AC40" s="1352">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720"/>
      <c r="M41" s="2722"/>
      <c r="N41" s="2722"/>
      <c r="O41" s="2722"/>
      <c r="P41" s="3750"/>
      <c r="Q41" s="706" t="str">
        <f t="shared" si="11"/>
        <v>单套/主力户型建筑面积</v>
      </c>
      <c r="R41" s="707" t="s">
        <v>18</v>
      </c>
      <c r="S41" s="708">
        <f t="shared" si="12"/>
        <v>100</v>
      </c>
      <c r="T41" s="707" t="s">
        <v>18</v>
      </c>
      <c r="U41" s="708">
        <f t="shared" si="13"/>
        <v>100</v>
      </c>
      <c r="V41" s="707" t="s">
        <v>18</v>
      </c>
      <c r="W41" s="708">
        <f t="shared" si="14"/>
        <v>100</v>
      </c>
      <c r="X41" s="709"/>
      <c r="Y41" s="3752"/>
      <c r="Z41" s="710" t="str">
        <f t="shared" si="18"/>
        <v>单套/主力户型建筑面积</v>
      </c>
      <c r="AA41" s="1352">
        <f t="shared" si="15"/>
        <v>1</v>
      </c>
      <c r="AB41" s="1352">
        <f t="shared" si="16"/>
        <v>1</v>
      </c>
      <c r="AC41" s="1352">
        <f t="shared" si="17"/>
        <v>1</v>
      </c>
    </row>
    <row r="42" spans="1:29" ht="15">
      <c r="A42" s="423"/>
      <c r="B42" s="375" t="s">
        <v>1706</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721"/>
      <c r="M42" s="2715"/>
      <c r="N42" s="2715"/>
      <c r="O42" s="2715"/>
      <c r="P42" s="3750"/>
      <c r="Q42" s="1351" t="str">
        <f t="shared" si="11"/>
        <v>内部装修</v>
      </c>
      <c r="R42" s="704" t="s">
        <v>18</v>
      </c>
      <c r="S42" s="705">
        <f t="shared" si="12"/>
        <v>100</v>
      </c>
      <c r="T42" s="704" t="s">
        <v>18</v>
      </c>
      <c r="U42" s="705">
        <f t="shared" si="13"/>
        <v>100</v>
      </c>
      <c r="V42" s="704" t="s">
        <v>18</v>
      </c>
      <c r="W42" s="705">
        <f t="shared" si="14"/>
        <v>100</v>
      </c>
      <c r="X42" s="1354"/>
      <c r="Y42" s="3752"/>
      <c r="Z42" s="1355" t="str">
        <f t="shared" si="18"/>
        <v>内部装修</v>
      </c>
      <c r="AA42" s="1352">
        <f t="shared" si="15"/>
        <v>1</v>
      </c>
      <c r="AB42" s="1352">
        <f t="shared" si="16"/>
        <v>1</v>
      </c>
      <c r="AC42" s="1352">
        <f t="shared" si="17"/>
        <v>1</v>
      </c>
    </row>
    <row r="43" spans="1:29" ht="15">
      <c r="A43" s="423"/>
      <c r="B43" s="375" t="s">
        <v>1707</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721"/>
      <c r="M43" s="2715"/>
      <c r="N43" s="2715"/>
      <c r="O43" s="2715"/>
      <c r="P43" s="3750"/>
      <c r="Q43" s="1351" t="str">
        <f t="shared" si="11"/>
        <v>内部装修维护情况</v>
      </c>
      <c r="R43" s="704" t="s">
        <v>18</v>
      </c>
      <c r="S43" s="705">
        <f t="shared" si="12"/>
        <v>100</v>
      </c>
      <c r="T43" s="704" t="s">
        <v>18</v>
      </c>
      <c r="U43" s="705">
        <f t="shared" si="13"/>
        <v>100</v>
      </c>
      <c r="V43" s="704" t="s">
        <v>18</v>
      </c>
      <c r="W43" s="705">
        <f t="shared" si="14"/>
        <v>100</v>
      </c>
      <c r="X43" s="1354"/>
      <c r="Y43" s="3752"/>
      <c r="Z43" s="1355" t="str">
        <f t="shared" si="18"/>
        <v>内部装修维护情况</v>
      </c>
      <c r="AA43" s="1352">
        <f t="shared" si="15"/>
        <v>1</v>
      </c>
      <c r="AB43" s="1352">
        <f t="shared" si="16"/>
        <v>1</v>
      </c>
      <c r="AC43" s="1352">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716"/>
      <c r="M44" s="2717"/>
      <c r="N44" s="2717"/>
      <c r="O44" s="2717"/>
      <c r="P44" s="3750"/>
      <c r="Q44" s="1342">
        <f t="shared" si="11"/>
        <v>111</v>
      </c>
      <c r="R44" s="700" t="s">
        <v>18</v>
      </c>
      <c r="S44" s="701">
        <f t="shared" si="12"/>
        <v>100</v>
      </c>
      <c r="T44" s="700" t="s">
        <v>18</v>
      </c>
      <c r="U44" s="701">
        <f t="shared" si="13"/>
        <v>100</v>
      </c>
      <c r="V44" s="700" t="s">
        <v>18</v>
      </c>
      <c r="W44" s="701">
        <f t="shared" si="14"/>
        <v>100</v>
      </c>
      <c r="X44" s="702"/>
      <c r="Y44" s="3752"/>
      <c r="Z44" s="52">
        <f t="shared" si="18"/>
        <v>111</v>
      </c>
      <c r="AA44" s="703">
        <f t="shared" si="15"/>
        <v>1</v>
      </c>
      <c r="AB44" s="703">
        <f t="shared" si="16"/>
        <v>1</v>
      </c>
      <c r="AC44" s="703">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721"/>
      <c r="M45" s="2715"/>
      <c r="N45" s="2715"/>
      <c r="O45" s="2715"/>
      <c r="P45" s="3750"/>
      <c r="Q45" s="1351">
        <f t="shared" si="11"/>
        <v>111</v>
      </c>
      <c r="R45" s="704" t="s">
        <v>18</v>
      </c>
      <c r="S45" s="705">
        <f t="shared" si="12"/>
        <v>100</v>
      </c>
      <c r="T45" s="704" t="s">
        <v>18</v>
      </c>
      <c r="U45" s="705">
        <f t="shared" si="13"/>
        <v>100</v>
      </c>
      <c r="V45" s="704" t="s">
        <v>18</v>
      </c>
      <c r="W45" s="705">
        <f t="shared" si="14"/>
        <v>100</v>
      </c>
      <c r="X45" s="1354"/>
      <c r="Y45" s="3752"/>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721"/>
      <c r="M46" s="2715"/>
      <c r="N46" s="2715"/>
      <c r="O46" s="2715"/>
      <c r="P46" s="3751"/>
      <c r="Q46" s="1351">
        <f t="shared" si="11"/>
        <v>111</v>
      </c>
      <c r="R46" s="704" t="s">
        <v>17</v>
      </c>
      <c r="S46" s="705">
        <f t="shared" si="12"/>
        <v>100</v>
      </c>
      <c r="T46" s="704" t="s">
        <v>17</v>
      </c>
      <c r="U46" s="705">
        <f t="shared" si="13"/>
        <v>100</v>
      </c>
      <c r="V46" s="704" t="s">
        <v>17</v>
      </c>
      <c r="W46" s="705">
        <f t="shared" si="14"/>
        <v>100</v>
      </c>
      <c r="X46" s="1354"/>
      <c r="Y46" s="3753"/>
      <c r="Z46" s="1355">
        <f t="shared" si="18"/>
        <v>111</v>
      </c>
      <c r="AA46" s="1352">
        <f t="shared" si="15"/>
        <v>1</v>
      </c>
      <c r="AB46" s="1352">
        <f t="shared" si="16"/>
        <v>1</v>
      </c>
      <c r="AC46" s="1352">
        <f t="shared" si="17"/>
        <v>1</v>
      </c>
    </row>
    <row r="47" spans="1:29" ht="15">
      <c r="A47" s="430" t="s">
        <v>1708</v>
      </c>
      <c r="B47" s="431"/>
      <c r="C47" s="1153" t="s">
        <v>16</v>
      </c>
      <c r="D47" s="1154"/>
      <c r="E47" s="1155"/>
      <c r="F47" s="1156"/>
      <c r="G47" s="1157"/>
      <c r="H47" s="1158"/>
      <c r="I47" s="1155"/>
      <c r="J47" s="1158"/>
      <c r="K47" s="1913"/>
      <c r="L47" s="2723"/>
      <c r="M47" s="2724"/>
      <c r="N47" s="2715"/>
      <c r="O47" s="2724"/>
      <c r="P47" s="3745" t="str">
        <f>A47</f>
        <v>成交单价（元/平方米）</v>
      </c>
      <c r="Q47" s="3745"/>
      <c r="R47" s="3746">
        <f>E47</f>
        <v>0</v>
      </c>
      <c r="S47" s="3746"/>
      <c r="T47" s="3746">
        <f>G47</f>
        <v>0</v>
      </c>
      <c r="U47" s="3746"/>
      <c r="V47" s="3746">
        <f>I47</f>
        <v>0</v>
      </c>
      <c r="W47" s="3746"/>
      <c r="X47" s="689"/>
      <c r="Y47" s="711"/>
      <c r="Z47" s="689"/>
      <c r="AA47" s="689"/>
      <c r="AB47" s="689"/>
      <c r="AC47" s="689"/>
    </row>
    <row r="48" spans="1:29" ht="15.75" thickBot="1">
      <c r="A48" s="437" t="s">
        <v>1709</v>
      </c>
      <c r="B48" s="438"/>
      <c r="C48" s="1159" t="e">
        <f>R49</f>
        <v>#DIV/0!</v>
      </c>
      <c r="D48" s="2316" t="s">
        <v>2138</v>
      </c>
      <c r="E48" s="1160" t="e">
        <f>R48</f>
        <v>#DIV/0!</v>
      </c>
      <c r="F48" s="2317"/>
      <c r="G48" s="1159" t="e">
        <f>T48</f>
        <v>#DIV/0!</v>
      </c>
      <c r="H48" s="2317"/>
      <c r="I48" s="1160" t="e">
        <f>V48</f>
        <v>#DIV/0!</v>
      </c>
      <c r="J48" s="2317"/>
      <c r="K48" s="2318">
        <f>F48+H48+J48</f>
        <v>0</v>
      </c>
      <c r="L48" s="2723"/>
      <c r="M48" s="2724"/>
      <c r="N48" s="2724"/>
      <c r="O48" s="2724"/>
      <c r="P48" s="3745" t="str">
        <f>A48</f>
        <v>比较价值（元/平方米）</v>
      </c>
      <c r="Q48" s="3745"/>
      <c r="R48" s="3746" t="e">
        <f>IF(F1="售价",ROUND(PRODUCT(R47,AA7:AA46),0),ROUND(PRODUCT(R47,AA7:AA46),1))</f>
        <v>#DIV/0!</v>
      </c>
      <c r="S48" s="3746"/>
      <c r="T48" s="3746" t="e">
        <f>IF(F1="售价",ROUND(PRODUCT(T47,AB7:AB46),0),ROUND(PRODUCT(T47,AB7:AB46),1))</f>
        <v>#DIV/0!</v>
      </c>
      <c r="U48" s="3746"/>
      <c r="V48" s="3746" t="e">
        <f>IF(F1="售价",ROUND(PRODUCT(V47,AC7:AC46),0),ROUND(PRODUCT(V47,AC7:AC46),1))</f>
        <v>#DIV/0!</v>
      </c>
      <c r="W48" s="3746"/>
      <c r="X48" s="689"/>
      <c r="Y48" s="689"/>
      <c r="Z48" s="689"/>
      <c r="AA48" s="689"/>
      <c r="AB48" s="689"/>
      <c r="AC48" s="689"/>
    </row>
    <row r="49" spans="1:29" ht="15.75" thickBot="1">
      <c r="A49" s="441" t="s">
        <v>1710</v>
      </c>
      <c r="B49" s="442"/>
      <c r="C49" s="1161" t="e">
        <f>R49</f>
        <v>#DIV/0!</v>
      </c>
      <c r="D49" s="1162"/>
      <c r="E49" s="1162"/>
      <c r="F49" s="1162"/>
      <c r="G49" s="1162"/>
      <c r="H49" s="1162"/>
      <c r="I49" s="1162"/>
      <c r="J49" s="1162"/>
      <c r="K49" s="1914"/>
      <c r="L49" s="2723"/>
      <c r="M49" s="2724"/>
      <c r="N49" s="2724"/>
      <c r="O49" s="2724"/>
      <c r="P49" s="3742" t="str">
        <f>A49</f>
        <v>估价对象XX用房的比较价值（楼面单价，元/平方米）</v>
      </c>
      <c r="Q49" s="3743"/>
      <c r="R49" s="3744" t="e">
        <f>IF(F1="售价",ROUND(IF(D48="简单平均",AVERAGE(R48:V48),R48*F48+T48*H48+V48*J48),0),ROUND(IF(D48="简单平均",AVERAGE(R48:V48),R48*F48+T48*H48+V48*J48),1))</f>
        <v>#DIV/0!</v>
      </c>
      <c r="S49" s="3744"/>
      <c r="T49" s="3744"/>
      <c r="U49" s="3744"/>
      <c r="V49" s="3744"/>
      <c r="W49" s="3744"/>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6"/>
    </row>
    <row r="55" spans="1:29" s="451" customFormat="1">
      <c r="A55" s="2727"/>
      <c r="B55" s="2730"/>
      <c r="C55" s="2731"/>
      <c r="D55" s="2727"/>
      <c r="E55" s="2727"/>
      <c r="F55" s="2727"/>
      <c r="G55" s="2727"/>
      <c r="H55" s="2727"/>
      <c r="I55" s="2727"/>
      <c r="J55" s="2727"/>
      <c r="K55" s="2732"/>
      <c r="L55" s="2726"/>
      <c r="M55" s="2727"/>
      <c r="N55" s="2727"/>
      <c r="O55" s="2727"/>
      <c r="P55" s="1916"/>
    </row>
    <row r="56" spans="1:29">
      <c r="A56" s="2724"/>
      <c r="B56" s="2730"/>
      <c r="C56" s="2731"/>
      <c r="D56" s="2724"/>
      <c r="E56" s="2724"/>
      <c r="F56" s="2724"/>
      <c r="G56" s="2724"/>
      <c r="H56" s="2724"/>
      <c r="I56" s="2724"/>
      <c r="J56" s="2724"/>
      <c r="K56" s="2729"/>
      <c r="L56" s="2725"/>
      <c r="M56" s="2724"/>
      <c r="N56" s="2724"/>
      <c r="O56" s="2724"/>
    </row>
    <row r="57" spans="1:29" ht="21.75" thickBot="1">
      <c r="A57" s="693" t="s">
        <v>1714</v>
      </c>
      <c r="B57" s="689"/>
      <c r="C57" s="694"/>
      <c r="D57" s="694"/>
      <c r="E57" s="694"/>
      <c r="F57" s="695"/>
      <c r="G57" s="695"/>
      <c r="H57" s="694"/>
      <c r="I57" s="694"/>
      <c r="J57" s="694"/>
      <c r="K57" s="940"/>
      <c r="L57" s="941"/>
      <c r="M57" s="939"/>
      <c r="N57" s="939"/>
      <c r="O57" s="939"/>
      <c r="P57" s="1917"/>
      <c r="Q57" s="453"/>
    </row>
    <row r="58" spans="1:29" s="457" customFormat="1" ht="15">
      <c r="A58" s="454" t="s">
        <v>1715</v>
      </c>
      <c r="B58" s="455"/>
      <c r="C58" s="1185" t="str">
        <f>YEAR(C7)&amp;"-"&amp;MONTH(C7)</f>
        <v>2025-5</v>
      </c>
      <c r="D58" s="1184">
        <f>EDATE(C58,-1)</f>
        <v>45748</v>
      </c>
      <c r="E58" s="1184">
        <f>EDATE(D58,-1)</f>
        <v>45717</v>
      </c>
      <c r="F58" s="1184">
        <f t="shared" ref="F58:O58" si="19">EDATE(E58,-1)</f>
        <v>45689</v>
      </c>
      <c r="G58" s="1184">
        <f t="shared" si="19"/>
        <v>45658</v>
      </c>
      <c r="H58" s="1184">
        <f t="shared" si="19"/>
        <v>45627</v>
      </c>
      <c r="I58" s="1184">
        <f t="shared" si="19"/>
        <v>45597</v>
      </c>
      <c r="J58" s="1184">
        <f t="shared" si="19"/>
        <v>45566</v>
      </c>
      <c r="K58" s="1184">
        <f t="shared" si="19"/>
        <v>45536</v>
      </c>
      <c r="L58" s="1184">
        <f t="shared" si="19"/>
        <v>45505</v>
      </c>
      <c r="M58" s="1184">
        <f t="shared" si="19"/>
        <v>45474</v>
      </c>
      <c r="N58" s="1184">
        <f t="shared" si="19"/>
        <v>45444</v>
      </c>
      <c r="O58" s="1184">
        <f t="shared" si="19"/>
        <v>45413</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1716</v>
      </c>
      <c r="B60" s="465"/>
      <c r="C60" s="466"/>
      <c r="D60" s="467"/>
      <c r="E60" s="467"/>
      <c r="F60" s="467"/>
      <c r="G60" s="467"/>
      <c r="H60" s="467"/>
      <c r="I60" s="467"/>
      <c r="J60" s="467"/>
      <c r="K60" s="467"/>
      <c r="L60" s="467"/>
      <c r="M60" s="468"/>
      <c r="N60" s="467"/>
      <c r="O60" s="468"/>
      <c r="P60" s="1919"/>
      <c r="Q60" s="453"/>
    </row>
    <row r="61" spans="1:29" s="108" customFormat="1" ht="15">
      <c r="A61" s="470" t="s">
        <v>1717</v>
      </c>
      <c r="B61" s="459"/>
      <c r="C61" s="471" t="s">
        <v>1718</v>
      </c>
      <c r="D61" s="472"/>
      <c r="E61" s="472"/>
      <c r="F61" s="472"/>
      <c r="G61" s="472"/>
      <c r="H61" s="472"/>
      <c r="I61" s="472"/>
      <c r="J61" s="472"/>
      <c r="K61" s="472"/>
      <c r="L61" s="473"/>
      <c r="M61" s="474"/>
      <c r="N61" s="931"/>
      <c r="O61" s="931"/>
      <c r="P61" s="1920"/>
      <c r="Q61" s="453"/>
    </row>
    <row r="62" spans="1:29" s="108" customFormat="1" ht="15.75" thickBot="1">
      <c r="A62" s="470"/>
      <c r="B62" s="459"/>
      <c r="C62" s="460">
        <v>100</v>
      </c>
      <c r="D62" s="461"/>
      <c r="E62" s="461"/>
      <c r="F62" s="461"/>
      <c r="G62" s="461"/>
      <c r="H62" s="461"/>
      <c r="I62" s="461"/>
      <c r="J62" s="461"/>
      <c r="K62" s="461"/>
      <c r="L62" s="461"/>
      <c r="M62" s="463"/>
      <c r="N62" s="931"/>
      <c r="O62" s="931"/>
      <c r="P62" s="1919"/>
      <c r="Q62" s="453"/>
    </row>
    <row r="63" spans="1:29">
      <c r="A63" s="476" t="s">
        <v>1719</v>
      </c>
      <c r="B63" s="477" t="s">
        <v>1685</v>
      </c>
      <c r="C63" s="478">
        <f>C9</f>
        <v>0</v>
      </c>
      <c r="D63" s="479"/>
      <c r="E63" s="479"/>
      <c r="F63" s="479"/>
      <c r="G63" s="479"/>
      <c r="H63" s="479"/>
      <c r="I63" s="479"/>
      <c r="J63" s="479"/>
      <c r="K63" s="480"/>
      <c r="L63" s="481"/>
      <c r="M63" s="482"/>
      <c r="N63" s="932"/>
      <c r="O63" s="932"/>
      <c r="P63" s="1921"/>
      <c r="Q63" s="453"/>
    </row>
    <row r="64" spans="1:29" ht="15.75" thickBot="1">
      <c r="A64" s="483"/>
      <c r="B64" s="484"/>
      <c r="C64" s="485">
        <v>100</v>
      </c>
      <c r="D64" s="485"/>
      <c r="E64" s="485"/>
      <c r="F64" s="485"/>
      <c r="G64" s="485"/>
      <c r="H64" s="485"/>
      <c r="I64" s="485"/>
      <c r="J64" s="485"/>
      <c r="K64" s="485"/>
      <c r="L64" s="485"/>
      <c r="M64" s="486"/>
      <c r="N64" s="933"/>
      <c r="O64" s="933"/>
      <c r="P64" s="1921"/>
      <c r="Q64" s="453"/>
    </row>
    <row r="65" spans="1:17" ht="27.75" thickTop="1">
      <c r="A65" s="483"/>
      <c r="B65" s="487" t="s">
        <v>1688</v>
      </c>
      <c r="C65" s="532"/>
      <c r="D65" s="532"/>
      <c r="E65" s="532"/>
      <c r="F65" s="532"/>
      <c r="G65" s="532"/>
      <c r="H65" s="532"/>
      <c r="I65" s="532"/>
      <c r="J65" s="532"/>
      <c r="K65" s="532"/>
      <c r="L65" s="532"/>
      <c r="M65" s="532"/>
      <c r="N65" s="933"/>
      <c r="O65" s="933"/>
      <c r="P65" s="1921"/>
      <c r="Q65" s="453"/>
    </row>
    <row r="66" spans="1:17" ht="15.75" thickBot="1">
      <c r="A66" s="483"/>
      <c r="B66" s="492"/>
      <c r="C66" s="485"/>
      <c r="D66" s="485"/>
      <c r="E66" s="485"/>
      <c r="F66" s="485"/>
      <c r="G66" s="485"/>
      <c r="H66" s="485"/>
      <c r="I66" s="485"/>
      <c r="J66" s="485"/>
      <c r="K66" s="485"/>
      <c r="L66" s="485"/>
      <c r="M66" s="486"/>
      <c r="N66" s="933"/>
      <c r="O66" s="933"/>
      <c r="P66" s="1921"/>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3"/>
      <c r="O67" s="933"/>
      <c r="P67" s="1921"/>
      <c r="Q67" s="453"/>
    </row>
    <row r="68" spans="1:17" ht="15">
      <c r="A68" s="483"/>
      <c r="B68" s="497"/>
      <c r="C68" s="498"/>
      <c r="D68" s="498"/>
      <c r="E68" s="498"/>
      <c r="F68" s="498"/>
      <c r="G68" s="498"/>
      <c r="H68" s="498"/>
      <c r="I68" s="498"/>
      <c r="J68" s="498"/>
      <c r="K68" s="499"/>
      <c r="L68" s="500"/>
      <c r="M68" s="501"/>
      <c r="N68" s="932"/>
      <c r="O68" s="932"/>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3"/>
      <c r="O69" s="933"/>
      <c r="P69" s="1921"/>
      <c r="Q69" s="453"/>
    </row>
    <row r="70" spans="1:17" s="422" customFormat="1" ht="15.75" thickTop="1">
      <c r="A70" s="502"/>
      <c r="B70" s="487">
        <f>B12</f>
        <v>111</v>
      </c>
      <c r="C70" s="503"/>
      <c r="D70" s="503"/>
      <c r="E70" s="503"/>
      <c r="F70" s="503"/>
      <c r="G70" s="503"/>
      <c r="H70" s="504"/>
      <c r="I70" s="504"/>
      <c r="J70" s="504"/>
      <c r="K70" s="504"/>
      <c r="L70" s="505"/>
      <c r="M70" s="506"/>
      <c r="N70" s="934"/>
      <c r="O70" s="934"/>
      <c r="P70" s="1922"/>
      <c r="Q70" s="508"/>
    </row>
    <row r="71" spans="1:17" s="422" customFormat="1" ht="15.75" thickBot="1">
      <c r="A71" s="502"/>
      <c r="B71" s="492"/>
      <c r="C71" s="509"/>
      <c r="D71" s="485"/>
      <c r="E71" s="485"/>
      <c r="F71" s="485"/>
      <c r="G71" s="485"/>
      <c r="H71" s="485"/>
      <c r="I71" s="485"/>
      <c r="J71" s="485"/>
      <c r="K71" s="485"/>
      <c r="L71" s="485"/>
      <c r="M71" s="486"/>
      <c r="N71" s="933"/>
      <c r="O71" s="933"/>
      <c r="P71" s="1922"/>
      <c r="Q71" s="508"/>
    </row>
    <row r="72" spans="1:17" s="422" customFormat="1" ht="15.75" thickTop="1">
      <c r="A72" s="502"/>
      <c r="B72" s="487">
        <f>B13</f>
        <v>111</v>
      </c>
      <c r="C72" s="503"/>
      <c r="D72" s="503"/>
      <c r="E72" s="503"/>
      <c r="F72" s="503"/>
      <c r="G72" s="503"/>
      <c r="H72" s="504"/>
      <c r="I72" s="504"/>
      <c r="J72" s="504"/>
      <c r="K72" s="504"/>
      <c r="L72" s="505"/>
      <c r="M72" s="506"/>
      <c r="N72" s="934"/>
      <c r="O72" s="934"/>
      <c r="P72" s="1923"/>
      <c r="Q72" s="510"/>
    </row>
    <row r="73" spans="1:17" s="422" customFormat="1" ht="15.75" thickBot="1">
      <c r="A73" s="502"/>
      <c r="B73" s="492"/>
      <c r="C73" s="509"/>
      <c r="D73" s="509"/>
      <c r="E73" s="509"/>
      <c r="F73" s="509"/>
      <c r="G73" s="509"/>
      <c r="H73" s="511"/>
      <c r="I73" s="511"/>
      <c r="J73" s="511"/>
      <c r="K73" s="511"/>
      <c r="L73" s="511"/>
      <c r="M73" s="512"/>
      <c r="N73" s="934"/>
      <c r="O73" s="934"/>
      <c r="P73" s="1922"/>
      <c r="Q73" s="508"/>
    </row>
    <row r="74" spans="1:17" s="422" customFormat="1" ht="15.75" thickTop="1">
      <c r="A74" s="502"/>
      <c r="B74" s="495">
        <f>B14</f>
        <v>111</v>
      </c>
      <c r="C74" s="503"/>
      <c r="D74" s="503"/>
      <c r="E74" s="503"/>
      <c r="F74" s="503"/>
      <c r="G74" s="472"/>
      <c r="H74" s="513"/>
      <c r="I74" s="513"/>
      <c r="J74" s="513"/>
      <c r="K74" s="513"/>
      <c r="L74" s="514"/>
      <c r="M74" s="515"/>
      <c r="N74" s="934"/>
      <c r="O74" s="934"/>
      <c r="P74" s="1924"/>
      <c r="Q74" s="508"/>
    </row>
    <row r="75" spans="1:17" s="422" customFormat="1" ht="15.75" thickBot="1">
      <c r="A75" s="517"/>
      <c r="B75" s="518"/>
      <c r="C75" s="519"/>
      <c r="D75" s="519"/>
      <c r="E75" s="519"/>
      <c r="F75" s="519"/>
      <c r="G75" s="519"/>
      <c r="H75" s="520"/>
      <c r="I75" s="520"/>
      <c r="J75" s="520"/>
      <c r="K75" s="520"/>
      <c r="L75" s="520"/>
      <c r="M75" s="521"/>
      <c r="N75" s="934"/>
      <c r="O75" s="934"/>
      <c r="P75" s="1922"/>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2"/>
      <c r="O76" s="932"/>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3"/>
      <c r="O77" s="933"/>
      <c r="P77" s="1921"/>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2"/>
      <c r="O78" s="932"/>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3"/>
      <c r="O79" s="933"/>
      <c r="P79" s="1921"/>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2"/>
      <c r="O80" s="932"/>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3"/>
      <c r="O81" s="933"/>
      <c r="P81" s="1921"/>
      <c r="Q81" s="453"/>
    </row>
    <row r="82" spans="1:17" ht="15.75" thickTop="1">
      <c r="A82" s="483"/>
      <c r="B82" s="495" t="s">
        <v>1260</v>
      </c>
      <c r="C82" s="488" t="s">
        <v>1728</v>
      </c>
      <c r="D82" s="488" t="s">
        <v>1729</v>
      </c>
      <c r="E82" s="488" t="s">
        <v>1730</v>
      </c>
      <c r="F82" s="488" t="s">
        <v>1731</v>
      </c>
      <c r="G82" s="488" t="s">
        <v>1732</v>
      </c>
      <c r="H82" s="488"/>
      <c r="I82" s="488"/>
      <c r="J82" s="488"/>
      <c r="K82" s="488"/>
      <c r="L82" s="488"/>
      <c r="M82" s="1128"/>
      <c r="N82" s="933"/>
      <c r="O82" s="933"/>
      <c r="P82" s="1921"/>
      <c r="Q82" s="453"/>
    </row>
    <row r="83" spans="1:17" ht="15.75" thickBot="1">
      <c r="A83" s="483"/>
      <c r="B83" s="495"/>
      <c r="C83" s="607">
        <v>100</v>
      </c>
      <c r="D83" s="607">
        <f>C83-$K21</f>
        <v>100</v>
      </c>
      <c r="E83" s="607">
        <f t="shared" ref="E83:G83" si="22">D83-$K21</f>
        <v>100</v>
      </c>
      <c r="F83" s="607">
        <f t="shared" si="22"/>
        <v>100</v>
      </c>
      <c r="G83" s="607">
        <f t="shared" si="22"/>
        <v>100</v>
      </c>
      <c r="H83" s="607"/>
      <c r="I83" s="607"/>
      <c r="J83" s="607"/>
      <c r="K83" s="607"/>
      <c r="L83" s="607"/>
      <c r="M83" s="401"/>
      <c r="N83" s="933"/>
      <c r="O83" s="933"/>
      <c r="P83" s="1921"/>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2"/>
      <c r="O84" s="932"/>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3"/>
      <c r="O85" s="933"/>
      <c r="P85" s="1921"/>
      <c r="Q85" s="453"/>
    </row>
    <row r="86" spans="1:17" s="108" customFormat="1" ht="15.75" thickTop="1">
      <c r="A86" s="528"/>
      <c r="B86" s="487" t="s">
        <v>1734</v>
      </c>
      <c r="C86" s="503"/>
      <c r="D86" s="503"/>
      <c r="E86" s="503"/>
      <c r="F86" s="503"/>
      <c r="G86" s="503"/>
      <c r="H86" s="503"/>
      <c r="I86" s="503"/>
      <c r="J86" s="503"/>
      <c r="K86" s="503"/>
      <c r="L86" s="529"/>
      <c r="M86" s="530"/>
      <c r="N86" s="931"/>
      <c r="O86" s="931"/>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3"/>
      <c r="O87" s="933"/>
      <c r="P87" s="1921"/>
      <c r="Q87" s="453"/>
    </row>
    <row r="88" spans="1:17" s="108" customFormat="1" ht="15.75" thickTop="1">
      <c r="A88" s="528"/>
      <c r="B88" s="487" t="s">
        <v>1735</v>
      </c>
      <c r="C88" s="503"/>
      <c r="D88" s="503"/>
      <c r="E88" s="503"/>
      <c r="F88" s="1926"/>
      <c r="G88" s="503"/>
      <c r="H88" s="503"/>
      <c r="I88" s="503"/>
      <c r="J88" s="503"/>
      <c r="K88" s="503"/>
      <c r="L88" s="503"/>
      <c r="M88" s="530"/>
      <c r="N88" s="931"/>
      <c r="O88" s="931"/>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3"/>
      <c r="O89" s="933"/>
      <c r="P89" s="1921"/>
      <c r="Q89" s="453"/>
    </row>
    <row r="90" spans="1:17" s="422" customFormat="1" ht="15.75" thickTop="1">
      <c r="A90" s="502"/>
      <c r="B90" s="487">
        <f>B27</f>
        <v>111</v>
      </c>
      <c r="C90" s="503"/>
      <c r="D90" s="503"/>
      <c r="E90" s="503"/>
      <c r="F90" s="503"/>
      <c r="G90" s="503"/>
      <c r="H90" s="504"/>
      <c r="I90" s="504"/>
      <c r="J90" s="504"/>
      <c r="K90" s="504"/>
      <c r="L90" s="505"/>
      <c r="M90" s="506"/>
      <c r="N90" s="934"/>
      <c r="O90" s="934"/>
      <c r="P90" s="1922"/>
      <c r="Q90" s="508"/>
    </row>
    <row r="91" spans="1:17" s="422" customFormat="1" ht="15.75" thickBot="1">
      <c r="A91" s="502"/>
      <c r="B91" s="492"/>
      <c r="C91" s="509"/>
      <c r="D91" s="509"/>
      <c r="E91" s="509"/>
      <c r="F91" s="509"/>
      <c r="G91" s="509"/>
      <c r="H91" s="511"/>
      <c r="I91" s="511"/>
      <c r="J91" s="511"/>
      <c r="K91" s="511"/>
      <c r="L91" s="511"/>
      <c r="M91" s="512"/>
      <c r="N91" s="934"/>
      <c r="O91" s="934"/>
      <c r="P91" s="1922"/>
      <c r="Q91" s="508"/>
    </row>
    <row r="92" spans="1:17" ht="15.75" thickTop="1">
      <c r="A92" s="483"/>
      <c r="B92" s="487">
        <f>B28</f>
        <v>111</v>
      </c>
      <c r="C92" s="503"/>
      <c r="D92" s="503"/>
      <c r="E92" s="503"/>
      <c r="F92" s="503"/>
      <c r="G92" s="532"/>
      <c r="H92" s="532"/>
      <c r="I92" s="532"/>
      <c r="J92" s="532"/>
      <c r="K92" s="533"/>
      <c r="L92" s="534"/>
      <c r="M92" s="535"/>
      <c r="N92" s="932"/>
      <c r="O92" s="932"/>
      <c r="P92" s="1921"/>
      <c r="Q92" s="453"/>
    </row>
    <row r="93" spans="1:17" ht="15.75" thickBot="1">
      <c r="A93" s="483"/>
      <c r="B93" s="492"/>
      <c r="C93" s="509"/>
      <c r="D93" s="485"/>
      <c r="E93" s="485"/>
      <c r="F93" s="485"/>
      <c r="G93" s="485"/>
      <c r="H93" s="485"/>
      <c r="I93" s="485"/>
      <c r="J93" s="485"/>
      <c r="K93" s="485"/>
      <c r="L93" s="485"/>
      <c r="M93" s="486"/>
      <c r="N93" s="933"/>
      <c r="O93" s="933"/>
      <c r="P93" s="1921"/>
      <c r="Q93" s="453"/>
    </row>
    <row r="94" spans="1:17" ht="15.75" thickTop="1">
      <c r="A94" s="483"/>
      <c r="B94" s="487">
        <f>B29</f>
        <v>111</v>
      </c>
      <c r="C94" s="503"/>
      <c r="D94" s="503"/>
      <c r="E94" s="503"/>
      <c r="F94" s="503"/>
      <c r="G94" s="532"/>
      <c r="H94" s="532"/>
      <c r="I94" s="532"/>
      <c r="J94" s="532"/>
      <c r="K94" s="533"/>
      <c r="L94" s="534"/>
      <c r="M94" s="535"/>
      <c r="N94" s="932"/>
      <c r="O94" s="932"/>
      <c r="P94" s="1921"/>
      <c r="Q94" s="453"/>
    </row>
    <row r="95" spans="1:17" ht="15.75" thickBot="1">
      <c r="A95" s="483"/>
      <c r="B95" s="492"/>
      <c r="C95" s="509"/>
      <c r="D95" s="509"/>
      <c r="E95" s="509"/>
      <c r="F95" s="509"/>
      <c r="G95" s="485"/>
      <c r="H95" s="485"/>
      <c r="I95" s="485"/>
      <c r="J95" s="485"/>
      <c r="K95" s="485"/>
      <c r="L95" s="485"/>
      <c r="M95" s="486"/>
      <c r="N95" s="933"/>
      <c r="O95" s="933"/>
      <c r="P95" s="1921"/>
      <c r="Q95" s="453"/>
    </row>
    <row r="96" spans="1:17" ht="15.75" thickTop="1">
      <c r="A96" s="483"/>
      <c r="B96" s="487">
        <f>B30</f>
        <v>111</v>
      </c>
      <c r="C96" s="503"/>
      <c r="D96" s="503"/>
      <c r="E96" s="503"/>
      <c r="F96" s="503"/>
      <c r="G96" s="532"/>
      <c r="H96" s="532"/>
      <c r="I96" s="532"/>
      <c r="J96" s="532"/>
      <c r="K96" s="533"/>
      <c r="L96" s="534"/>
      <c r="M96" s="535"/>
      <c r="N96" s="932"/>
      <c r="O96" s="932"/>
      <c r="P96" s="1921"/>
      <c r="Q96" s="453"/>
    </row>
    <row r="97" spans="1:17" ht="15.75" thickBot="1">
      <c r="A97" s="483"/>
      <c r="B97" s="492"/>
      <c r="C97" s="519"/>
      <c r="D97" s="519"/>
      <c r="E97" s="519"/>
      <c r="F97" s="519"/>
      <c r="G97" s="485"/>
      <c r="H97" s="485"/>
      <c r="I97" s="485"/>
      <c r="J97" s="485"/>
      <c r="K97" s="485"/>
      <c r="L97" s="485"/>
      <c r="M97" s="486"/>
      <c r="N97" s="933"/>
      <c r="O97" s="933"/>
      <c r="P97" s="1921"/>
      <c r="Q97" s="453"/>
    </row>
    <row r="98" spans="1:17" ht="15.75" thickTop="1">
      <c r="A98" s="483"/>
      <c r="B98" s="495">
        <f>B31</f>
        <v>111</v>
      </c>
      <c r="C98" s="536"/>
      <c r="D98" s="536"/>
      <c r="E98" s="536"/>
      <c r="F98" s="536"/>
      <c r="G98" s="536"/>
      <c r="H98" s="536"/>
      <c r="I98" s="536"/>
      <c r="J98" s="536"/>
      <c r="K98" s="537"/>
      <c r="L98" s="538"/>
      <c r="M98" s="539"/>
      <c r="N98" s="932"/>
      <c r="O98" s="932"/>
      <c r="P98" s="1921"/>
      <c r="Q98" s="453"/>
    </row>
    <row r="99" spans="1:17" ht="15.75" thickBot="1">
      <c r="A99" s="1927"/>
      <c r="B99" s="518"/>
      <c r="C99" s="540"/>
      <c r="D99" s="540"/>
      <c r="E99" s="540"/>
      <c r="F99" s="540"/>
      <c r="G99" s="540"/>
      <c r="H99" s="540"/>
      <c r="I99" s="540"/>
      <c r="J99" s="540"/>
      <c r="K99" s="540"/>
      <c r="L99" s="540"/>
      <c r="M99" s="541"/>
      <c r="N99" s="933"/>
      <c r="O99" s="933"/>
      <c r="P99" s="1921"/>
      <c r="Q99" s="453"/>
    </row>
    <row r="100" spans="1:17">
      <c r="A100" s="476" t="s">
        <v>1694</v>
      </c>
      <c r="B100" s="477" t="s">
        <v>1736</v>
      </c>
      <c r="C100" s="479"/>
      <c r="D100" s="479"/>
      <c r="E100" s="479"/>
      <c r="F100" s="479"/>
      <c r="G100" s="479"/>
      <c r="H100" s="479"/>
      <c r="I100" s="479"/>
      <c r="J100" s="479"/>
      <c r="K100" s="480"/>
      <c r="L100" s="481"/>
      <c r="M100" s="482"/>
      <c r="N100" s="932"/>
      <c r="O100" s="932"/>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3"/>
      <c r="O101" s="933"/>
      <c r="P101" s="1921"/>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1"/>
      <c r="O102" s="931"/>
      <c r="P102" s="1921"/>
      <c r="Q102" s="453"/>
    </row>
    <row r="103" spans="1:17" s="422" customFormat="1">
      <c r="A103" s="542"/>
      <c r="B103" s="543"/>
      <c r="C103" s="544"/>
      <c r="D103" s="544"/>
      <c r="E103" s="544"/>
      <c r="F103" s="544"/>
      <c r="G103" s="544"/>
      <c r="H103" s="544"/>
      <c r="I103" s="544"/>
      <c r="J103" s="545"/>
      <c r="K103" s="545"/>
      <c r="L103" s="546"/>
      <c r="M103" s="547"/>
      <c r="N103" s="934"/>
      <c r="O103" s="934"/>
      <c r="P103" s="1922"/>
      <c r="Q103" s="508"/>
    </row>
    <row r="104" spans="1:17" s="422" customFormat="1" ht="15.75" thickBot="1">
      <c r="A104" s="502"/>
      <c r="B104" s="492"/>
      <c r="C104" s="509"/>
      <c r="D104" s="485"/>
      <c r="E104" s="485"/>
      <c r="F104" s="485"/>
      <c r="G104" s="485"/>
      <c r="H104" s="485"/>
      <c r="I104" s="485"/>
      <c r="J104" s="485"/>
      <c r="K104" s="485"/>
      <c r="L104" s="485"/>
      <c r="M104" s="485"/>
      <c r="N104" s="933"/>
      <c r="O104" s="933"/>
      <c r="P104" s="1922"/>
      <c r="Q104" s="508"/>
    </row>
    <row r="105" spans="1:17" ht="15" thickTop="1">
      <c r="A105" s="548"/>
      <c r="B105" s="487" t="s">
        <v>1738</v>
      </c>
      <c r="C105" s="503"/>
      <c r="D105" s="503"/>
      <c r="E105" s="532"/>
      <c r="F105" s="532"/>
      <c r="G105" s="532"/>
      <c r="H105" s="532"/>
      <c r="I105" s="532"/>
      <c r="J105" s="532"/>
      <c r="K105" s="533"/>
      <c r="L105" s="534"/>
      <c r="M105" s="535"/>
      <c r="N105" s="932"/>
      <c r="O105" s="932"/>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3"/>
      <c r="O106" s="933"/>
      <c r="P106" s="1921"/>
      <c r="Q106" s="453"/>
    </row>
    <row r="107" spans="1:17" ht="15" thickTop="1">
      <c r="A107" s="548"/>
      <c r="B107" s="487" t="s">
        <v>1739</v>
      </c>
      <c r="C107" s="532"/>
      <c r="D107" s="532"/>
      <c r="E107" s="532"/>
      <c r="F107" s="532"/>
      <c r="G107" s="532"/>
      <c r="H107" s="532"/>
      <c r="I107" s="532"/>
      <c r="J107" s="532"/>
      <c r="K107" s="533"/>
      <c r="L107" s="534"/>
      <c r="M107" s="535"/>
      <c r="N107" s="932"/>
      <c r="O107" s="932"/>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3"/>
      <c r="O108" s="933"/>
      <c r="P108" s="1921"/>
      <c r="Q108" s="453"/>
    </row>
    <row r="109" spans="1:17" ht="15" thickTop="1">
      <c r="A109" s="548"/>
      <c r="B109" s="487" t="s">
        <v>1740</v>
      </c>
      <c r="C109" s="503"/>
      <c r="D109" s="503"/>
      <c r="E109" s="503"/>
      <c r="F109" s="532"/>
      <c r="G109" s="532"/>
      <c r="H109" s="532"/>
      <c r="I109" s="532"/>
      <c r="J109" s="532"/>
      <c r="K109" s="533"/>
      <c r="L109" s="534"/>
      <c r="M109" s="535"/>
      <c r="N109" s="932"/>
      <c r="O109" s="932"/>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3"/>
      <c r="O110" s="933"/>
      <c r="P110" s="1921"/>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4"/>
      <c r="O111" s="934"/>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4"/>
      <c r="O112" s="934"/>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4"/>
      <c r="O113" s="934"/>
      <c r="P113" s="1922"/>
      <c r="Q113" s="508"/>
    </row>
    <row r="114" spans="1:17" ht="15" thickTop="1">
      <c r="A114" s="548"/>
      <c r="B114" s="487" t="s">
        <v>1741</v>
      </c>
      <c r="C114" s="503"/>
      <c r="D114" s="503"/>
      <c r="E114" s="532"/>
      <c r="F114" s="532"/>
      <c r="G114" s="532"/>
      <c r="H114" s="532"/>
      <c r="I114" s="532"/>
      <c r="J114" s="532"/>
      <c r="K114" s="533"/>
      <c r="L114" s="534"/>
      <c r="M114" s="535"/>
      <c r="N114" s="932"/>
      <c r="O114" s="932"/>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3"/>
      <c r="O115" s="933"/>
      <c r="P115" s="1921"/>
      <c r="Q115" s="453"/>
    </row>
    <row r="116" spans="1:17" ht="15" thickTop="1">
      <c r="A116" s="548"/>
      <c r="B116" s="487" t="s">
        <v>1742</v>
      </c>
      <c r="C116" s="503"/>
      <c r="D116" s="503"/>
      <c r="E116" s="503"/>
      <c r="F116" s="503"/>
      <c r="G116" s="503"/>
      <c r="H116" s="532"/>
      <c r="I116" s="532"/>
      <c r="J116" s="532"/>
      <c r="K116" s="533"/>
      <c r="L116" s="534"/>
      <c r="M116" s="535"/>
      <c r="N116" s="932"/>
      <c r="O116" s="932"/>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3"/>
      <c r="O117" s="933"/>
      <c r="P117" s="1921"/>
      <c r="Q117" s="453"/>
    </row>
    <row r="118" spans="1:17" ht="15" thickTop="1">
      <c r="A118" s="548"/>
      <c r="B118" s="487" t="s">
        <v>1743</v>
      </c>
      <c r="C118" s="532"/>
      <c r="D118" s="532"/>
      <c r="E118" s="532"/>
      <c r="F118" s="532"/>
      <c r="G118" s="532"/>
      <c r="H118" s="532"/>
      <c r="I118" s="532"/>
      <c r="J118" s="532"/>
      <c r="K118" s="533"/>
      <c r="L118" s="534"/>
      <c r="M118" s="535"/>
      <c r="N118" s="932"/>
      <c r="O118" s="932"/>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3"/>
      <c r="O119" s="933"/>
      <c r="P119" s="1921"/>
      <c r="Q119" s="453"/>
    </row>
    <row r="120" spans="1:17" s="422" customFormat="1" ht="28.5" thickTop="1">
      <c r="A120" s="542"/>
      <c r="B120" s="487" t="s">
        <v>1705</v>
      </c>
      <c r="C120" s="503"/>
      <c r="D120" s="503"/>
      <c r="E120" s="503"/>
      <c r="F120" s="503"/>
      <c r="G120" s="503"/>
      <c r="H120" s="503"/>
      <c r="I120" s="503"/>
      <c r="J120" s="503"/>
      <c r="K120" s="503"/>
      <c r="L120" s="529"/>
      <c r="M120" s="530"/>
      <c r="N120" s="934"/>
      <c r="O120" s="934"/>
      <c r="P120" s="1922"/>
      <c r="Q120" s="508"/>
    </row>
    <row r="121" spans="1:17" s="422" customFormat="1" ht="15.75" thickBot="1">
      <c r="A121" s="502"/>
      <c r="B121" s="484"/>
      <c r="C121" s="509"/>
      <c r="D121" s="485"/>
      <c r="E121" s="485"/>
      <c r="F121" s="485"/>
      <c r="G121" s="485"/>
      <c r="H121" s="485"/>
      <c r="I121" s="485"/>
      <c r="J121" s="485"/>
      <c r="K121" s="485"/>
      <c r="L121" s="485"/>
      <c r="M121" s="485"/>
      <c r="N121" s="934"/>
      <c r="O121" s="934"/>
      <c r="P121" s="1922"/>
      <c r="Q121" s="508"/>
    </row>
    <row r="122" spans="1:17" ht="15" thickTop="1">
      <c r="A122" s="548"/>
      <c r="B122" s="487" t="s">
        <v>1744</v>
      </c>
      <c r="C122" s="503"/>
      <c r="D122" s="503"/>
      <c r="E122" s="503"/>
      <c r="F122" s="532"/>
      <c r="G122" s="532"/>
      <c r="H122" s="532"/>
      <c r="I122" s="532"/>
      <c r="J122" s="532"/>
      <c r="K122" s="533"/>
      <c r="L122" s="534"/>
      <c r="M122" s="535"/>
      <c r="N122" s="932"/>
      <c r="O122" s="932"/>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3"/>
      <c r="O123" s="933"/>
      <c r="P123" s="1921"/>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2"/>
      <c r="O124" s="932"/>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3"/>
      <c r="O125" s="933"/>
      <c r="P125" s="1921"/>
      <c r="Q125" s="453"/>
    </row>
    <row r="126" spans="1:17" s="422" customFormat="1" ht="15" thickTop="1">
      <c r="A126" s="542"/>
      <c r="B126" s="487">
        <f>B44</f>
        <v>111</v>
      </c>
      <c r="C126" s="503"/>
      <c r="D126" s="503"/>
      <c r="E126" s="503"/>
      <c r="F126" s="503"/>
      <c r="G126" s="503"/>
      <c r="H126" s="504"/>
      <c r="I126" s="504"/>
      <c r="J126" s="504"/>
      <c r="K126" s="504"/>
      <c r="L126" s="505"/>
      <c r="M126" s="506"/>
      <c r="N126" s="934"/>
      <c r="O126" s="934"/>
      <c r="P126" s="1922"/>
      <c r="Q126" s="508"/>
    </row>
    <row r="127" spans="1:17" s="422" customFormat="1" ht="15.75" thickBot="1">
      <c r="A127" s="502"/>
      <c r="B127" s="492"/>
      <c r="C127" s="509"/>
      <c r="D127" s="485"/>
      <c r="E127" s="485"/>
      <c r="F127" s="485"/>
      <c r="G127" s="509"/>
      <c r="H127" s="511"/>
      <c r="I127" s="511"/>
      <c r="J127" s="511"/>
      <c r="K127" s="511"/>
      <c r="L127" s="511"/>
      <c r="M127" s="512"/>
      <c r="N127" s="934"/>
      <c r="O127" s="934"/>
      <c r="P127" s="1922"/>
      <c r="Q127" s="508"/>
    </row>
    <row r="128" spans="1:17" ht="15" thickTop="1">
      <c r="A128" s="548"/>
      <c r="B128" s="487">
        <f>B45</f>
        <v>111</v>
      </c>
      <c r="C128" s="503"/>
      <c r="D128" s="503"/>
      <c r="E128" s="503"/>
      <c r="F128" s="503"/>
      <c r="G128" s="532"/>
      <c r="H128" s="532"/>
      <c r="I128" s="532"/>
      <c r="J128" s="532"/>
      <c r="K128" s="533"/>
      <c r="L128" s="534"/>
      <c r="M128" s="535"/>
      <c r="N128" s="932"/>
      <c r="O128" s="932"/>
      <c r="P128" s="1921"/>
      <c r="Q128" s="453"/>
    </row>
    <row r="129" spans="1:17" ht="15.75" thickBot="1">
      <c r="A129" s="483"/>
      <c r="B129" s="492"/>
      <c r="C129" s="509"/>
      <c r="D129" s="509"/>
      <c r="E129" s="509"/>
      <c r="F129" s="509"/>
      <c r="G129" s="485"/>
      <c r="H129" s="485"/>
      <c r="I129" s="485"/>
      <c r="J129" s="485"/>
      <c r="K129" s="485"/>
      <c r="L129" s="485"/>
      <c r="M129" s="486"/>
      <c r="N129" s="933"/>
      <c r="O129" s="933"/>
      <c r="P129" s="1921"/>
      <c r="Q129" s="453"/>
    </row>
    <row r="130" spans="1:17" ht="15" thickTop="1">
      <c r="A130" s="548"/>
      <c r="B130" s="495">
        <f>B46</f>
        <v>111</v>
      </c>
      <c r="C130" s="503"/>
      <c r="D130" s="503"/>
      <c r="E130" s="503"/>
      <c r="F130" s="503"/>
      <c r="G130" s="536"/>
      <c r="H130" s="536"/>
      <c r="I130" s="536"/>
      <c r="J130" s="536"/>
      <c r="K130" s="472"/>
      <c r="L130" s="473"/>
      <c r="M130" s="539"/>
      <c r="N130" s="932"/>
      <c r="O130" s="932"/>
      <c r="P130" s="1921"/>
      <c r="Q130" s="453"/>
    </row>
    <row r="131" spans="1:17" ht="15.75" thickBot="1">
      <c r="A131" s="1927"/>
      <c r="B131" s="518"/>
      <c r="C131" s="519"/>
      <c r="D131" s="519"/>
      <c r="E131" s="519"/>
      <c r="F131" s="519"/>
      <c r="G131" s="540"/>
      <c r="H131" s="540"/>
      <c r="I131" s="540"/>
      <c r="J131" s="540"/>
      <c r="K131" s="540"/>
      <c r="L131" s="540"/>
      <c r="M131" s="541"/>
      <c r="N131" s="933"/>
      <c r="O131" s="933"/>
      <c r="P131" s="1921"/>
      <c r="Q131" s="453"/>
    </row>
    <row r="136" spans="1:17" ht="15" thickBot="1">
      <c r="B136" s="1928" t="s">
        <v>1746</v>
      </c>
    </row>
    <row r="137" spans="1:17" ht="15">
      <c r="B137" s="1929" t="s">
        <v>1747</v>
      </c>
      <c r="C137" s="1930"/>
      <c r="D137" s="1930"/>
      <c r="E137" s="1930"/>
      <c r="F137" s="1930"/>
      <c r="G137" s="1931"/>
      <c r="H137" s="1932"/>
      <c r="I137" s="1933" t="s">
        <v>1748</v>
      </c>
      <c r="J137" s="1930"/>
      <c r="K137" s="1934"/>
    </row>
    <row r="138" spans="1:17" ht="15">
      <c r="B138" s="1935"/>
      <c r="C138" s="137" t="s">
        <v>1749</v>
      </c>
      <c r="D138" s="137" t="s">
        <v>1750</v>
      </c>
      <c r="E138" s="1936" t="s">
        <v>1751</v>
      </c>
      <c r="F138" s="1937" t="s">
        <v>1752</v>
      </c>
      <c r="G138" s="137" t="s">
        <v>1750</v>
      </c>
      <c r="H138" s="138" t="s">
        <v>1751</v>
      </c>
      <c r="I138" s="1938"/>
      <c r="J138" s="137" t="s">
        <v>1753</v>
      </c>
      <c r="K138" s="138" t="s">
        <v>1754</v>
      </c>
    </row>
    <row r="139" spans="1:17" ht="15">
      <c r="B139" s="866">
        <v>6</v>
      </c>
      <c r="C139" s="867">
        <v>96</v>
      </c>
      <c r="D139" s="1939" t="s">
        <v>1755</v>
      </c>
      <c r="E139" s="868">
        <v>100</v>
      </c>
      <c r="F139" s="869">
        <v>102.5</v>
      </c>
      <c r="G139" s="1939" t="s">
        <v>1755</v>
      </c>
      <c r="H139" s="870">
        <v>105</v>
      </c>
      <c r="I139" s="1940" t="s">
        <v>1756</v>
      </c>
      <c r="J139" s="867">
        <v>20</v>
      </c>
      <c r="K139" s="871">
        <f>C145/(J139-2)</f>
        <v>4.0555555555555553E-3</v>
      </c>
    </row>
    <row r="140" spans="1:17" ht="15">
      <c r="B140" s="872">
        <v>5</v>
      </c>
      <c r="C140" s="873">
        <v>100</v>
      </c>
      <c r="D140" s="873"/>
      <c r="E140" s="874"/>
      <c r="F140" s="875">
        <v>102</v>
      </c>
      <c r="G140" s="873"/>
      <c r="H140" s="876"/>
      <c r="I140" s="1941" t="s">
        <v>1757</v>
      </c>
      <c r="J140" s="271">
        <f>ROUNDUP((J139-1)/2,0)</f>
        <v>10</v>
      </c>
      <c r="K140" s="877">
        <v>100</v>
      </c>
    </row>
    <row r="141" spans="1:17" ht="15">
      <c r="B141" s="872">
        <v>4</v>
      </c>
      <c r="C141" s="873">
        <v>102</v>
      </c>
      <c r="D141" s="873"/>
      <c r="E141" s="874"/>
      <c r="F141" s="875">
        <v>101.5</v>
      </c>
      <c r="G141" s="873"/>
      <c r="H141" s="876"/>
      <c r="I141" s="1941" t="s">
        <v>1758</v>
      </c>
      <c r="J141" s="271">
        <v>1</v>
      </c>
      <c r="K141" s="878">
        <f>ROUND(100+(J141-J140)*K139*100,1)</f>
        <v>96.4</v>
      </c>
    </row>
    <row r="142" spans="1:17" ht="15">
      <c r="B142" s="872">
        <v>3</v>
      </c>
      <c r="C142" s="873">
        <v>103</v>
      </c>
      <c r="D142" s="873"/>
      <c r="E142" s="874"/>
      <c r="F142" s="875">
        <v>101</v>
      </c>
      <c r="G142" s="873"/>
      <c r="H142" s="876"/>
      <c r="I142" s="1941" t="s">
        <v>1759</v>
      </c>
      <c r="J142" s="271">
        <f>J139</f>
        <v>20</v>
      </c>
      <c r="K142" s="879">
        <v>95</v>
      </c>
    </row>
    <row r="143" spans="1:17" ht="15">
      <c r="B143" s="872">
        <v>2</v>
      </c>
      <c r="C143" s="873">
        <v>100</v>
      </c>
      <c r="D143" s="873"/>
      <c r="E143" s="874"/>
      <c r="F143" s="875">
        <v>100.5</v>
      </c>
      <c r="G143" s="873"/>
      <c r="H143" s="876"/>
      <c r="I143" s="1941" t="s">
        <v>1760</v>
      </c>
      <c r="J143" s="873">
        <v>15</v>
      </c>
      <c r="K143" s="878">
        <f>ROUND(100+(J143-J140)*K139*100,1)</f>
        <v>102</v>
      </c>
    </row>
    <row r="144" spans="1:17" ht="15">
      <c r="B144" s="872">
        <v>1</v>
      </c>
      <c r="C144" s="873">
        <v>98</v>
      </c>
      <c r="D144" s="1942" t="s">
        <v>1761</v>
      </c>
      <c r="E144" s="874">
        <v>102</v>
      </c>
      <c r="F144" s="880">
        <v>100</v>
      </c>
      <c r="G144" s="1942" t="s">
        <v>1761</v>
      </c>
      <c r="H144" s="876">
        <v>105</v>
      </c>
      <c r="I144" s="1941" t="s">
        <v>1760</v>
      </c>
      <c r="J144" s="873">
        <v>18</v>
      </c>
      <c r="K144" s="878">
        <f>ROUND(100+(J144-J140)*K139*100,1)</f>
        <v>103.2</v>
      </c>
    </row>
    <row r="145" spans="2:11" ht="15.75" thickBot="1">
      <c r="B145" s="1943" t="s">
        <v>1762</v>
      </c>
      <c r="C145" s="881">
        <f>ROUND(MAX(C139:C144)/MIN(C139:C144)-1,3)</f>
        <v>7.2999999999999995E-2</v>
      </c>
      <c r="D145" s="882"/>
      <c r="E145" s="882"/>
      <c r="F145" s="1944" t="s">
        <v>1763</v>
      </c>
      <c r="G145" s="1945"/>
      <c r="H145" s="1946"/>
      <c r="I145" s="1947" t="s">
        <v>1760</v>
      </c>
      <c r="J145" s="883">
        <v>8</v>
      </c>
      <c r="K145" s="884">
        <f>ROUND(100+(J145-J140)*K139*100,1)</f>
        <v>99.2</v>
      </c>
    </row>
    <row r="147" spans="2:11">
      <c r="B147" s="1928" t="s">
        <v>1764</v>
      </c>
    </row>
    <row r="148" spans="2:11">
      <c r="B148" s="1928"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91" priority="19" stopIfTrue="1" operator="containsText" text="超过">
      <formula>NOT(ISERROR(SEARCH("超过",F52)))</formula>
    </cfRule>
  </conditionalFormatting>
  <conditionalFormatting sqref="J54">
    <cfRule type="containsText" dxfId="190" priority="18" stopIfTrue="1" operator="containsText" text="超过">
      <formula>NOT(ISERROR(SEARCH("超过",J54)))</formula>
    </cfRule>
  </conditionalFormatting>
  <conditionalFormatting sqref="H54">
    <cfRule type="containsText" dxfId="189" priority="17" stopIfTrue="1" operator="containsText" text="超过">
      <formula>NOT(ISERROR(SEARCH("超过",H54)))</formula>
    </cfRule>
  </conditionalFormatting>
  <conditionalFormatting sqref="F54">
    <cfRule type="containsText" dxfId="188" priority="16" stopIfTrue="1" operator="containsText" text="超过">
      <formula>NOT(ISERROR(SEARCH("超过",F54)))</formula>
    </cfRule>
  </conditionalFormatting>
  <conditionalFormatting sqref="F53 H53 J53">
    <cfRule type="containsText" dxfId="187" priority="15" stopIfTrue="1" operator="containsText" text="超过">
      <formula>NOT(ISERROR(SEARCH("超过",F53)))</formula>
    </cfRule>
  </conditionalFormatting>
  <conditionalFormatting sqref="E52">
    <cfRule type="expression" dxfId="186" priority="14" stopIfTrue="1">
      <formula>$F$52="超过30%"</formula>
    </cfRule>
  </conditionalFormatting>
  <conditionalFormatting sqref="G54">
    <cfRule type="expression" dxfId="185" priority="12" stopIfTrue="1">
      <formula>$H$54="超过30%"</formula>
    </cfRule>
  </conditionalFormatting>
  <conditionalFormatting sqref="E53">
    <cfRule type="expression" dxfId="184" priority="11" stopIfTrue="1">
      <formula>$F$53="超过20%"</formula>
    </cfRule>
  </conditionalFormatting>
  <conditionalFormatting sqref="E54">
    <cfRule type="expression" dxfId="183" priority="10" stopIfTrue="1">
      <formula>$F$54="超过30%"</formula>
    </cfRule>
  </conditionalFormatting>
  <conditionalFormatting sqref="G52">
    <cfRule type="expression" dxfId="182" priority="9" stopIfTrue="1">
      <formula>$H$52="超过30%"</formula>
    </cfRule>
  </conditionalFormatting>
  <conditionalFormatting sqref="G53">
    <cfRule type="expression" dxfId="181" priority="8" stopIfTrue="1">
      <formula>$H$53="超过20%"</formula>
    </cfRule>
  </conditionalFormatting>
  <conditionalFormatting sqref="I52">
    <cfRule type="expression" dxfId="180" priority="7" stopIfTrue="1">
      <formula>$J$52="超过30%"</formula>
    </cfRule>
  </conditionalFormatting>
  <conditionalFormatting sqref="I53">
    <cfRule type="expression" dxfId="179" priority="6" stopIfTrue="1">
      <formula>$J$53="超过20%"</formula>
    </cfRule>
  </conditionalFormatting>
  <conditionalFormatting sqref="I54">
    <cfRule type="expression" dxfId="178" priority="5" stopIfTrue="1">
      <formula>$J$54="超过30%"</formula>
    </cfRule>
  </conditionalFormatting>
  <conditionalFormatting sqref="F48">
    <cfRule type="expression" dxfId="177" priority="4">
      <formula>$D$48="简单平均"</formula>
    </cfRule>
  </conditionalFormatting>
  <conditionalFormatting sqref="H48">
    <cfRule type="expression" dxfId="176" priority="3">
      <formula>$D$48="简单平均"</formula>
    </cfRule>
  </conditionalFormatting>
  <conditionalFormatting sqref="J48">
    <cfRule type="expression" dxfId="175" priority="2">
      <formula>$D$48="简单平均"</formula>
    </cfRule>
  </conditionalFormatting>
  <conditionalFormatting sqref="F7:F46 H7:H46 J7:J46">
    <cfRule type="cellIs" dxfId="17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956" t="s">
        <v>1810</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IF(E1="项目模式",IF(C2="——",ROUND(C50*D3/10000,0),ROUND(C50*D3/10000,0)-D2),IF(E1="单套模式",IF(C2="——",ROUND(C50*D3/10000,4),ROUND(C50*D3/10000,4)-D2)))</f>
        <v>0</v>
      </c>
      <c r="C2" s="1880"/>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f>IF(C2="——",C50,ROUND(B2*10000/D3,0))</f>
        <v>0</v>
      </c>
      <c r="C3" s="354" t="s">
        <v>1768</v>
      </c>
      <c r="D3" s="353">
        <f>IF(D1="",'数据-汇总表'!E3,SUMIF('数据-汇总表'!$C19:$C33,D1,'数据-汇总表'!$E19:$E33))</f>
        <v>557.98</v>
      </c>
      <c r="E3" s="1953"/>
      <c r="F3" s="908"/>
      <c r="G3" s="907"/>
      <c r="H3" s="907"/>
      <c r="I3" s="907"/>
      <c r="J3" s="907"/>
      <c r="K3" s="909"/>
      <c r="L3" s="2733"/>
      <c r="M3" s="2734"/>
      <c r="N3" s="2734"/>
      <c r="O3" s="2734"/>
      <c r="P3" s="698"/>
      <c r="Q3" s="698"/>
      <c r="R3" s="698"/>
      <c r="S3" s="698"/>
      <c r="T3" s="698"/>
      <c r="U3" s="698"/>
      <c r="V3" s="698"/>
      <c r="W3" s="698"/>
      <c r="X3" s="698"/>
      <c r="Y3" s="698"/>
      <c r="Z3" s="698"/>
      <c r="AA3" s="698"/>
      <c r="AB3" s="698"/>
      <c r="AC3" s="699"/>
    </row>
    <row r="4" spans="1:29" ht="15">
      <c r="A4" s="355" t="s">
        <v>1769</v>
      </c>
      <c r="B4" s="356"/>
      <c r="C4" s="3728" t="s">
        <v>1770</v>
      </c>
      <c r="D4" s="3729"/>
      <c r="E4" s="3730" t="s">
        <v>1771</v>
      </c>
      <c r="F4" s="3731"/>
      <c r="G4" s="3728" t="s">
        <v>1772</v>
      </c>
      <c r="H4" s="3729"/>
      <c r="I4" s="3728" t="s">
        <v>1773</v>
      </c>
      <c r="J4" s="3729"/>
      <c r="K4" s="559" t="s">
        <v>1774</v>
      </c>
      <c r="L4" s="2714"/>
      <c r="M4" s="2715"/>
      <c r="N4" s="2715"/>
      <c r="O4" s="2715"/>
      <c r="P4" s="3762" t="s">
        <v>1775</v>
      </c>
      <c r="Q4" s="3763"/>
      <c r="R4" s="3757" t="s">
        <v>1771</v>
      </c>
      <c r="S4" s="3758"/>
      <c r="T4" s="3757" t="s">
        <v>1772</v>
      </c>
      <c r="U4" s="3758"/>
      <c r="V4" s="3766" t="s">
        <v>1773</v>
      </c>
      <c r="W4" s="3766"/>
      <c r="X4" s="1957"/>
      <c r="Y4" s="3757" t="s">
        <v>1775</v>
      </c>
      <c r="Z4" s="3758"/>
      <c r="AA4" s="3756" t="s">
        <v>1771</v>
      </c>
      <c r="AB4" s="3756" t="s">
        <v>1772</v>
      </c>
      <c r="AC4" s="3759" t="s">
        <v>1773</v>
      </c>
    </row>
    <row r="5" spans="1:29" ht="15">
      <c r="A5" s="358"/>
      <c r="B5" s="359"/>
      <c r="C5" s="3721" t="s">
        <v>1673</v>
      </c>
      <c r="D5" s="3722"/>
      <c r="E5" s="3719" t="s">
        <v>1674</v>
      </c>
      <c r="F5" s="3720"/>
      <c r="G5" s="3721" t="s">
        <v>1675</v>
      </c>
      <c r="H5" s="3722"/>
      <c r="I5" s="3721" t="s">
        <v>1676</v>
      </c>
      <c r="J5" s="3722"/>
      <c r="K5" s="559"/>
      <c r="L5" s="2714"/>
      <c r="M5" s="2715"/>
      <c r="N5" s="2715"/>
      <c r="O5" s="2715"/>
      <c r="P5" s="3764"/>
      <c r="Q5" s="3735"/>
      <c r="R5" s="3717"/>
      <c r="S5" s="3718"/>
      <c r="T5" s="3717"/>
      <c r="U5" s="3718"/>
      <c r="V5" s="3740"/>
      <c r="W5" s="3740"/>
      <c r="X5" s="1354"/>
      <c r="Y5" s="3717"/>
      <c r="Z5" s="3718"/>
      <c r="AA5" s="3711"/>
      <c r="AB5" s="3711"/>
      <c r="AC5" s="3760"/>
    </row>
    <row r="6" spans="1:29" ht="15.75" thickBot="1">
      <c r="A6" s="360"/>
      <c r="B6" s="361"/>
      <c r="C6" s="3723" t="s">
        <v>1677</v>
      </c>
      <c r="D6" s="3724"/>
      <c r="E6" s="3725" t="s">
        <v>1677</v>
      </c>
      <c r="F6" s="3726"/>
      <c r="G6" s="3723" t="s">
        <v>1677</v>
      </c>
      <c r="H6" s="3724"/>
      <c r="I6" s="3723" t="s">
        <v>1677</v>
      </c>
      <c r="J6" s="3724"/>
      <c r="K6" s="559" t="s">
        <v>1678</v>
      </c>
      <c r="L6" s="2714"/>
      <c r="M6" s="2715"/>
      <c r="N6" s="2715"/>
      <c r="O6" s="2715"/>
      <c r="P6" s="3765"/>
      <c r="Q6" s="3737"/>
      <c r="R6" s="3717"/>
      <c r="S6" s="3718"/>
      <c r="T6" s="3738"/>
      <c r="U6" s="3739"/>
      <c r="V6" s="3740"/>
      <c r="W6" s="3740"/>
      <c r="X6" s="1354"/>
      <c r="Y6" s="3738"/>
      <c r="Z6" s="3739"/>
      <c r="AA6" s="3712"/>
      <c r="AB6" s="3712"/>
      <c r="AC6" s="3761"/>
    </row>
    <row r="7" spans="1:29" s="108" customFormat="1" ht="15.75" thickBot="1">
      <c r="A7" s="362" t="s">
        <v>1679</v>
      </c>
      <c r="B7" s="363"/>
      <c r="C7" s="364">
        <f>'数据-取费表'!B2</f>
        <v>45805</v>
      </c>
      <c r="D7" s="365">
        <v>100</v>
      </c>
      <c r="E7" s="366"/>
      <c r="F7" s="367">
        <f>SUMIF(59:59,YEAR(E7)&amp;"-"&amp;MONTH(E7),60:60)</f>
        <v>0</v>
      </c>
      <c r="G7" s="366"/>
      <c r="H7" s="365">
        <f>SUMIF(59:59,YEAR(G7)&amp;"-"&amp;MONTH(G7),60:60)</f>
        <v>0</v>
      </c>
      <c r="I7" s="366"/>
      <c r="J7" s="365">
        <f>SUMIF(59:59,YEAR(I7)&amp;"-"&amp;MONTH(I7),60:60)</f>
        <v>0</v>
      </c>
      <c r="K7" s="560"/>
      <c r="L7" s="2716"/>
      <c r="M7" s="2717"/>
      <c r="N7" s="2717"/>
      <c r="O7" s="2717"/>
      <c r="P7" s="3767" t="s">
        <v>1680</v>
      </c>
      <c r="Q7" s="3741"/>
      <c r="R7" s="700" t="s">
        <v>14</v>
      </c>
      <c r="S7" s="701">
        <f t="shared" ref="S7:S15" si="0">F7</f>
        <v>0</v>
      </c>
      <c r="T7" s="700" t="s">
        <v>14</v>
      </c>
      <c r="U7" s="701">
        <f t="shared" ref="U7:U15" si="1">H7</f>
        <v>0</v>
      </c>
      <c r="V7" s="700" t="s">
        <v>14</v>
      </c>
      <c r="W7" s="701">
        <f t="shared" ref="W7:W15" si="2">J7</f>
        <v>0</v>
      </c>
      <c r="X7" s="702"/>
      <c r="Y7" s="3713" t="s">
        <v>1680</v>
      </c>
      <c r="Z7" s="3714"/>
      <c r="AA7" s="703" t="e">
        <f>D7/F7</f>
        <v>#DIV/0!</v>
      </c>
      <c r="AB7" s="703" t="e">
        <f>D7/H7</f>
        <v>#DIV/0!</v>
      </c>
      <c r="AC7" s="1958"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6"/>
      <c r="M8" s="2717"/>
      <c r="N8" s="2717"/>
      <c r="O8" s="2717"/>
      <c r="P8" s="3767" t="s">
        <v>1683</v>
      </c>
      <c r="Q8" s="3714"/>
      <c r="R8" s="700" t="s">
        <v>14</v>
      </c>
      <c r="S8" s="701">
        <f t="shared" si="0"/>
        <v>100</v>
      </c>
      <c r="T8" s="700" t="s">
        <v>14</v>
      </c>
      <c r="U8" s="701">
        <f t="shared" si="1"/>
        <v>100</v>
      </c>
      <c r="V8" s="700" t="s">
        <v>14</v>
      </c>
      <c r="W8" s="701">
        <f t="shared" si="2"/>
        <v>100</v>
      </c>
      <c r="X8" s="702"/>
      <c r="Y8" s="3713" t="s">
        <v>1683</v>
      </c>
      <c r="Z8" s="3714"/>
      <c r="AA8" s="703">
        <f t="shared" ref="AA8:AA47" si="3">D8/F8</f>
        <v>1</v>
      </c>
      <c r="AB8" s="703">
        <f t="shared" ref="AB8:AB47" si="4">D8/H8</f>
        <v>1</v>
      </c>
      <c r="AC8" s="1958">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6"/>
      <c r="M9" s="2717"/>
      <c r="N9" s="2717"/>
      <c r="O9" s="2717"/>
      <c r="P9" s="3727" t="s">
        <v>1686</v>
      </c>
      <c r="Q9" s="1342" t="str">
        <f t="shared" ref="Q9:Q15" si="6">B9</f>
        <v>用途</v>
      </c>
      <c r="R9" s="700" t="s">
        <v>14</v>
      </c>
      <c r="S9" s="701">
        <f t="shared" si="0"/>
        <v>100</v>
      </c>
      <c r="T9" s="700" t="s">
        <v>14</v>
      </c>
      <c r="U9" s="701">
        <f t="shared" si="1"/>
        <v>100</v>
      </c>
      <c r="V9" s="700" t="s">
        <v>14</v>
      </c>
      <c r="W9" s="701">
        <f t="shared" si="2"/>
        <v>100</v>
      </c>
      <c r="X9" s="702"/>
      <c r="Y9" s="3657" t="s">
        <v>1687</v>
      </c>
      <c r="Z9" s="52" t="str">
        <f t="shared" ref="Z9:Z15" si="7">Q9</f>
        <v>用途</v>
      </c>
      <c r="AA9" s="703">
        <f t="shared" si="3"/>
        <v>1</v>
      </c>
      <c r="AB9" s="703">
        <f t="shared" si="4"/>
        <v>1</v>
      </c>
      <c r="AC9" s="1958">
        <f t="shared" si="5"/>
        <v>1</v>
      </c>
    </row>
    <row r="10" spans="1:29" s="378" customFormat="1" ht="27">
      <c r="A10" s="374"/>
      <c r="B10" s="375" t="s">
        <v>1688</v>
      </c>
      <c r="C10" s="3433"/>
      <c r="D10" s="127">
        <v>100</v>
      </c>
      <c r="E10" s="3433"/>
      <c r="F10" s="127">
        <f>SUMIF(66:66,E10,67:67)-SUMIF(66:66,C10,67:67)+100</f>
        <v>100</v>
      </c>
      <c r="G10" s="3434"/>
      <c r="H10" s="127">
        <f>SUMIF(66:66,G10,67:67)-SUMIF(66:66,C10,67:67)+100</f>
        <v>100</v>
      </c>
      <c r="I10" s="3433"/>
      <c r="J10" s="127">
        <f>SUMIF(66:66,I10,67:67)-SUMIF(66:66,C10,67:67)+100</f>
        <v>100</v>
      </c>
      <c r="K10" s="560"/>
      <c r="L10" s="2718"/>
      <c r="M10" s="2719"/>
      <c r="N10" s="2719"/>
      <c r="O10" s="2719"/>
      <c r="P10" s="3727"/>
      <c r="Q10" s="1342" t="str">
        <f t="shared" si="6"/>
        <v>土地使用年限（年）</v>
      </c>
      <c r="R10" s="700" t="s">
        <v>14</v>
      </c>
      <c r="S10" s="701">
        <f t="shared" si="0"/>
        <v>100</v>
      </c>
      <c r="T10" s="700" t="s">
        <v>14</v>
      </c>
      <c r="U10" s="701">
        <f t="shared" si="1"/>
        <v>100</v>
      </c>
      <c r="V10" s="700" t="s">
        <v>14</v>
      </c>
      <c r="W10" s="701">
        <f t="shared" si="2"/>
        <v>100</v>
      </c>
      <c r="X10" s="702"/>
      <c r="Y10" s="3657"/>
      <c r="Z10" s="52" t="str">
        <f t="shared" si="7"/>
        <v>土地使用年限（年）</v>
      </c>
      <c r="AA10" s="703">
        <f t="shared" si="3"/>
        <v>1</v>
      </c>
      <c r="AB10" s="703">
        <f t="shared" si="4"/>
        <v>1</v>
      </c>
      <c r="AC10" s="1958">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727"/>
      <c r="Q11" s="1342" t="str">
        <f t="shared" si="6"/>
        <v>容积率</v>
      </c>
      <c r="R11" s="700" t="s">
        <v>14</v>
      </c>
      <c r="S11" s="701">
        <f t="shared" si="0"/>
        <v>100</v>
      </c>
      <c r="T11" s="700" t="s">
        <v>14</v>
      </c>
      <c r="U11" s="701">
        <f t="shared" si="1"/>
        <v>100</v>
      </c>
      <c r="V11" s="700" t="s">
        <v>14</v>
      </c>
      <c r="W11" s="701">
        <f t="shared" si="2"/>
        <v>100</v>
      </c>
      <c r="X11" s="702"/>
      <c r="Y11" s="3657"/>
      <c r="Z11" s="52" t="str">
        <f t="shared" si="7"/>
        <v>容积率</v>
      </c>
      <c r="AA11" s="703">
        <f t="shared" si="3"/>
        <v>1</v>
      </c>
      <c r="AB11" s="703">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6"/>
      <c r="M12" s="2717"/>
      <c r="N12" s="2717"/>
      <c r="O12" s="2717"/>
      <c r="P12" s="3727"/>
      <c r="Q12" s="1342">
        <f t="shared" si="6"/>
        <v>111</v>
      </c>
      <c r="R12" s="700" t="s">
        <v>14</v>
      </c>
      <c r="S12" s="701">
        <f t="shared" si="0"/>
        <v>100</v>
      </c>
      <c r="T12" s="700" t="s">
        <v>14</v>
      </c>
      <c r="U12" s="701">
        <f t="shared" si="1"/>
        <v>100</v>
      </c>
      <c r="V12" s="700" t="s">
        <v>14</v>
      </c>
      <c r="W12" s="701">
        <f t="shared" si="2"/>
        <v>100</v>
      </c>
      <c r="X12" s="702"/>
      <c r="Y12" s="3657"/>
      <c r="Z12" s="52">
        <f t="shared" si="7"/>
        <v>111</v>
      </c>
      <c r="AA12" s="703">
        <f>D12/F12</f>
        <v>1</v>
      </c>
      <c r="AB12" s="703">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21"/>
      <c r="M13" s="2715"/>
      <c r="N13" s="2715"/>
      <c r="O13" s="2715"/>
      <c r="P13" s="3727"/>
      <c r="Q13" s="1342">
        <f t="shared" si="6"/>
        <v>111</v>
      </c>
      <c r="R13" s="700" t="s">
        <v>14</v>
      </c>
      <c r="S13" s="701">
        <f t="shared" si="0"/>
        <v>100</v>
      </c>
      <c r="T13" s="700" t="s">
        <v>14</v>
      </c>
      <c r="U13" s="701">
        <f t="shared" si="1"/>
        <v>100</v>
      </c>
      <c r="V13" s="700" t="s">
        <v>14</v>
      </c>
      <c r="W13" s="701">
        <f t="shared" si="2"/>
        <v>100</v>
      </c>
      <c r="X13" s="702"/>
      <c r="Y13" s="3657"/>
      <c r="Z13" s="52">
        <f t="shared" si="7"/>
        <v>111</v>
      </c>
      <c r="AA13" s="703">
        <f t="shared" si="3"/>
        <v>1</v>
      </c>
      <c r="AB13" s="703">
        <f t="shared" si="4"/>
        <v>1</v>
      </c>
      <c r="AC13" s="1958">
        <f t="shared" si="5"/>
        <v>1</v>
      </c>
    </row>
    <row r="14" spans="1:29" ht="15.75" thickBot="1">
      <c r="A14" s="387"/>
      <c r="B14" s="1894">
        <v>111</v>
      </c>
      <c r="C14" s="388"/>
      <c r="D14" s="389">
        <v>100</v>
      </c>
      <c r="E14" s="575"/>
      <c r="F14" s="389">
        <f>SUMIF(75:75,E14,76:76)-SUMIF(75:75,C14,76:76)+100</f>
        <v>100</v>
      </c>
      <c r="G14" s="1959"/>
      <c r="H14" s="389">
        <f>SUMIF(75:75,G14,76:76)-SUMIF(75:75,C14,76:76)+100</f>
        <v>100</v>
      </c>
      <c r="I14" s="383"/>
      <c r="J14" s="389">
        <f>SUMIF(75:75,I14,76:76)-SUMIF(75:75,C14,76:76)+100</f>
        <v>100</v>
      </c>
      <c r="K14" s="562"/>
      <c r="L14" s="2721"/>
      <c r="M14" s="2715"/>
      <c r="N14" s="2715"/>
      <c r="O14" s="2715"/>
      <c r="P14" s="3727"/>
      <c r="Q14" s="1342">
        <f t="shared" si="6"/>
        <v>111</v>
      </c>
      <c r="R14" s="700" t="s">
        <v>14</v>
      </c>
      <c r="S14" s="701">
        <f t="shared" si="0"/>
        <v>100</v>
      </c>
      <c r="T14" s="700" t="s">
        <v>14</v>
      </c>
      <c r="U14" s="701">
        <f t="shared" si="1"/>
        <v>100</v>
      </c>
      <c r="V14" s="700" t="s">
        <v>14</v>
      </c>
      <c r="W14" s="701">
        <f t="shared" si="2"/>
        <v>100</v>
      </c>
      <c r="X14" s="702"/>
      <c r="Y14" s="3657"/>
      <c r="Z14" s="52">
        <f t="shared" si="7"/>
        <v>111</v>
      </c>
      <c r="AA14" s="703">
        <f t="shared" si="3"/>
        <v>1</v>
      </c>
      <c r="AB14" s="703">
        <f t="shared" si="4"/>
        <v>1</v>
      </c>
      <c r="AC14" s="1958">
        <f t="shared" si="5"/>
        <v>1</v>
      </c>
    </row>
    <row r="15" spans="1:29" ht="71.25">
      <c r="A15" s="391" t="s">
        <v>1690</v>
      </c>
      <c r="B15" s="576" t="s">
        <v>1811</v>
      </c>
      <c r="C15" s="1960"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1"/>
      <c r="M15" s="2715"/>
      <c r="N15" s="2715"/>
      <c r="O15" s="2715"/>
      <c r="P15" s="3754" t="s">
        <v>1691</v>
      </c>
      <c r="Q15" s="1351" t="str">
        <f t="shared" si="6"/>
        <v>办公集聚程度</v>
      </c>
      <c r="R15" s="704" t="s">
        <v>14</v>
      </c>
      <c r="S15" s="705">
        <f t="shared" si="0"/>
        <v>100</v>
      </c>
      <c r="T15" s="704" t="s">
        <v>14</v>
      </c>
      <c r="U15" s="705">
        <f t="shared" si="1"/>
        <v>100</v>
      </c>
      <c r="V15" s="704" t="s">
        <v>14</v>
      </c>
      <c r="W15" s="705">
        <f t="shared" si="2"/>
        <v>100</v>
      </c>
      <c r="X15" s="1354"/>
      <c r="Y15" s="3747" t="s">
        <v>1691</v>
      </c>
      <c r="Z15" s="1355" t="str">
        <f t="shared" si="7"/>
        <v>办公集聚程度</v>
      </c>
      <c r="AA15" s="1352">
        <f t="shared" si="3"/>
        <v>1</v>
      </c>
      <c r="AB15" s="1352">
        <f t="shared" si="4"/>
        <v>1</v>
      </c>
      <c r="AC15" s="1961">
        <f t="shared" si="5"/>
        <v>1</v>
      </c>
    </row>
    <row r="16" spans="1:29" ht="15">
      <c r="A16" s="379"/>
      <c r="B16" s="577"/>
      <c r="C16" s="1903"/>
      <c r="D16" s="399"/>
      <c r="E16" s="398"/>
      <c r="F16" s="399"/>
      <c r="G16" s="1903"/>
      <c r="H16" s="401"/>
      <c r="I16" s="398"/>
      <c r="J16" s="399"/>
      <c r="K16" s="564"/>
      <c r="L16" s="2721"/>
      <c r="M16" s="2715"/>
      <c r="N16" s="2715"/>
      <c r="O16" s="2715"/>
      <c r="P16" s="3755"/>
      <c r="Q16" s="1351"/>
      <c r="R16" s="704"/>
      <c r="S16" s="705"/>
      <c r="T16" s="704"/>
      <c r="U16" s="705"/>
      <c r="V16" s="704"/>
      <c r="W16" s="705"/>
      <c r="X16" s="1354"/>
      <c r="Y16" s="3748"/>
      <c r="Z16" s="1355"/>
      <c r="AA16" s="1352">
        <v>1</v>
      </c>
      <c r="AB16" s="1352">
        <v>1</v>
      </c>
      <c r="AC16" s="1961">
        <v>1</v>
      </c>
    </row>
    <row r="17" spans="1:29" ht="71.25">
      <c r="A17" s="379"/>
      <c r="B17" s="578" t="s">
        <v>1259</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1"/>
      <c r="M17" s="2715"/>
      <c r="N17" s="2715"/>
      <c r="O17" s="2715"/>
      <c r="P17" s="3755"/>
      <c r="Q17" s="1351" t="str">
        <f>B17</f>
        <v>交通便捷度</v>
      </c>
      <c r="R17" s="704" t="s">
        <v>14</v>
      </c>
      <c r="S17" s="705">
        <f>F17</f>
        <v>100</v>
      </c>
      <c r="T17" s="704" t="s">
        <v>14</v>
      </c>
      <c r="U17" s="705">
        <f>H17</f>
        <v>100</v>
      </c>
      <c r="V17" s="704" t="s">
        <v>14</v>
      </c>
      <c r="W17" s="705">
        <f>J17</f>
        <v>100</v>
      </c>
      <c r="X17" s="1354"/>
      <c r="Y17" s="3748"/>
      <c r="Z17" s="1355" t="str">
        <f>Q17</f>
        <v>交通便捷度</v>
      </c>
      <c r="AA17" s="1352">
        <f t="shared" si="3"/>
        <v>1</v>
      </c>
      <c r="AB17" s="1352">
        <f t="shared" si="4"/>
        <v>1</v>
      </c>
      <c r="AC17" s="1961">
        <f t="shared" si="5"/>
        <v>1</v>
      </c>
    </row>
    <row r="18" spans="1:29" ht="15">
      <c r="A18" s="379"/>
      <c r="B18" s="579"/>
      <c r="C18" s="1963"/>
      <c r="D18" s="401"/>
      <c r="E18" s="1901"/>
      <c r="F18" s="401"/>
      <c r="G18" s="1902"/>
      <c r="H18" s="399"/>
      <c r="I18" s="1902"/>
      <c r="J18" s="399"/>
      <c r="K18" s="564"/>
      <c r="L18" s="2721"/>
      <c r="M18" s="2715"/>
      <c r="N18" s="2715"/>
      <c r="O18" s="2715"/>
      <c r="P18" s="3755"/>
      <c r="Q18" s="1351"/>
      <c r="R18" s="704"/>
      <c r="S18" s="705"/>
      <c r="T18" s="704"/>
      <c r="U18" s="705"/>
      <c r="V18" s="704"/>
      <c r="W18" s="705"/>
      <c r="X18" s="1354"/>
      <c r="Y18" s="3748"/>
      <c r="Z18" s="1355"/>
      <c r="AA18" s="1352">
        <v>1</v>
      </c>
      <c r="AB18" s="1352">
        <v>1</v>
      </c>
      <c r="AC18" s="1961">
        <v>1</v>
      </c>
    </row>
    <row r="19" spans="1:29" ht="42.75">
      <c r="A19" s="379"/>
      <c r="B19" s="578" t="s">
        <v>1812</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1"/>
      <c r="M19" s="2715"/>
      <c r="N19" s="2715"/>
      <c r="O19" s="2715"/>
      <c r="P19" s="3755"/>
      <c r="Q19" s="1351" t="str">
        <f>B19</f>
        <v>公共配套设施</v>
      </c>
      <c r="R19" s="704" t="s">
        <v>14</v>
      </c>
      <c r="S19" s="705">
        <f>F19</f>
        <v>100</v>
      </c>
      <c r="T19" s="704" t="s">
        <v>14</v>
      </c>
      <c r="U19" s="705">
        <f>H19</f>
        <v>100</v>
      </c>
      <c r="V19" s="704" t="s">
        <v>14</v>
      </c>
      <c r="W19" s="705">
        <f>J19</f>
        <v>100</v>
      </c>
      <c r="X19" s="1354"/>
      <c r="Y19" s="3748"/>
      <c r="Z19" s="1355" t="str">
        <f>Q19</f>
        <v>公共配套设施</v>
      </c>
      <c r="AA19" s="1352">
        <f t="shared" si="3"/>
        <v>1</v>
      </c>
      <c r="AB19" s="1352">
        <f t="shared" si="4"/>
        <v>1</v>
      </c>
      <c r="AC19" s="1961">
        <f t="shared" si="5"/>
        <v>1</v>
      </c>
    </row>
    <row r="20" spans="1:29" ht="15">
      <c r="A20" s="379"/>
      <c r="B20" s="579"/>
      <c r="C20" s="1903"/>
      <c r="D20" s="399"/>
      <c r="E20" s="1896"/>
      <c r="F20" s="399"/>
      <c r="G20" s="1897"/>
      <c r="H20" s="399"/>
      <c r="I20" s="1897"/>
      <c r="J20" s="399"/>
      <c r="K20" s="564"/>
      <c r="L20" s="2721"/>
      <c r="M20" s="2715"/>
      <c r="N20" s="2715"/>
      <c r="O20" s="2715"/>
      <c r="P20" s="3755"/>
      <c r="Q20" s="1351"/>
      <c r="R20" s="704"/>
      <c r="S20" s="705"/>
      <c r="T20" s="704"/>
      <c r="U20" s="705"/>
      <c r="V20" s="704"/>
      <c r="W20" s="705"/>
      <c r="X20" s="1354"/>
      <c r="Y20" s="3748"/>
      <c r="Z20" s="1355"/>
      <c r="AA20" s="1352">
        <v>1</v>
      </c>
      <c r="AB20" s="1352">
        <v>1</v>
      </c>
      <c r="AC20" s="1961">
        <v>1</v>
      </c>
    </row>
    <row r="21" spans="1:29" ht="28.5">
      <c r="A21" s="379"/>
      <c r="B21" s="580" t="s">
        <v>1813</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1"/>
      <c r="M21" s="2715"/>
      <c r="N21" s="2715"/>
      <c r="O21" s="2715"/>
      <c r="P21" s="3755"/>
      <c r="Q21" s="1351" t="str">
        <f>B21</f>
        <v>基础设施水平</v>
      </c>
      <c r="R21" s="704" t="s">
        <v>14</v>
      </c>
      <c r="S21" s="705">
        <f>F21</f>
        <v>100</v>
      </c>
      <c r="T21" s="704" t="s">
        <v>14</v>
      </c>
      <c r="U21" s="705">
        <f>H21</f>
        <v>100</v>
      </c>
      <c r="V21" s="704" t="s">
        <v>14</v>
      </c>
      <c r="W21" s="705">
        <f>J21</f>
        <v>100</v>
      </c>
      <c r="X21" s="1354"/>
      <c r="Y21" s="3748"/>
      <c r="Z21" s="1355" t="str">
        <f>Q21</f>
        <v>基础设施水平</v>
      </c>
      <c r="AA21" s="1352">
        <f t="shared" ref="AA21" si="8">D21/F21</f>
        <v>1</v>
      </c>
      <c r="AB21" s="1352">
        <f t="shared" ref="AB21" si="9">D21/H21</f>
        <v>1</v>
      </c>
      <c r="AC21" s="1961">
        <f t="shared" ref="AC21" si="10">D21/J21</f>
        <v>1</v>
      </c>
    </row>
    <row r="22" spans="1:29" ht="15">
      <c r="A22" s="379"/>
      <c r="B22" s="580"/>
      <c r="C22" s="1963"/>
      <c r="D22" s="399"/>
      <c r="E22" s="398"/>
      <c r="F22" s="399"/>
      <c r="G22" s="1903"/>
      <c r="H22" s="399"/>
      <c r="I22" s="1903"/>
      <c r="J22" s="399"/>
      <c r="K22" s="1129"/>
      <c r="L22" s="2721"/>
      <c r="M22" s="2715"/>
      <c r="N22" s="2715"/>
      <c r="O22" s="2715"/>
      <c r="P22" s="3755"/>
      <c r="Q22" s="1351"/>
      <c r="R22" s="704"/>
      <c r="S22" s="705"/>
      <c r="T22" s="704"/>
      <c r="U22" s="705"/>
      <c r="V22" s="704"/>
      <c r="W22" s="705"/>
      <c r="X22" s="1354"/>
      <c r="Y22" s="3748"/>
      <c r="Z22" s="1355"/>
      <c r="AA22" s="1352">
        <v>1</v>
      </c>
      <c r="AB22" s="1352">
        <v>1</v>
      </c>
      <c r="AC22" s="1961">
        <v>1</v>
      </c>
    </row>
    <row r="23" spans="1:29" ht="42.75">
      <c r="A23" s="379"/>
      <c r="B23" s="578" t="s">
        <v>1814</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1"/>
      <c r="M23" s="2715"/>
      <c r="N23" s="2715"/>
      <c r="O23" s="2715"/>
      <c r="P23" s="3755"/>
      <c r="Q23" s="1351" t="str">
        <f>B23</f>
        <v>环境质量</v>
      </c>
      <c r="R23" s="704" t="s">
        <v>14</v>
      </c>
      <c r="S23" s="705">
        <f>F23</f>
        <v>100</v>
      </c>
      <c r="T23" s="704" t="s">
        <v>14</v>
      </c>
      <c r="U23" s="705">
        <f>H23</f>
        <v>100</v>
      </c>
      <c r="V23" s="704" t="s">
        <v>14</v>
      </c>
      <c r="W23" s="705">
        <f>J23</f>
        <v>100</v>
      </c>
      <c r="X23" s="1354"/>
      <c r="Y23" s="3748"/>
      <c r="Z23" s="1355" t="str">
        <f>Q23</f>
        <v>环境质量</v>
      </c>
      <c r="AA23" s="1352">
        <f t="shared" si="3"/>
        <v>1</v>
      </c>
      <c r="AB23" s="1352">
        <f t="shared" si="4"/>
        <v>1</v>
      </c>
      <c r="AC23" s="1961">
        <f t="shared" si="5"/>
        <v>1</v>
      </c>
    </row>
    <row r="24" spans="1:29" ht="15">
      <c r="A24" s="379"/>
      <c r="B24" s="580"/>
      <c r="C24" s="1903"/>
      <c r="D24" s="399"/>
      <c r="E24" s="1896"/>
      <c r="F24" s="399"/>
      <c r="G24" s="1897"/>
      <c r="H24" s="399"/>
      <c r="I24" s="1897"/>
      <c r="J24" s="399"/>
      <c r="K24" s="564"/>
      <c r="L24" s="2721"/>
      <c r="M24" s="2715"/>
      <c r="N24" s="2715"/>
      <c r="O24" s="2715"/>
      <c r="P24" s="3755"/>
      <c r="Q24" s="1351"/>
      <c r="R24" s="704"/>
      <c r="S24" s="705"/>
      <c r="T24" s="704"/>
      <c r="U24" s="705"/>
      <c r="V24" s="704"/>
      <c r="W24" s="705"/>
      <c r="X24" s="1354"/>
      <c r="Y24" s="3748"/>
      <c r="Z24" s="1355"/>
      <c r="AA24" s="1352">
        <v>1</v>
      </c>
      <c r="AB24" s="1352">
        <v>1</v>
      </c>
      <c r="AC24" s="1961">
        <v>1</v>
      </c>
    </row>
    <row r="25" spans="1:29" ht="27">
      <c r="A25" s="358"/>
      <c r="B25" s="578" t="s">
        <v>1815</v>
      </c>
      <c r="C25" s="1907"/>
      <c r="D25" s="386">
        <v>100</v>
      </c>
      <c r="E25" s="385"/>
      <c r="F25" s="386">
        <f>SUMIF(87:87,E26,88:88)-SUMIF(87:87,C26,88:88)+100</f>
        <v>100</v>
      </c>
      <c r="G25" s="1907"/>
      <c r="H25" s="386">
        <f>SUMIF(87:87,G26,88:88)-SUMIF(87:87,C26,88:88)+100</f>
        <v>100</v>
      </c>
      <c r="I25" s="385"/>
      <c r="J25" s="386">
        <f>SUMIF(87:87,I26,88:88)-SUMIF(87:87,C26,88:88)+100</f>
        <v>100</v>
      </c>
      <c r="K25" s="563"/>
      <c r="L25" s="2721"/>
      <c r="M25" s="2715"/>
      <c r="N25" s="2715"/>
      <c r="O25" s="2715"/>
      <c r="P25" s="3755"/>
      <c r="Q25" s="1351" t="str">
        <f>B25</f>
        <v>毗邻道路的类型与等级</v>
      </c>
      <c r="R25" s="704" t="s">
        <v>14</v>
      </c>
      <c r="S25" s="705">
        <f>F25</f>
        <v>100</v>
      </c>
      <c r="T25" s="704" t="s">
        <v>14</v>
      </c>
      <c r="U25" s="705">
        <f>H25</f>
        <v>100</v>
      </c>
      <c r="V25" s="704" t="s">
        <v>14</v>
      </c>
      <c r="W25" s="705">
        <f>J25</f>
        <v>100</v>
      </c>
      <c r="X25" s="1354"/>
      <c r="Y25" s="3748"/>
      <c r="Z25" s="1355" t="str">
        <f>Q25</f>
        <v>毗邻道路的类型与等级</v>
      </c>
      <c r="AA25" s="1352">
        <f t="shared" si="3"/>
        <v>1</v>
      </c>
      <c r="AB25" s="1352">
        <f t="shared" si="4"/>
        <v>1</v>
      </c>
      <c r="AC25" s="1961">
        <f t="shared" si="5"/>
        <v>1</v>
      </c>
    </row>
    <row r="26" spans="1:29" ht="15">
      <c r="A26" s="358"/>
      <c r="B26" s="579"/>
      <c r="C26" s="581"/>
      <c r="D26" s="386"/>
      <c r="E26" s="565"/>
      <c r="F26" s="386"/>
      <c r="G26" s="581"/>
      <c r="H26" s="386"/>
      <c r="I26" s="565"/>
      <c r="J26" s="386"/>
      <c r="K26" s="564"/>
      <c r="L26" s="2721"/>
      <c r="M26" s="2715"/>
      <c r="N26" s="2715"/>
      <c r="O26" s="2715"/>
      <c r="P26" s="3755"/>
      <c r="Q26" s="1351"/>
      <c r="R26" s="704"/>
      <c r="S26" s="705"/>
      <c r="T26" s="704"/>
      <c r="U26" s="705"/>
      <c r="V26" s="704"/>
      <c r="W26" s="705"/>
      <c r="X26" s="1354"/>
      <c r="Y26" s="3748"/>
      <c r="Z26" s="1355"/>
      <c r="AA26" s="1352">
        <v>1</v>
      </c>
      <c r="AB26" s="1352">
        <v>1</v>
      </c>
      <c r="AC26" s="1961">
        <v>1</v>
      </c>
    </row>
    <row r="27" spans="1:29" ht="15">
      <c r="A27" s="379"/>
      <c r="B27" s="579" t="s">
        <v>1783</v>
      </c>
      <c r="C27" s="581"/>
      <c r="D27" s="386">
        <v>100</v>
      </c>
      <c r="E27" s="565"/>
      <c r="F27" s="386">
        <f>SUMIF(89:89,E27,90:90)-SUMIF(89:89,C27,90:90)+100</f>
        <v>100</v>
      </c>
      <c r="G27" s="581"/>
      <c r="H27" s="386">
        <f>SUMIF(89:89,G27,90:90)-SUMIF(89:89,C27,90:90)+100</f>
        <v>100</v>
      </c>
      <c r="I27" s="565"/>
      <c r="J27" s="386">
        <f>SUMIF(89:89,I27,90:90)-SUMIF(89:89,C27,90:90)+100</f>
        <v>100</v>
      </c>
      <c r="K27" s="561"/>
      <c r="L27" s="2721"/>
      <c r="M27" s="2715"/>
      <c r="N27" s="2715"/>
      <c r="O27" s="2715"/>
      <c r="P27" s="3755"/>
      <c r="Q27" s="1351" t="str">
        <f t="shared" ref="Q27:Q47" si="11">B27</f>
        <v>楼层</v>
      </c>
      <c r="R27" s="704" t="s">
        <v>14</v>
      </c>
      <c r="S27" s="705">
        <f>F27</f>
        <v>100</v>
      </c>
      <c r="T27" s="704" t="s">
        <v>14</v>
      </c>
      <c r="U27" s="705">
        <f>H27</f>
        <v>100</v>
      </c>
      <c r="V27" s="704" t="s">
        <v>14</v>
      </c>
      <c r="W27" s="705">
        <f>J27</f>
        <v>100</v>
      </c>
      <c r="X27" s="1354"/>
      <c r="Y27" s="3748"/>
      <c r="Z27" s="1355" t="str">
        <f>Q27</f>
        <v>楼层</v>
      </c>
      <c r="AA27" s="1352">
        <f t="shared" si="3"/>
        <v>1</v>
      </c>
      <c r="AB27" s="1352">
        <f t="shared" si="4"/>
        <v>1</v>
      </c>
      <c r="AC27" s="1961">
        <f t="shared" si="5"/>
        <v>1</v>
      </c>
    </row>
    <row r="28" spans="1:29" s="108" customFormat="1" ht="15">
      <c r="A28" s="382"/>
      <c r="B28" s="578" t="s">
        <v>1816</v>
      </c>
      <c r="C28" s="1964"/>
      <c r="D28" s="413">
        <v>100</v>
      </c>
      <c r="E28" s="1955"/>
      <c r="F28" s="413">
        <f>SUMIF(91:91,E28,92:92)-SUMIF(91:91,C28,92:92)+100</f>
        <v>100</v>
      </c>
      <c r="G28" s="1964"/>
      <c r="H28" s="413">
        <f>SUMIF(91:91,G28,92:92)-SUMIF(91:91,C28,92:92)+100</f>
        <v>100</v>
      </c>
      <c r="I28" s="1955"/>
      <c r="J28" s="413">
        <f>SUMIF(91:91,I28,92:92)-SUMIF(91:91,C28,92:92)+100</f>
        <v>100</v>
      </c>
      <c r="K28" s="561"/>
      <c r="L28" s="2716"/>
      <c r="M28" s="2717"/>
      <c r="N28" s="2717"/>
      <c r="O28" s="2717"/>
      <c r="P28" s="3755"/>
      <c r="Q28" s="1342" t="str">
        <f t="shared" si="11"/>
        <v>朝向</v>
      </c>
      <c r="R28" s="700" t="s">
        <v>14</v>
      </c>
      <c r="S28" s="701">
        <f>F28</f>
        <v>100</v>
      </c>
      <c r="T28" s="700" t="s">
        <v>14</v>
      </c>
      <c r="U28" s="701">
        <f>H28</f>
        <v>100</v>
      </c>
      <c r="V28" s="700" t="s">
        <v>14</v>
      </c>
      <c r="W28" s="701">
        <f>J28</f>
        <v>100</v>
      </c>
      <c r="X28" s="702"/>
      <c r="Y28" s="3748"/>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21"/>
      <c r="M29" s="2715"/>
      <c r="N29" s="2715"/>
      <c r="O29" s="2715"/>
      <c r="P29" s="3755"/>
      <c r="Q29" s="1351">
        <f t="shared" si="11"/>
        <v>111</v>
      </c>
      <c r="R29" s="704" t="s">
        <v>14</v>
      </c>
      <c r="S29" s="705">
        <f t="shared" ref="S29:S47" si="12">F29</f>
        <v>100</v>
      </c>
      <c r="T29" s="704" t="s">
        <v>14</v>
      </c>
      <c r="U29" s="705">
        <f t="shared" ref="U29:U47" si="13">H29</f>
        <v>100</v>
      </c>
      <c r="V29" s="704" t="s">
        <v>14</v>
      </c>
      <c r="W29" s="705">
        <f t="shared" ref="W29:W47" si="14">J29</f>
        <v>100</v>
      </c>
      <c r="X29" s="1354"/>
      <c r="Y29" s="3748"/>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21"/>
      <c r="M30" s="2715"/>
      <c r="N30" s="2715"/>
      <c r="O30" s="2715"/>
      <c r="P30" s="3755"/>
      <c r="Q30" s="1351">
        <f t="shared" si="11"/>
        <v>111</v>
      </c>
      <c r="R30" s="704" t="s">
        <v>14</v>
      </c>
      <c r="S30" s="705">
        <f t="shared" si="12"/>
        <v>100</v>
      </c>
      <c r="T30" s="704" t="s">
        <v>14</v>
      </c>
      <c r="U30" s="705">
        <f t="shared" si="13"/>
        <v>100</v>
      </c>
      <c r="V30" s="704" t="s">
        <v>14</v>
      </c>
      <c r="W30" s="705">
        <f t="shared" si="14"/>
        <v>100</v>
      </c>
      <c r="X30" s="1354"/>
      <c r="Y30" s="3748"/>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21"/>
      <c r="M31" s="2715"/>
      <c r="N31" s="2715"/>
      <c r="O31" s="2715"/>
      <c r="P31" s="3755"/>
      <c r="Q31" s="1351">
        <f t="shared" si="11"/>
        <v>111</v>
      </c>
      <c r="R31" s="704" t="s">
        <v>14</v>
      </c>
      <c r="S31" s="705">
        <f t="shared" si="12"/>
        <v>100</v>
      </c>
      <c r="T31" s="704" t="s">
        <v>14</v>
      </c>
      <c r="U31" s="705">
        <f t="shared" si="13"/>
        <v>100</v>
      </c>
      <c r="V31" s="704" t="s">
        <v>14</v>
      </c>
      <c r="W31" s="705">
        <f t="shared" si="14"/>
        <v>100</v>
      </c>
      <c r="X31" s="1354"/>
      <c r="Y31" s="3748"/>
      <c r="Z31" s="1355">
        <f t="shared" si="15"/>
        <v>111</v>
      </c>
      <c r="AA31" s="1352">
        <f t="shared" si="3"/>
        <v>1</v>
      </c>
      <c r="AB31" s="1352">
        <f t="shared" si="4"/>
        <v>1</v>
      </c>
      <c r="AC31" s="1961">
        <f t="shared" si="5"/>
        <v>1</v>
      </c>
    </row>
    <row r="32" spans="1:29" ht="15.75" thickBot="1">
      <c r="A32" s="387"/>
      <c r="B32" s="582">
        <v>111</v>
      </c>
      <c r="C32" s="1908"/>
      <c r="D32" s="389">
        <v>100</v>
      </c>
      <c r="E32" s="575"/>
      <c r="F32" s="389">
        <f>SUMIF(99:99,E32,100:100)-SUMIF(99:99,C32,100:100)+100</f>
        <v>100</v>
      </c>
      <c r="G32" s="1959"/>
      <c r="H32" s="389">
        <f>SUMIF(99:99,G32,100:100)-SUMIF(99:99,C32,100:100)+100</f>
        <v>100</v>
      </c>
      <c r="I32" s="383"/>
      <c r="J32" s="389">
        <f>SUMIF(99:99,I32,100:100)-SUMIF(99:99,C32,100:100)+100</f>
        <v>100</v>
      </c>
      <c r="K32" s="562"/>
      <c r="L32" s="2721"/>
      <c r="M32" s="2715"/>
      <c r="N32" s="2715"/>
      <c r="O32" s="2715"/>
      <c r="P32" s="3755"/>
      <c r="Q32" s="1351">
        <f t="shared" si="11"/>
        <v>111</v>
      </c>
      <c r="R32" s="704" t="s">
        <v>14</v>
      </c>
      <c r="S32" s="705">
        <f t="shared" si="12"/>
        <v>100</v>
      </c>
      <c r="T32" s="704" t="s">
        <v>14</v>
      </c>
      <c r="U32" s="705">
        <f t="shared" si="13"/>
        <v>100</v>
      </c>
      <c r="V32" s="704" t="s">
        <v>14</v>
      </c>
      <c r="W32" s="705">
        <f t="shared" si="14"/>
        <v>100</v>
      </c>
      <c r="X32" s="1354"/>
      <c r="Y32" s="3748"/>
      <c r="Z32" s="1355">
        <f t="shared" si="15"/>
        <v>111</v>
      </c>
      <c r="AA32" s="1352">
        <f t="shared" si="3"/>
        <v>1</v>
      </c>
      <c r="AB32" s="1352">
        <f t="shared" si="4"/>
        <v>1</v>
      </c>
      <c r="AC32" s="1961">
        <f t="shared" si="5"/>
        <v>1</v>
      </c>
    </row>
    <row r="33" spans="1:29" ht="15">
      <c r="A33" s="391" t="s">
        <v>1694</v>
      </c>
      <c r="B33" s="63" t="s">
        <v>1817</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721"/>
      <c r="M33" s="2715"/>
      <c r="N33" s="2715"/>
      <c r="O33" s="2715"/>
      <c r="P33" s="3749" t="s">
        <v>1696</v>
      </c>
      <c r="Q33" s="1351" t="str">
        <f t="shared" si="11"/>
        <v>建筑类型</v>
      </c>
      <c r="R33" s="704" t="s">
        <v>14</v>
      </c>
      <c r="S33" s="705">
        <f t="shared" si="12"/>
        <v>100</v>
      </c>
      <c r="T33" s="704" t="s">
        <v>14</v>
      </c>
      <c r="U33" s="705">
        <f t="shared" si="13"/>
        <v>100</v>
      </c>
      <c r="V33" s="704" t="s">
        <v>14</v>
      </c>
      <c r="W33" s="705">
        <f t="shared" si="14"/>
        <v>100</v>
      </c>
      <c r="X33" s="1354"/>
      <c r="Y33" s="3752" t="s">
        <v>1696</v>
      </c>
      <c r="Z33" s="1355" t="str">
        <f t="shared" si="15"/>
        <v>建筑类型</v>
      </c>
      <c r="AA33" s="1352">
        <f t="shared" si="3"/>
        <v>1</v>
      </c>
      <c r="AB33" s="1352">
        <f t="shared" si="4"/>
        <v>1</v>
      </c>
      <c r="AC33" s="1961">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0"/>
      <c r="M34" s="2722"/>
      <c r="N34" s="2722"/>
      <c r="O34" s="2722"/>
      <c r="P34" s="3750"/>
      <c r="Q34" s="706" t="str">
        <f t="shared" si="11"/>
        <v>项目建筑规模</v>
      </c>
      <c r="R34" s="707" t="s">
        <v>14</v>
      </c>
      <c r="S34" s="708" t="e">
        <f t="shared" si="12"/>
        <v>#N/A</v>
      </c>
      <c r="T34" s="707" t="s">
        <v>14</v>
      </c>
      <c r="U34" s="708" t="e">
        <f t="shared" si="13"/>
        <v>#N/A</v>
      </c>
      <c r="V34" s="707" t="s">
        <v>14</v>
      </c>
      <c r="W34" s="708" t="e">
        <f t="shared" si="14"/>
        <v>#N/A</v>
      </c>
      <c r="X34" s="709"/>
      <c r="Y34" s="3752"/>
      <c r="Z34" s="710" t="str">
        <f t="shared" si="15"/>
        <v>项目建筑规模</v>
      </c>
      <c r="AA34" s="1352" t="e">
        <f t="shared" si="3"/>
        <v>#N/A</v>
      </c>
      <c r="AB34" s="1352" t="e">
        <f t="shared" si="4"/>
        <v>#N/A</v>
      </c>
      <c r="AC34" s="1961"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1"/>
      <c r="M35" s="2715"/>
      <c r="N35" s="2715"/>
      <c r="O35" s="2715"/>
      <c r="P35" s="3750"/>
      <c r="Q35" s="1351" t="str">
        <f t="shared" si="11"/>
        <v>建筑结构</v>
      </c>
      <c r="R35" s="704" t="s">
        <v>14</v>
      </c>
      <c r="S35" s="705">
        <f t="shared" si="12"/>
        <v>100</v>
      </c>
      <c r="T35" s="704" t="s">
        <v>14</v>
      </c>
      <c r="U35" s="705">
        <f t="shared" si="13"/>
        <v>100</v>
      </c>
      <c r="V35" s="704" t="s">
        <v>14</v>
      </c>
      <c r="W35" s="705">
        <f t="shared" si="14"/>
        <v>100</v>
      </c>
      <c r="X35" s="1354"/>
      <c r="Y35" s="3752"/>
      <c r="Z35" s="1355" t="str">
        <f t="shared" si="15"/>
        <v>建筑结构</v>
      </c>
      <c r="AA35" s="1352">
        <f t="shared" si="3"/>
        <v>1</v>
      </c>
      <c r="AB35" s="1352">
        <f t="shared" si="4"/>
        <v>1</v>
      </c>
      <c r="AC35" s="1961">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1"/>
      <c r="M36" s="2715"/>
      <c r="N36" s="2715"/>
      <c r="O36" s="2715"/>
      <c r="P36" s="3750"/>
      <c r="Q36" s="1351" t="str">
        <f t="shared" si="11"/>
        <v>公共部分装修</v>
      </c>
      <c r="R36" s="704" t="s">
        <v>14</v>
      </c>
      <c r="S36" s="705">
        <f t="shared" si="12"/>
        <v>100</v>
      </c>
      <c r="T36" s="704" t="s">
        <v>14</v>
      </c>
      <c r="U36" s="705">
        <f t="shared" si="13"/>
        <v>100</v>
      </c>
      <c r="V36" s="704" t="s">
        <v>14</v>
      </c>
      <c r="W36" s="705">
        <f t="shared" si="14"/>
        <v>100</v>
      </c>
      <c r="X36" s="1354"/>
      <c r="Y36" s="3752"/>
      <c r="Z36" s="1355" t="str">
        <f t="shared" si="15"/>
        <v>公共部分装修</v>
      </c>
      <c r="AA36" s="1352">
        <f t="shared" si="3"/>
        <v>1</v>
      </c>
      <c r="AB36" s="1352">
        <f t="shared" si="4"/>
        <v>1</v>
      </c>
      <c r="AC36" s="1961">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1"/>
      <c r="M37" s="2715"/>
      <c r="N37" s="2715"/>
      <c r="O37" s="2715"/>
      <c r="P37" s="3750"/>
      <c r="Q37" s="1351" t="str">
        <f t="shared" si="11"/>
        <v>成新度</v>
      </c>
      <c r="R37" s="704" t="s">
        <v>14</v>
      </c>
      <c r="S37" s="705" t="e">
        <f t="shared" si="12"/>
        <v>#N/A</v>
      </c>
      <c r="T37" s="704" t="s">
        <v>14</v>
      </c>
      <c r="U37" s="705" t="e">
        <f t="shared" si="13"/>
        <v>#N/A</v>
      </c>
      <c r="V37" s="704" t="s">
        <v>14</v>
      </c>
      <c r="W37" s="705" t="e">
        <f t="shared" si="14"/>
        <v>#N/A</v>
      </c>
      <c r="X37" s="1354"/>
      <c r="Y37" s="3752"/>
      <c r="Z37" s="1355" t="str">
        <f t="shared" si="15"/>
        <v>成新度</v>
      </c>
      <c r="AA37" s="1352" t="e">
        <f t="shared" si="3"/>
        <v>#N/A</v>
      </c>
      <c r="AB37" s="1352" t="e">
        <f t="shared" si="4"/>
        <v>#N/A</v>
      </c>
      <c r="AC37" s="1961"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750"/>
      <c r="Q38" s="1342" t="str">
        <f t="shared" si="11"/>
        <v>写字楼等级</v>
      </c>
      <c r="R38" s="700" t="s">
        <v>14</v>
      </c>
      <c r="S38" s="701">
        <f t="shared" si="12"/>
        <v>100</v>
      </c>
      <c r="T38" s="700" t="s">
        <v>14</v>
      </c>
      <c r="U38" s="701">
        <f t="shared" si="13"/>
        <v>100</v>
      </c>
      <c r="V38" s="700" t="s">
        <v>14</v>
      </c>
      <c r="W38" s="701">
        <f t="shared" si="14"/>
        <v>100</v>
      </c>
      <c r="X38" s="702"/>
      <c r="Y38" s="3752"/>
      <c r="Z38" s="52" t="str">
        <f t="shared" si="15"/>
        <v>写字楼等级</v>
      </c>
      <c r="AA38" s="703">
        <f t="shared" si="3"/>
        <v>1</v>
      </c>
      <c r="AB38" s="703">
        <f t="shared" si="4"/>
        <v>1</v>
      </c>
      <c r="AC38" s="1958">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1"/>
      <c r="M39" s="2715"/>
      <c r="N39" s="2715"/>
      <c r="O39" s="2715"/>
      <c r="P39" s="3750" t="s">
        <v>1696</v>
      </c>
      <c r="Q39" s="1351" t="str">
        <f t="shared" si="11"/>
        <v>物业管理</v>
      </c>
      <c r="R39" s="704" t="s">
        <v>14</v>
      </c>
      <c r="S39" s="705">
        <f t="shared" si="12"/>
        <v>100</v>
      </c>
      <c r="T39" s="704" t="s">
        <v>14</v>
      </c>
      <c r="U39" s="705">
        <f t="shared" si="13"/>
        <v>100</v>
      </c>
      <c r="V39" s="704" t="s">
        <v>14</v>
      </c>
      <c r="W39" s="705">
        <f t="shared" si="14"/>
        <v>100</v>
      </c>
      <c r="X39" s="1354"/>
      <c r="Y39" s="3752" t="s">
        <v>1696</v>
      </c>
      <c r="Z39" s="1355" t="str">
        <f t="shared" si="15"/>
        <v>物业管理</v>
      </c>
      <c r="AA39" s="1352">
        <f t="shared" si="3"/>
        <v>1</v>
      </c>
      <c r="AB39" s="1352">
        <f t="shared" si="4"/>
        <v>1</v>
      </c>
      <c r="AC39" s="1961">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1"/>
      <c r="M40" s="2715"/>
      <c r="N40" s="2715"/>
      <c r="O40" s="2715"/>
      <c r="P40" s="3750"/>
      <c r="Q40" s="1351" t="str">
        <f t="shared" si="11"/>
        <v>市政基础设施</v>
      </c>
      <c r="R40" s="704" t="s">
        <v>14</v>
      </c>
      <c r="S40" s="705">
        <f t="shared" si="12"/>
        <v>100</v>
      </c>
      <c r="T40" s="704" t="s">
        <v>14</v>
      </c>
      <c r="U40" s="705">
        <f t="shared" si="13"/>
        <v>100</v>
      </c>
      <c r="V40" s="704" t="s">
        <v>14</v>
      </c>
      <c r="W40" s="705">
        <f t="shared" si="14"/>
        <v>100</v>
      </c>
      <c r="X40" s="1354"/>
      <c r="Y40" s="3752"/>
      <c r="Z40" s="1355" t="str">
        <f t="shared" si="15"/>
        <v>市政基础设施</v>
      </c>
      <c r="AA40" s="1352">
        <f t="shared" si="3"/>
        <v>1</v>
      </c>
      <c r="AB40" s="1352">
        <f t="shared" si="4"/>
        <v>1</v>
      </c>
      <c r="AC40" s="1961">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750"/>
      <c r="Q41" s="1351" t="str">
        <f t="shared" si="11"/>
        <v>层高</v>
      </c>
      <c r="R41" s="704" t="s">
        <v>14</v>
      </c>
      <c r="S41" s="705">
        <f t="shared" si="12"/>
        <v>100</v>
      </c>
      <c r="T41" s="704" t="s">
        <v>14</v>
      </c>
      <c r="U41" s="705">
        <f t="shared" si="13"/>
        <v>100</v>
      </c>
      <c r="V41" s="704" t="s">
        <v>14</v>
      </c>
      <c r="W41" s="705">
        <f t="shared" si="14"/>
        <v>100</v>
      </c>
      <c r="X41" s="1354"/>
      <c r="Y41" s="3752"/>
      <c r="Z41" s="1355" t="str">
        <f t="shared" si="15"/>
        <v>层高</v>
      </c>
      <c r="AA41" s="1352">
        <f t="shared" si="3"/>
        <v>1</v>
      </c>
      <c r="AB41" s="1352">
        <f t="shared" si="4"/>
        <v>1</v>
      </c>
      <c r="AC41" s="1961">
        <f t="shared" si="5"/>
        <v>1</v>
      </c>
    </row>
    <row r="42" spans="1:29" s="422" customFormat="1" ht="15">
      <c r="A42" s="419"/>
      <c r="B42" s="1353"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750"/>
      <c r="Q42" s="706" t="str">
        <f t="shared" si="11"/>
        <v>单套建筑面积</v>
      </c>
      <c r="R42" s="707" t="s">
        <v>14</v>
      </c>
      <c r="S42" s="708">
        <f t="shared" si="12"/>
        <v>100</v>
      </c>
      <c r="T42" s="707" t="s">
        <v>14</v>
      </c>
      <c r="U42" s="708">
        <f t="shared" si="13"/>
        <v>100</v>
      </c>
      <c r="V42" s="707" t="s">
        <v>14</v>
      </c>
      <c r="W42" s="708">
        <f t="shared" si="14"/>
        <v>100</v>
      </c>
      <c r="X42" s="709"/>
      <c r="Y42" s="3752"/>
      <c r="Z42" s="710" t="str">
        <f t="shared" si="15"/>
        <v>单套建筑面积</v>
      </c>
      <c r="AA42" s="1352">
        <f t="shared" si="3"/>
        <v>1</v>
      </c>
      <c r="AB42" s="1352">
        <f t="shared" si="4"/>
        <v>1</v>
      </c>
      <c r="AC42" s="1961">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1"/>
      <c r="M43" s="2715"/>
      <c r="N43" s="2715"/>
      <c r="O43" s="2715"/>
      <c r="P43" s="3750"/>
      <c r="Q43" s="1351" t="str">
        <f t="shared" si="11"/>
        <v>内部装修</v>
      </c>
      <c r="R43" s="704" t="s">
        <v>14</v>
      </c>
      <c r="S43" s="705">
        <f t="shared" si="12"/>
        <v>100</v>
      </c>
      <c r="T43" s="704" t="s">
        <v>14</v>
      </c>
      <c r="U43" s="705">
        <f t="shared" si="13"/>
        <v>100</v>
      </c>
      <c r="V43" s="704" t="s">
        <v>14</v>
      </c>
      <c r="W43" s="705">
        <f t="shared" si="14"/>
        <v>100</v>
      </c>
      <c r="X43" s="1354"/>
      <c r="Y43" s="3752"/>
      <c r="Z43" s="1355" t="str">
        <f t="shared" si="15"/>
        <v>内部装修</v>
      </c>
      <c r="AA43" s="1352">
        <f t="shared" si="3"/>
        <v>1</v>
      </c>
      <c r="AB43" s="1352">
        <f t="shared" si="4"/>
        <v>1</v>
      </c>
      <c r="AC43" s="1961">
        <f t="shared" si="5"/>
        <v>1</v>
      </c>
    </row>
    <row r="44" spans="1:29" ht="15">
      <c r="A44" s="423"/>
      <c r="B44" s="375" t="s">
        <v>1707</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21"/>
      <c r="M44" s="2715"/>
      <c r="N44" s="2715"/>
      <c r="O44" s="2715"/>
      <c r="P44" s="3750"/>
      <c r="Q44" s="1351" t="str">
        <f t="shared" si="11"/>
        <v>内部装修维护情况</v>
      </c>
      <c r="R44" s="704" t="s">
        <v>14</v>
      </c>
      <c r="S44" s="705">
        <f t="shared" si="12"/>
        <v>100</v>
      </c>
      <c r="T44" s="704" t="s">
        <v>14</v>
      </c>
      <c r="U44" s="705">
        <f t="shared" si="13"/>
        <v>100</v>
      </c>
      <c r="V44" s="704" t="s">
        <v>14</v>
      </c>
      <c r="W44" s="705">
        <f t="shared" si="14"/>
        <v>100</v>
      </c>
      <c r="X44" s="1354"/>
      <c r="Y44" s="3752"/>
      <c r="Z44" s="1355" t="str">
        <f t="shared" si="15"/>
        <v>内部装修维护情况</v>
      </c>
      <c r="AA44" s="1352">
        <f t="shared" si="3"/>
        <v>1</v>
      </c>
      <c r="AB44" s="1352">
        <f t="shared" si="4"/>
        <v>1</v>
      </c>
      <c r="AC44" s="1961">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6"/>
      <c r="M45" s="2717"/>
      <c r="N45" s="2717"/>
      <c r="O45" s="2717"/>
      <c r="P45" s="3750"/>
      <c r="Q45" s="1342">
        <f t="shared" si="11"/>
        <v>111</v>
      </c>
      <c r="R45" s="700" t="s">
        <v>14</v>
      </c>
      <c r="S45" s="701">
        <f t="shared" si="12"/>
        <v>100</v>
      </c>
      <c r="T45" s="700" t="s">
        <v>14</v>
      </c>
      <c r="U45" s="701">
        <f t="shared" si="13"/>
        <v>100</v>
      </c>
      <c r="V45" s="700" t="s">
        <v>14</v>
      </c>
      <c r="W45" s="701">
        <f t="shared" si="14"/>
        <v>100</v>
      </c>
      <c r="X45" s="702"/>
      <c r="Y45" s="3752"/>
      <c r="Z45" s="52">
        <f t="shared" si="15"/>
        <v>111</v>
      </c>
      <c r="AA45" s="703">
        <f t="shared" si="3"/>
        <v>1</v>
      </c>
      <c r="AB45" s="703">
        <f t="shared" si="4"/>
        <v>1</v>
      </c>
      <c r="AC45" s="1958">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750"/>
      <c r="Q46" s="1351">
        <f t="shared" si="11"/>
        <v>111</v>
      </c>
      <c r="R46" s="704" t="s">
        <v>14</v>
      </c>
      <c r="S46" s="705">
        <f t="shared" si="12"/>
        <v>100</v>
      </c>
      <c r="T46" s="704" t="s">
        <v>14</v>
      </c>
      <c r="U46" s="705">
        <f t="shared" si="13"/>
        <v>100</v>
      </c>
      <c r="V46" s="704" t="s">
        <v>14</v>
      </c>
      <c r="W46" s="705">
        <f t="shared" si="14"/>
        <v>100</v>
      </c>
      <c r="X46" s="1354"/>
      <c r="Y46" s="3752"/>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751"/>
      <c r="Q47" s="1351">
        <f t="shared" si="11"/>
        <v>111</v>
      </c>
      <c r="R47" s="704" t="s">
        <v>14</v>
      </c>
      <c r="S47" s="705">
        <f t="shared" si="12"/>
        <v>100</v>
      </c>
      <c r="T47" s="704" t="s">
        <v>14</v>
      </c>
      <c r="U47" s="705">
        <f t="shared" si="13"/>
        <v>100</v>
      </c>
      <c r="V47" s="704" t="s">
        <v>14</v>
      </c>
      <c r="W47" s="705">
        <f t="shared" si="14"/>
        <v>100</v>
      </c>
      <c r="X47" s="1354"/>
      <c r="Y47" s="3753"/>
      <c r="Z47" s="1355">
        <f t="shared" si="15"/>
        <v>111</v>
      </c>
      <c r="AA47" s="1352">
        <f t="shared" si="3"/>
        <v>1</v>
      </c>
      <c r="AB47" s="1352">
        <f t="shared" si="4"/>
        <v>1</v>
      </c>
      <c r="AC47" s="1961">
        <f t="shared" si="5"/>
        <v>1</v>
      </c>
    </row>
    <row r="48" spans="1:29" ht="15">
      <c r="A48" s="430" t="s">
        <v>1708</v>
      </c>
      <c r="B48" s="431"/>
      <c r="C48" s="1153" t="s">
        <v>0</v>
      </c>
      <c r="D48" s="1154"/>
      <c r="E48" s="1155"/>
      <c r="F48" s="1156"/>
      <c r="G48" s="1157"/>
      <c r="H48" s="1158"/>
      <c r="I48" s="1155"/>
      <c r="J48" s="436"/>
      <c r="K48" s="713"/>
      <c r="L48" s="2723"/>
      <c r="M48" s="2715"/>
      <c r="N48" s="2715"/>
      <c r="O48" s="2715"/>
      <c r="P48" s="3727" t="str">
        <f>A48</f>
        <v>成交单价（元/平方米）</v>
      </c>
      <c r="Q48" s="3745"/>
      <c r="R48" s="3746">
        <f>E48</f>
        <v>0</v>
      </c>
      <c r="S48" s="3746"/>
      <c r="T48" s="3746">
        <f>G48</f>
        <v>0</v>
      </c>
      <c r="U48" s="3746"/>
      <c r="V48" s="3746">
        <f>I48</f>
        <v>0</v>
      </c>
      <c r="W48" s="3746"/>
      <c r="X48" s="397"/>
      <c r="Y48" s="711"/>
      <c r="Z48" s="397"/>
      <c r="AA48" s="397"/>
      <c r="AB48" s="397"/>
      <c r="AC48" s="577"/>
    </row>
    <row r="49" spans="1:29" ht="15.75" thickBot="1">
      <c r="A49" s="437" t="s">
        <v>1793</v>
      </c>
      <c r="B49" s="438"/>
      <c r="C49" s="1159" t="e">
        <f>R50</f>
        <v>#DIV/0!</v>
      </c>
      <c r="D49" s="2316" t="s">
        <v>2138</v>
      </c>
      <c r="E49" s="1160" t="e">
        <f>R49</f>
        <v>#DIV/0!</v>
      </c>
      <c r="F49" s="2317"/>
      <c r="G49" s="1159" t="e">
        <f>T49</f>
        <v>#DIV/0!</v>
      </c>
      <c r="H49" s="2317"/>
      <c r="I49" s="1160" t="e">
        <f>V49</f>
        <v>#DIV/0!</v>
      </c>
      <c r="J49" s="2317"/>
      <c r="K49" s="2319">
        <f>F49+H49+J49</f>
        <v>0</v>
      </c>
      <c r="L49" s="2723"/>
      <c r="M49" s="2715"/>
      <c r="N49" s="2715"/>
      <c r="O49" s="2715"/>
      <c r="P49" s="3727" t="str">
        <f>A49</f>
        <v>比较价值（元/平方米）</v>
      </c>
      <c r="Q49" s="3745"/>
      <c r="R49" s="3746" t="e">
        <f>IF(F1="售价",ROUND(PRODUCT(R48,AA7:AA47),0),ROUND(PRODUCT(R48,AA7:AA47),1))</f>
        <v>#DIV/0!</v>
      </c>
      <c r="S49" s="3746"/>
      <c r="T49" s="3746" t="e">
        <f>IF(F1="售价",ROUND(PRODUCT(T48,AB7:AB47),0),ROUND(PRODUCT(T48,AB7:AB47),1))</f>
        <v>#DIV/0!</v>
      </c>
      <c r="U49" s="3746"/>
      <c r="V49" s="3746" t="e">
        <f>IF(F1="售价",ROUND(PRODUCT(V48,AC7:AC47),0),ROUND(PRODUCT(V48,AC7:AC47),1))</f>
        <v>#DIV/0!</v>
      </c>
      <c r="W49" s="3746"/>
      <c r="X49" s="397"/>
      <c r="Y49" s="397"/>
      <c r="Z49" s="397"/>
      <c r="AA49" s="397"/>
      <c r="AB49" s="397"/>
      <c r="AC49" s="577"/>
    </row>
    <row r="50" spans="1:29" ht="15.75" thickBot="1">
      <c r="A50" s="441" t="s">
        <v>1794</v>
      </c>
      <c r="B50" s="442"/>
      <c r="C50" s="1162" t="e">
        <f>R50</f>
        <v>#DIV/0!</v>
      </c>
      <c r="D50" s="1162"/>
      <c r="E50" s="1162"/>
      <c r="F50" s="1162"/>
      <c r="G50" s="1162"/>
      <c r="H50" s="1162"/>
      <c r="I50" s="1162"/>
      <c r="J50" s="443"/>
      <c r="K50" s="714"/>
      <c r="L50" s="2723"/>
      <c r="M50" s="2715"/>
      <c r="N50" s="2715"/>
      <c r="O50" s="2715"/>
      <c r="P50" s="3768" t="str">
        <f>A50</f>
        <v>估价对象XX用房的比较价值（楼面单价，元/平方米）</v>
      </c>
      <c r="Q50" s="3769"/>
      <c r="R50" s="3770" t="e">
        <f>IF(F1="售价",ROUND(IF(D49="简单平均",AVERAGE(R49:V49),R49*F49+T49*H49+V49*J49),0),ROUND(IF(D49="简单平均",AVERAGE(R49:V49),R49*F49+T49*H49+V49*J49),1))</f>
        <v>#DIV/0!</v>
      </c>
      <c r="S50" s="3770"/>
      <c r="T50" s="3770"/>
      <c r="U50" s="3770"/>
      <c r="V50" s="3770"/>
      <c r="W50" s="3770"/>
      <c r="X50" s="1945"/>
      <c r="Y50" s="1945"/>
      <c r="Z50" s="1945"/>
      <c r="AA50" s="1945"/>
      <c r="AB50" s="1945"/>
      <c r="AC50" s="1946"/>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3" t="s">
        <v>1798</v>
      </c>
      <c r="B58" s="689"/>
      <c r="C58" s="694"/>
      <c r="D58" s="694"/>
      <c r="E58" s="694"/>
      <c r="F58" s="695"/>
      <c r="G58" s="695"/>
      <c r="H58" s="694"/>
      <c r="I58" s="694"/>
      <c r="J58" s="694"/>
      <c r="K58" s="696"/>
      <c r="L58" s="941"/>
      <c r="M58" s="939"/>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3" t="str">
        <f>YEAR(C7)&amp;"-"&amp;MONTH(C7)</f>
        <v>2025-5</v>
      </c>
      <c r="D59" s="1184">
        <f>EDATE(C59,-1)</f>
        <v>45748</v>
      </c>
      <c r="E59" s="1184">
        <f>EDATE(D59,-1)</f>
        <v>45717</v>
      </c>
      <c r="F59" s="1184">
        <f t="shared" ref="F59:O59" si="16">EDATE(E59,-1)</f>
        <v>45689</v>
      </c>
      <c r="G59" s="1184">
        <f t="shared" si="16"/>
        <v>45658</v>
      </c>
      <c r="H59" s="1184">
        <f t="shared" si="16"/>
        <v>45627</v>
      </c>
      <c r="I59" s="1184">
        <f t="shared" si="16"/>
        <v>45597</v>
      </c>
      <c r="J59" s="1184">
        <f t="shared" si="16"/>
        <v>45566</v>
      </c>
      <c r="K59" s="1184">
        <f t="shared" si="16"/>
        <v>45536</v>
      </c>
      <c r="L59" s="1184">
        <f t="shared" si="16"/>
        <v>45505</v>
      </c>
      <c r="M59" s="1184">
        <f t="shared" si="16"/>
        <v>45474</v>
      </c>
      <c r="N59" s="1184">
        <f t="shared" si="16"/>
        <v>45444</v>
      </c>
      <c r="O59" s="1184">
        <f t="shared" si="16"/>
        <v>45413</v>
      </c>
      <c r="P59" s="2758"/>
      <c r="Q59" s="2740"/>
      <c r="R59" s="2740"/>
      <c r="S59" s="2740"/>
      <c r="T59" s="2740"/>
      <c r="U59" s="2740"/>
      <c r="V59" s="2740"/>
      <c r="W59" s="2740"/>
      <c r="X59" s="2740"/>
      <c r="Y59" s="2740"/>
      <c r="Z59" s="2740"/>
      <c r="AA59" s="2740"/>
      <c r="AB59" s="2740"/>
      <c r="AC59" s="2740"/>
    </row>
    <row r="60" spans="1:29" s="108" customFormat="1" ht="15">
      <c r="A60" s="458"/>
      <c r="B60" s="459"/>
      <c r="C60" s="1182">
        <v>100</v>
      </c>
      <c r="D60" s="461"/>
      <c r="E60" s="461"/>
      <c r="F60" s="461"/>
      <c r="G60" s="461"/>
      <c r="H60" s="461"/>
      <c r="I60" s="461"/>
      <c r="J60" s="461"/>
      <c r="K60" s="461"/>
      <c r="L60" s="461"/>
      <c r="M60" s="462"/>
      <c r="N60" s="461"/>
      <c r="O60" s="462"/>
      <c r="P60" s="2759"/>
      <c r="Q60" s="2660"/>
      <c r="R60" s="2660"/>
      <c r="S60" s="2660"/>
      <c r="T60" s="2660"/>
      <c r="U60" s="2660"/>
      <c r="V60" s="2660"/>
      <c r="W60" s="2660"/>
      <c r="X60" s="2660"/>
      <c r="Y60" s="2660"/>
      <c r="Z60" s="2660"/>
      <c r="AA60" s="2660"/>
      <c r="AB60" s="2660"/>
      <c r="AC60" s="2660"/>
    </row>
    <row r="61" spans="1:29" s="108" customFormat="1" ht="15.75" thickBot="1">
      <c r="A61" s="464" t="s">
        <v>1716</v>
      </c>
      <c r="B61" s="465"/>
      <c r="C61" s="466"/>
      <c r="D61" s="467"/>
      <c r="E61" s="467"/>
      <c r="F61" s="467"/>
      <c r="G61" s="467"/>
      <c r="H61" s="467"/>
      <c r="I61" s="467"/>
      <c r="J61" s="467"/>
      <c r="K61" s="467"/>
      <c r="L61" s="467"/>
      <c r="M61" s="468"/>
      <c r="N61" s="467"/>
      <c r="O61" s="468"/>
      <c r="P61" s="2759"/>
      <c r="Q61" s="2738"/>
      <c r="R61" s="2660"/>
      <c r="S61" s="2660"/>
      <c r="T61" s="2660"/>
      <c r="U61" s="2660"/>
      <c r="V61" s="2660"/>
      <c r="W61" s="2660"/>
      <c r="X61" s="2660"/>
      <c r="Y61" s="2660"/>
      <c r="Z61" s="2660"/>
      <c r="AA61" s="2660"/>
      <c r="AB61" s="2660"/>
      <c r="AC61" s="2660"/>
    </row>
    <row r="62" spans="1:29" s="108" customFormat="1" ht="15">
      <c r="A62" s="470" t="s">
        <v>1681</v>
      </c>
      <c r="B62" s="459"/>
      <c r="C62" s="471" t="s">
        <v>1776</v>
      </c>
      <c r="D62" s="472"/>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5.75" thickBot="1">
      <c r="A63" s="470"/>
      <c r="B63" s="459"/>
      <c r="C63" s="460">
        <v>100</v>
      </c>
      <c r="D63" s="461"/>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c r="A64" s="476" t="s">
        <v>1719</v>
      </c>
      <c r="B64" s="477" t="s">
        <v>1685</v>
      </c>
      <c r="C64" s="478">
        <f>C9</f>
        <v>0</v>
      </c>
      <c r="D64" s="479"/>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532"/>
      <c r="D66" s="532"/>
      <c r="E66" s="532"/>
      <c r="F66" s="532"/>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c r="D67" s="485"/>
      <c r="E67" s="485"/>
      <c r="F67" s="485"/>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7" t="s">
        <v>1799</v>
      </c>
      <c r="D83" s="607" t="s">
        <v>1800</v>
      </c>
      <c r="E83" s="607" t="s">
        <v>1801</v>
      </c>
      <c r="F83" s="607" t="s">
        <v>1802</v>
      </c>
      <c r="G83" s="607" t="s">
        <v>1803</v>
      </c>
      <c r="H83" s="488"/>
      <c r="I83" s="488"/>
      <c r="J83" s="488"/>
      <c r="K83" s="488"/>
      <c r="L83" s="488"/>
      <c r="M83" s="1128"/>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100</v>
      </c>
      <c r="E84" s="493">
        <f>D84-$K21</f>
        <v>100</v>
      </c>
      <c r="F84" s="493">
        <f>E84-$K21</f>
        <v>100</v>
      </c>
      <c r="G84" s="493">
        <f>F84-$K21</f>
        <v>100</v>
      </c>
      <c r="H84" s="607"/>
      <c r="I84" s="607"/>
      <c r="J84" s="607"/>
      <c r="K84" s="607"/>
      <c r="L84" s="607"/>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503"/>
      <c r="D87" s="503"/>
      <c r="E87" s="503"/>
      <c r="F87" s="503"/>
      <c r="G87" s="503"/>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8"/>
      <c r="B89" s="487" t="str">
        <f>B27</f>
        <v>楼层</v>
      </c>
      <c r="C89" s="503"/>
      <c r="D89" s="503"/>
      <c r="E89" s="503"/>
      <c r="F89" s="1926"/>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3"/>
      <c r="O90" s="2753"/>
      <c r="P90" s="2761"/>
      <c r="Q90" s="2738"/>
      <c r="R90" s="2660"/>
      <c r="S90" s="2660"/>
      <c r="T90" s="2660"/>
      <c r="U90" s="2660"/>
      <c r="V90" s="2660"/>
      <c r="W90" s="2660"/>
      <c r="X90" s="2660"/>
      <c r="Y90" s="2660"/>
      <c r="Z90" s="2660"/>
      <c r="AA90" s="2660"/>
      <c r="AB90" s="2660"/>
      <c r="AC90" s="2660"/>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f>B29</f>
        <v>111</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7"/>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479"/>
      <c r="D101" s="479"/>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3"/>
      <c r="O102" s="2753"/>
      <c r="P102" s="2761"/>
      <c r="Q102" s="2738"/>
      <c r="R102" s="2724"/>
      <c r="S102" s="2724"/>
      <c r="T102" s="2724"/>
      <c r="U102" s="2724"/>
      <c r="V102" s="2724"/>
      <c r="W102" s="2724"/>
      <c r="X102" s="2724"/>
      <c r="Y102" s="2724"/>
      <c r="Z102" s="2724"/>
      <c r="AA102" s="2724"/>
      <c r="AB102" s="2724"/>
      <c r="AC102" s="2724"/>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69"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c r="D104" s="544"/>
      <c r="E104" s="544"/>
      <c r="F104" s="544"/>
      <c r="G104" s="544"/>
      <c r="H104" s="544"/>
      <c r="I104" s="544"/>
      <c r="J104" s="545"/>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c r="D105" s="485"/>
      <c r="E105" s="485"/>
      <c r="F105" s="485"/>
      <c r="G105" s="485"/>
      <c r="H105" s="485"/>
      <c r="I105" s="485"/>
      <c r="J105" s="485"/>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503"/>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503"/>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0"/>
      <c r="J111" s="570"/>
      <c r="K111" s="571"/>
      <c r="L111" s="572"/>
      <c r="M111" s="573"/>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503"/>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503"/>
      <c r="D117" s="503"/>
      <c r="E117" s="503"/>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3" t="s">
        <v>1825</v>
      </c>
      <c r="C119" s="532"/>
      <c r="D119" s="532"/>
      <c r="E119" s="532"/>
      <c r="F119" s="532"/>
      <c r="G119" s="532"/>
      <c r="H119" s="532"/>
      <c r="I119" s="532"/>
      <c r="J119" s="532"/>
      <c r="K119" s="532"/>
      <c r="L119" s="1967"/>
      <c r="M119" s="1968"/>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503"/>
      <c r="D123" s="503"/>
      <c r="E123" s="503"/>
      <c r="F123" s="532"/>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f>B45</f>
        <v>111</v>
      </c>
      <c r="C127" s="503"/>
      <c r="D127" s="503"/>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c r="D128" s="485"/>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7"/>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53" priority="20" stopIfTrue="1" operator="containsText" text="超过">
      <formula>NOT(ISERROR(SEARCH("超过",F53)))</formula>
    </cfRule>
  </conditionalFormatting>
  <conditionalFormatting sqref="H55">
    <cfRule type="containsText" dxfId="152" priority="19" stopIfTrue="1" operator="containsText" text="超过">
      <formula>NOT(ISERROR(SEARCH("超过",H55)))</formula>
    </cfRule>
  </conditionalFormatting>
  <conditionalFormatting sqref="F55">
    <cfRule type="containsText" dxfId="151" priority="18" stopIfTrue="1" operator="containsText" text="超过">
      <formula>NOT(ISERROR(SEARCH("超过",F55)))</formula>
    </cfRule>
  </conditionalFormatting>
  <conditionalFormatting sqref="F54 H54">
    <cfRule type="containsText" dxfId="150" priority="17" stopIfTrue="1" operator="containsText" text="超过">
      <formula>NOT(ISERROR(SEARCH("超过",F54)))</formula>
    </cfRule>
  </conditionalFormatting>
  <conditionalFormatting sqref="E53">
    <cfRule type="expression" dxfId="149" priority="16" stopIfTrue="1">
      <formula>$F$53="超过30%"</formula>
    </cfRule>
  </conditionalFormatting>
  <conditionalFormatting sqref="E54">
    <cfRule type="expression" dxfId="148" priority="15" stopIfTrue="1">
      <formula>$F$54="超过20%"</formula>
    </cfRule>
  </conditionalFormatting>
  <conditionalFormatting sqref="E55">
    <cfRule type="expression" dxfId="147" priority="14" stopIfTrue="1">
      <formula>$F$55="超过30%"</formula>
    </cfRule>
  </conditionalFormatting>
  <conditionalFormatting sqref="G55">
    <cfRule type="expression" dxfId="146" priority="13" stopIfTrue="1">
      <formula>$H$55="超过30%"</formula>
    </cfRule>
  </conditionalFormatting>
  <conditionalFormatting sqref="G53">
    <cfRule type="expression" dxfId="145" priority="12" stopIfTrue="1">
      <formula>$H$53="超过30%"</formula>
    </cfRule>
  </conditionalFormatting>
  <conditionalFormatting sqref="G54">
    <cfRule type="expression" dxfId="144" priority="11" stopIfTrue="1">
      <formula>$H$54="超过20%"</formula>
    </cfRule>
  </conditionalFormatting>
  <conditionalFormatting sqref="J53">
    <cfRule type="containsText" dxfId="143" priority="10" stopIfTrue="1" operator="containsText" text="超过">
      <formula>NOT(ISERROR(SEARCH("超过",J53)))</formula>
    </cfRule>
  </conditionalFormatting>
  <conditionalFormatting sqref="J55">
    <cfRule type="containsText" dxfId="142" priority="9" stopIfTrue="1" operator="containsText" text="超过">
      <formula>NOT(ISERROR(SEARCH("超过",J55)))</formula>
    </cfRule>
  </conditionalFormatting>
  <conditionalFormatting sqref="J54">
    <cfRule type="containsText" dxfId="141" priority="8" stopIfTrue="1" operator="containsText" text="超过">
      <formula>NOT(ISERROR(SEARCH("超过",J54)))</formula>
    </cfRule>
  </conditionalFormatting>
  <conditionalFormatting sqref="I53">
    <cfRule type="expression" dxfId="140" priority="7" stopIfTrue="1">
      <formula>$J$53="超过30%"</formula>
    </cfRule>
  </conditionalFormatting>
  <conditionalFormatting sqref="I54">
    <cfRule type="expression" dxfId="139" priority="6" stopIfTrue="1">
      <formula>$J$53+$J$54="超过20%"</formula>
    </cfRule>
  </conditionalFormatting>
  <conditionalFormatting sqref="I55">
    <cfRule type="expression" dxfId="138" priority="5" stopIfTrue="1">
      <formula>$J$55="超过30%"</formula>
    </cfRule>
  </conditionalFormatting>
  <conditionalFormatting sqref="F49">
    <cfRule type="expression" dxfId="137" priority="4">
      <formula>$D$49="简单平均"</formula>
    </cfRule>
  </conditionalFormatting>
  <conditionalFormatting sqref="H49">
    <cfRule type="expression" dxfId="136" priority="3">
      <formula>$D$49="简单平均"</formula>
    </cfRule>
  </conditionalFormatting>
  <conditionalFormatting sqref="J49">
    <cfRule type="expression" dxfId="135" priority="2">
      <formula>$D$49="简单平均"</formula>
    </cfRule>
  </conditionalFormatting>
  <conditionalFormatting sqref="F7:F47 H7:H47 J7:J47">
    <cfRule type="cellIs" dxfId="13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956" t="s">
        <v>1826</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IF(E1="项目模式",IF(C2="——",ROUND(C43*D3/10000,0),ROUND(C43*D3/10000,0)-D2),IF(E1="单套模式",IF(C2="——",ROUND(C43*D3/10000,4),ROUND(C43*D3/10000,4)-D2)))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2" customFormat="1" ht="28.5" customHeight="1" thickBot="1">
      <c r="A3" s="203" t="s">
        <v>1464</v>
      </c>
      <c r="B3" s="558">
        <f>IF(C2="——",C43,ROUND(B2*10000/D3,0))</f>
        <v>0</v>
      </c>
      <c r="C3" s="354" t="s">
        <v>1768</v>
      </c>
      <c r="D3" s="353">
        <f>IF(D1="",'数据-汇总表'!E3,SUMIF('数据-汇总表'!$C19:$C33,D1,'数据-汇总表'!$E19:$E33))</f>
        <v>557.98</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5" t="s">
        <v>1769</v>
      </c>
      <c r="B4" s="356"/>
      <c r="C4" s="3728" t="s">
        <v>1770</v>
      </c>
      <c r="D4" s="3729"/>
      <c r="E4" s="3730" t="s">
        <v>1771</v>
      </c>
      <c r="F4" s="3731"/>
      <c r="G4" s="3728" t="s">
        <v>1772</v>
      </c>
      <c r="H4" s="3729"/>
      <c r="I4" s="3728" t="s">
        <v>1773</v>
      </c>
      <c r="J4" s="3729"/>
      <c r="K4" s="559" t="s">
        <v>1774</v>
      </c>
      <c r="L4" s="912"/>
      <c r="M4" s="913"/>
      <c r="N4" s="913"/>
      <c r="O4" s="913"/>
      <c r="P4" s="3732" t="s">
        <v>1775</v>
      </c>
      <c r="Q4" s="3733"/>
      <c r="R4" s="3715" t="s">
        <v>1771</v>
      </c>
      <c r="S4" s="3716"/>
      <c r="T4" s="3715" t="s">
        <v>1772</v>
      </c>
      <c r="U4" s="3716"/>
      <c r="V4" s="3740" t="s">
        <v>1773</v>
      </c>
      <c r="W4" s="3740"/>
      <c r="X4" s="1354"/>
      <c r="Y4" s="3715" t="s">
        <v>1775</v>
      </c>
      <c r="Z4" s="3716"/>
      <c r="AA4" s="3710" t="s">
        <v>1771</v>
      </c>
      <c r="AB4" s="3711" t="s">
        <v>1772</v>
      </c>
      <c r="AC4" s="3710" t="s">
        <v>1773</v>
      </c>
    </row>
    <row r="5" spans="1:29" ht="15">
      <c r="A5" s="358"/>
      <c r="B5" s="359"/>
      <c r="C5" s="3721" t="s">
        <v>1673</v>
      </c>
      <c r="D5" s="3722"/>
      <c r="E5" s="3719" t="s">
        <v>1674</v>
      </c>
      <c r="F5" s="3720"/>
      <c r="G5" s="3721" t="s">
        <v>1675</v>
      </c>
      <c r="H5" s="3722"/>
      <c r="I5" s="3721" t="s">
        <v>1676</v>
      </c>
      <c r="J5" s="3722"/>
      <c r="K5" s="559"/>
      <c r="L5" s="912"/>
      <c r="M5" s="913"/>
      <c r="N5" s="913"/>
      <c r="O5" s="913"/>
      <c r="P5" s="3734"/>
      <c r="Q5" s="3735"/>
      <c r="R5" s="3717"/>
      <c r="S5" s="3718"/>
      <c r="T5" s="3717"/>
      <c r="U5" s="3718"/>
      <c r="V5" s="3740"/>
      <c r="W5" s="3740"/>
      <c r="X5" s="1354"/>
      <c r="Y5" s="3717"/>
      <c r="Z5" s="3718"/>
      <c r="AA5" s="3711"/>
      <c r="AB5" s="3711"/>
      <c r="AC5" s="3711"/>
    </row>
    <row r="6" spans="1:29" ht="15.75" thickBot="1">
      <c r="A6" s="360"/>
      <c r="B6" s="361"/>
      <c r="C6" s="3723" t="s">
        <v>1677</v>
      </c>
      <c r="D6" s="3724"/>
      <c r="E6" s="3725" t="s">
        <v>1677</v>
      </c>
      <c r="F6" s="3726"/>
      <c r="G6" s="3723" t="s">
        <v>1677</v>
      </c>
      <c r="H6" s="3724"/>
      <c r="I6" s="3723" t="s">
        <v>1677</v>
      </c>
      <c r="J6" s="3724"/>
      <c r="K6" s="559" t="s">
        <v>1678</v>
      </c>
      <c r="L6" s="912"/>
      <c r="M6" s="913"/>
      <c r="N6" s="913"/>
      <c r="O6" s="913"/>
      <c r="P6" s="3736"/>
      <c r="Q6" s="3737"/>
      <c r="R6" s="3717"/>
      <c r="S6" s="3718"/>
      <c r="T6" s="3738"/>
      <c r="U6" s="3739"/>
      <c r="V6" s="3740"/>
      <c r="W6" s="3740"/>
      <c r="X6" s="1354"/>
      <c r="Y6" s="3738"/>
      <c r="Z6" s="3739"/>
      <c r="AA6" s="3712"/>
      <c r="AB6" s="3712"/>
      <c r="AC6" s="3712"/>
    </row>
    <row r="7" spans="1:29" s="108" customFormat="1" ht="15.75" thickBot="1">
      <c r="A7" s="362" t="s">
        <v>1679</v>
      </c>
      <c r="B7" s="363"/>
      <c r="C7" s="364">
        <f>'数据-取费表'!B2</f>
        <v>45805</v>
      </c>
      <c r="D7" s="365">
        <v>100</v>
      </c>
      <c r="E7" s="366"/>
      <c r="F7" s="367">
        <f>SUMIF(52:52,YEAR(E7)&amp;"-"&amp;MONTH(E7),53:53)</f>
        <v>0</v>
      </c>
      <c r="G7" s="366"/>
      <c r="H7" s="365">
        <f>SUMIF(52:52,YEAR(G7)&amp;"-"&amp;MONTH(G7),53:53)</f>
        <v>0</v>
      </c>
      <c r="I7" s="366"/>
      <c r="J7" s="365">
        <f>SUMIF(52:52,YEAR(I7)&amp;"-"&amp;MONTH(I7),53:53)</f>
        <v>0</v>
      </c>
      <c r="K7" s="560"/>
      <c r="L7" s="914"/>
      <c r="M7" s="915"/>
      <c r="N7" s="915"/>
      <c r="O7" s="915"/>
      <c r="P7" s="3713" t="s">
        <v>1680</v>
      </c>
      <c r="Q7" s="3741"/>
      <c r="R7" s="700" t="s">
        <v>14</v>
      </c>
      <c r="S7" s="701">
        <f t="shared" ref="S7:S15" si="0">F7</f>
        <v>0</v>
      </c>
      <c r="T7" s="700" t="s">
        <v>14</v>
      </c>
      <c r="U7" s="701">
        <f t="shared" ref="U7:U15" si="1">H7</f>
        <v>0</v>
      </c>
      <c r="V7" s="700" t="s">
        <v>14</v>
      </c>
      <c r="W7" s="701">
        <f t="shared" ref="W7:W15" si="2">J7</f>
        <v>0</v>
      </c>
      <c r="X7" s="702"/>
      <c r="Y7" s="3713" t="s">
        <v>1680</v>
      </c>
      <c r="Z7" s="3714"/>
      <c r="AA7" s="703" t="e">
        <f>D7/F7</f>
        <v>#DIV/0!</v>
      </c>
      <c r="AB7" s="703" t="e">
        <f>D7/H7</f>
        <v>#DIV/0!</v>
      </c>
      <c r="AC7" s="703"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4"/>
      <c r="M8" s="915"/>
      <c r="N8" s="915"/>
      <c r="O8" s="915"/>
      <c r="P8" s="3713" t="s">
        <v>1683</v>
      </c>
      <c r="Q8" s="3714"/>
      <c r="R8" s="700" t="s">
        <v>14</v>
      </c>
      <c r="S8" s="701">
        <f t="shared" si="0"/>
        <v>100</v>
      </c>
      <c r="T8" s="700" t="s">
        <v>14</v>
      </c>
      <c r="U8" s="701">
        <f t="shared" si="1"/>
        <v>100</v>
      </c>
      <c r="V8" s="700" t="s">
        <v>14</v>
      </c>
      <c r="W8" s="701">
        <f t="shared" si="2"/>
        <v>100</v>
      </c>
      <c r="X8" s="702"/>
      <c r="Y8" s="3713" t="s">
        <v>1683</v>
      </c>
      <c r="Z8" s="3714"/>
      <c r="AA8" s="703">
        <f t="shared" ref="AA8:AA40" si="3">D8/F8</f>
        <v>1</v>
      </c>
      <c r="AB8" s="703">
        <f t="shared" ref="AB8:AB40" si="4">D8/H8</f>
        <v>1</v>
      </c>
      <c r="AC8" s="703">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4"/>
      <c r="M9" s="915"/>
      <c r="N9" s="915"/>
      <c r="O9" s="916"/>
      <c r="P9" s="3745" t="s">
        <v>1686</v>
      </c>
      <c r="Q9" s="1342" t="str">
        <f t="shared" ref="Q9:Q15" si="6">B9</f>
        <v>用途</v>
      </c>
      <c r="R9" s="700" t="s">
        <v>14</v>
      </c>
      <c r="S9" s="701">
        <f t="shared" si="0"/>
        <v>100</v>
      </c>
      <c r="T9" s="700" t="s">
        <v>14</v>
      </c>
      <c r="U9" s="701">
        <f t="shared" si="1"/>
        <v>100</v>
      </c>
      <c r="V9" s="700" t="s">
        <v>14</v>
      </c>
      <c r="W9" s="701">
        <f t="shared" si="2"/>
        <v>100</v>
      </c>
      <c r="X9" s="702"/>
      <c r="Y9" s="3657" t="s">
        <v>1687</v>
      </c>
      <c r="Z9" s="52" t="str">
        <f t="shared" ref="Z9:Z15" si="7">Q9</f>
        <v>用途</v>
      </c>
      <c r="AA9" s="703">
        <f t="shared" si="3"/>
        <v>1</v>
      </c>
      <c r="AB9" s="703">
        <f t="shared" si="4"/>
        <v>1</v>
      </c>
      <c r="AC9" s="703">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7"/>
      <c r="M10" s="918"/>
      <c r="N10" s="918"/>
      <c r="O10" s="919"/>
      <c r="P10" s="3745"/>
      <c r="Q10" s="1342" t="str">
        <f t="shared" si="6"/>
        <v>土地使用年限（年）</v>
      </c>
      <c r="R10" s="700" t="s">
        <v>14</v>
      </c>
      <c r="S10" s="701">
        <f t="shared" si="0"/>
        <v>100</v>
      </c>
      <c r="T10" s="700" t="s">
        <v>14</v>
      </c>
      <c r="U10" s="701">
        <f t="shared" si="1"/>
        <v>100</v>
      </c>
      <c r="V10" s="700" t="s">
        <v>14</v>
      </c>
      <c r="W10" s="701">
        <f t="shared" si="2"/>
        <v>100</v>
      </c>
      <c r="X10" s="702"/>
      <c r="Y10" s="3657"/>
      <c r="Z10" s="52" t="str">
        <f t="shared" si="7"/>
        <v>土地使用年限（年）</v>
      </c>
      <c r="AA10" s="703">
        <f t="shared" si="3"/>
        <v>1</v>
      </c>
      <c r="AB10" s="703">
        <f t="shared" si="4"/>
        <v>1</v>
      </c>
      <c r="AC10" s="703">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0"/>
      <c r="M11" s="913"/>
      <c r="N11" s="913"/>
      <c r="O11" s="921"/>
      <c r="P11" s="3745"/>
      <c r="Q11" s="1342" t="str">
        <f t="shared" si="6"/>
        <v>容积率</v>
      </c>
      <c r="R11" s="700" t="s">
        <v>14</v>
      </c>
      <c r="S11" s="701">
        <f t="shared" si="0"/>
        <v>100</v>
      </c>
      <c r="T11" s="700" t="s">
        <v>14</v>
      </c>
      <c r="U11" s="701">
        <f t="shared" si="1"/>
        <v>100</v>
      </c>
      <c r="V11" s="700" t="s">
        <v>14</v>
      </c>
      <c r="W11" s="701">
        <f t="shared" si="2"/>
        <v>100</v>
      </c>
      <c r="X11" s="702"/>
      <c r="Y11" s="3657"/>
      <c r="Z11" s="52" t="str">
        <f t="shared" si="7"/>
        <v>容积率</v>
      </c>
      <c r="AA11" s="703">
        <f t="shared" si="3"/>
        <v>1</v>
      </c>
      <c r="AB11" s="703">
        <f t="shared" si="4"/>
        <v>1</v>
      </c>
      <c r="AC11" s="703">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4"/>
      <c r="M12" s="915"/>
      <c r="N12" s="915"/>
      <c r="O12" s="916"/>
      <c r="P12" s="3745"/>
      <c r="Q12" s="1342">
        <f t="shared" si="6"/>
        <v>111</v>
      </c>
      <c r="R12" s="700" t="s">
        <v>14</v>
      </c>
      <c r="S12" s="701">
        <f t="shared" si="0"/>
        <v>100</v>
      </c>
      <c r="T12" s="700" t="s">
        <v>14</v>
      </c>
      <c r="U12" s="701">
        <f t="shared" si="1"/>
        <v>100</v>
      </c>
      <c r="V12" s="700" t="s">
        <v>14</v>
      </c>
      <c r="W12" s="701">
        <f t="shared" si="2"/>
        <v>100</v>
      </c>
      <c r="X12" s="702"/>
      <c r="Y12" s="3657"/>
      <c r="Z12" s="52">
        <f t="shared" si="7"/>
        <v>111</v>
      </c>
      <c r="AA12" s="703">
        <f>D12/F12</f>
        <v>1</v>
      </c>
      <c r="AB12" s="703">
        <f>D12/H12</f>
        <v>1</v>
      </c>
      <c r="AC12" s="703">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2"/>
      <c r="M13" s="913"/>
      <c r="N13" s="913"/>
      <c r="O13" s="921"/>
      <c r="P13" s="3745"/>
      <c r="Q13" s="1342">
        <f t="shared" si="6"/>
        <v>111</v>
      </c>
      <c r="R13" s="700" t="s">
        <v>14</v>
      </c>
      <c r="S13" s="701">
        <f t="shared" si="0"/>
        <v>100</v>
      </c>
      <c r="T13" s="700" t="s">
        <v>14</v>
      </c>
      <c r="U13" s="701">
        <f t="shared" si="1"/>
        <v>100</v>
      </c>
      <c r="V13" s="700" t="s">
        <v>14</v>
      </c>
      <c r="W13" s="701">
        <f t="shared" si="2"/>
        <v>100</v>
      </c>
      <c r="X13" s="702"/>
      <c r="Y13" s="3657"/>
      <c r="Z13" s="52">
        <f t="shared" si="7"/>
        <v>111</v>
      </c>
      <c r="AA13" s="703">
        <f t="shared" si="3"/>
        <v>1</v>
      </c>
      <c r="AB13" s="703">
        <f t="shared" si="4"/>
        <v>1</v>
      </c>
      <c r="AC13" s="703">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2"/>
      <c r="M14" s="913"/>
      <c r="N14" s="913"/>
      <c r="O14" s="921"/>
      <c r="P14" s="3745"/>
      <c r="Q14" s="1342">
        <f t="shared" si="6"/>
        <v>111</v>
      </c>
      <c r="R14" s="700" t="s">
        <v>14</v>
      </c>
      <c r="S14" s="701">
        <f t="shared" si="0"/>
        <v>100</v>
      </c>
      <c r="T14" s="700" t="s">
        <v>14</v>
      </c>
      <c r="U14" s="701">
        <f t="shared" si="1"/>
        <v>100</v>
      </c>
      <c r="V14" s="700" t="s">
        <v>14</v>
      </c>
      <c r="W14" s="701">
        <f t="shared" si="2"/>
        <v>100</v>
      </c>
      <c r="X14" s="702"/>
      <c r="Y14" s="3657"/>
      <c r="Z14" s="52">
        <f t="shared" si="7"/>
        <v>111</v>
      </c>
      <c r="AA14" s="703">
        <f t="shared" si="3"/>
        <v>1</v>
      </c>
      <c r="AB14" s="703">
        <f t="shared" si="4"/>
        <v>1</v>
      </c>
      <c r="AC14" s="703">
        <f t="shared" si="5"/>
        <v>1</v>
      </c>
    </row>
    <row r="15" spans="1:29" ht="57">
      <c r="A15" s="391" t="s">
        <v>1690</v>
      </c>
      <c r="B15" s="61" t="s">
        <v>1827</v>
      </c>
      <c r="C15" s="1970"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2"/>
      <c r="M15" s="913"/>
      <c r="N15" s="913"/>
      <c r="O15" s="921"/>
      <c r="P15" s="3747" t="s">
        <v>1691</v>
      </c>
      <c r="Q15" s="1351" t="str">
        <f t="shared" si="6"/>
        <v>产业集聚程度</v>
      </c>
      <c r="R15" s="704" t="s">
        <v>14</v>
      </c>
      <c r="S15" s="705">
        <f t="shared" si="0"/>
        <v>100</v>
      </c>
      <c r="T15" s="704" t="s">
        <v>14</v>
      </c>
      <c r="U15" s="705">
        <f t="shared" si="1"/>
        <v>100</v>
      </c>
      <c r="V15" s="704" t="s">
        <v>14</v>
      </c>
      <c r="W15" s="705">
        <f t="shared" si="2"/>
        <v>100</v>
      </c>
      <c r="X15" s="1354"/>
      <c r="Y15" s="3747" t="s">
        <v>1691</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2"/>
      <c r="M16" s="913"/>
      <c r="N16" s="913"/>
      <c r="O16" s="921"/>
      <c r="P16" s="3748"/>
      <c r="Q16" s="1351"/>
      <c r="R16" s="704"/>
      <c r="S16" s="705"/>
      <c r="T16" s="704"/>
      <c r="U16" s="705"/>
      <c r="V16" s="704"/>
      <c r="W16" s="705"/>
      <c r="X16" s="1354"/>
      <c r="Y16" s="3748"/>
      <c r="Z16" s="1355"/>
      <c r="AA16" s="1352">
        <v>1</v>
      </c>
      <c r="AB16" s="1352">
        <v>1</v>
      </c>
      <c r="AC16" s="1352">
        <v>1</v>
      </c>
    </row>
    <row r="17" spans="1:29" ht="85.5">
      <c r="A17" s="379"/>
      <c r="B17" s="402" t="s">
        <v>1259</v>
      </c>
      <c r="C17" s="1899"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2"/>
      <c r="M17" s="913"/>
      <c r="N17" s="913"/>
      <c r="O17" s="921"/>
      <c r="P17" s="3748"/>
      <c r="Q17" s="1351" t="str">
        <f>B17</f>
        <v>交通便捷度</v>
      </c>
      <c r="R17" s="704" t="s">
        <v>14</v>
      </c>
      <c r="S17" s="705">
        <f>F17</f>
        <v>100</v>
      </c>
      <c r="T17" s="704" t="s">
        <v>14</v>
      </c>
      <c r="U17" s="705">
        <f>H17</f>
        <v>100</v>
      </c>
      <c r="V17" s="704" t="s">
        <v>14</v>
      </c>
      <c r="W17" s="705">
        <f>J17</f>
        <v>100</v>
      </c>
      <c r="X17" s="1354"/>
      <c r="Y17" s="3748"/>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2"/>
      <c r="M18" s="913"/>
      <c r="N18" s="913"/>
      <c r="O18" s="921"/>
      <c r="P18" s="3748"/>
      <c r="Q18" s="1351"/>
      <c r="R18" s="704"/>
      <c r="S18" s="705"/>
      <c r="T18" s="704"/>
      <c r="U18" s="705"/>
      <c r="V18" s="704"/>
      <c r="W18" s="705"/>
      <c r="X18" s="1354"/>
      <c r="Y18" s="3748"/>
      <c r="Z18" s="1355"/>
      <c r="AA18" s="1352">
        <v>1</v>
      </c>
      <c r="AB18" s="1352">
        <v>1</v>
      </c>
      <c r="AC18" s="1352">
        <v>1</v>
      </c>
    </row>
    <row r="19" spans="1:29" ht="42.75">
      <c r="A19" s="379"/>
      <c r="B19" s="402" t="s">
        <v>1812</v>
      </c>
      <c r="C19" s="1899"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2"/>
      <c r="M19" s="913"/>
      <c r="N19" s="913"/>
      <c r="O19" s="921"/>
      <c r="P19" s="3748"/>
      <c r="Q19" s="1351" t="str">
        <f>B19</f>
        <v>公共配套设施</v>
      </c>
      <c r="R19" s="704" t="s">
        <v>14</v>
      </c>
      <c r="S19" s="705">
        <f>F19</f>
        <v>100</v>
      </c>
      <c r="T19" s="704" t="s">
        <v>14</v>
      </c>
      <c r="U19" s="705">
        <f>H19</f>
        <v>100</v>
      </c>
      <c r="V19" s="704" t="s">
        <v>14</v>
      </c>
      <c r="W19" s="705">
        <f>J19</f>
        <v>100</v>
      </c>
      <c r="X19" s="1354"/>
      <c r="Y19" s="3748"/>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2"/>
      <c r="M20" s="913"/>
      <c r="N20" s="913"/>
      <c r="O20" s="921"/>
      <c r="P20" s="3748"/>
      <c r="Q20" s="1351"/>
      <c r="R20" s="704"/>
      <c r="S20" s="705"/>
      <c r="T20" s="704"/>
      <c r="U20" s="705"/>
      <c r="V20" s="704"/>
      <c r="W20" s="705"/>
      <c r="X20" s="1354"/>
      <c r="Y20" s="3748"/>
      <c r="Z20" s="1355"/>
      <c r="AA20" s="1352">
        <v>1</v>
      </c>
      <c r="AB20" s="1352">
        <v>1</v>
      </c>
      <c r="AC20" s="1352">
        <v>1</v>
      </c>
    </row>
    <row r="21" spans="1:29" ht="28.5">
      <c r="A21" s="379"/>
      <c r="B21" s="1130" t="s">
        <v>1813</v>
      </c>
      <c r="C21" s="1899"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2"/>
      <c r="M21" s="913"/>
      <c r="N21" s="913"/>
      <c r="O21" s="921"/>
      <c r="P21" s="3748"/>
      <c r="Q21" s="1351" t="str">
        <f>B21</f>
        <v>基础设施水平</v>
      </c>
      <c r="R21" s="704" t="s">
        <v>14</v>
      </c>
      <c r="S21" s="705">
        <f>F21</f>
        <v>100</v>
      </c>
      <c r="T21" s="704" t="s">
        <v>14</v>
      </c>
      <c r="U21" s="705">
        <f>H21</f>
        <v>100</v>
      </c>
      <c r="V21" s="704" t="s">
        <v>14</v>
      </c>
      <c r="W21" s="705">
        <f>J21</f>
        <v>100</v>
      </c>
      <c r="X21" s="1354"/>
      <c r="Y21" s="3748"/>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922"/>
      <c r="M22" s="913"/>
      <c r="N22" s="913"/>
      <c r="O22" s="921"/>
      <c r="P22" s="3748"/>
      <c r="Q22" s="1351"/>
      <c r="R22" s="704"/>
      <c r="S22" s="705"/>
      <c r="T22" s="704"/>
      <c r="U22" s="705"/>
      <c r="V22" s="704"/>
      <c r="W22" s="705"/>
      <c r="X22" s="1354"/>
      <c r="Y22" s="3748"/>
      <c r="Z22" s="1355"/>
      <c r="AA22" s="1352">
        <v>1</v>
      </c>
      <c r="AB22" s="1352">
        <v>1</v>
      </c>
      <c r="AC22" s="1352">
        <v>1</v>
      </c>
    </row>
    <row r="23" spans="1:29" ht="71.25">
      <c r="A23" s="379"/>
      <c r="B23" s="402" t="s">
        <v>1814</v>
      </c>
      <c r="C23" s="1899"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2"/>
      <c r="M23" s="913"/>
      <c r="N23" s="913"/>
      <c r="O23" s="921"/>
      <c r="P23" s="3748"/>
      <c r="Q23" s="1351" t="str">
        <f>B23</f>
        <v>环境质量</v>
      </c>
      <c r="R23" s="704" t="s">
        <v>14</v>
      </c>
      <c r="S23" s="705">
        <f>F23</f>
        <v>100</v>
      </c>
      <c r="T23" s="704" t="s">
        <v>14</v>
      </c>
      <c r="U23" s="705">
        <f>H23</f>
        <v>100</v>
      </c>
      <c r="V23" s="704" t="s">
        <v>14</v>
      </c>
      <c r="W23" s="705">
        <f>J23</f>
        <v>100</v>
      </c>
      <c r="X23" s="1354"/>
      <c r="Y23" s="3748"/>
      <c r="Z23" s="1355" t="str">
        <f>Q23</f>
        <v>环境质量</v>
      </c>
      <c r="AA23" s="1352">
        <f t="shared" si="3"/>
        <v>1</v>
      </c>
      <c r="AB23" s="1352">
        <f t="shared" si="4"/>
        <v>1</v>
      </c>
      <c r="AC23" s="1352">
        <f t="shared" si="5"/>
        <v>1</v>
      </c>
    </row>
    <row r="24" spans="1:29" ht="15">
      <c r="A24" s="379"/>
      <c r="B24" s="1130"/>
      <c r="C24" s="398"/>
      <c r="D24" s="399"/>
      <c r="E24" s="1897"/>
      <c r="F24" s="400"/>
      <c r="G24" s="1896"/>
      <c r="H24" s="399"/>
      <c r="I24" s="1897"/>
      <c r="J24" s="399"/>
      <c r="K24" s="564"/>
      <c r="L24" s="922"/>
      <c r="M24" s="913"/>
      <c r="N24" s="913"/>
      <c r="O24" s="921"/>
      <c r="P24" s="3748"/>
      <c r="Q24" s="1351"/>
      <c r="R24" s="704"/>
      <c r="S24" s="705"/>
      <c r="T24" s="704"/>
      <c r="U24" s="705"/>
      <c r="V24" s="704"/>
      <c r="W24" s="705"/>
      <c r="X24" s="1354"/>
      <c r="Y24" s="3748"/>
      <c r="Z24" s="1355"/>
      <c r="AA24" s="1352">
        <v>1</v>
      </c>
      <c r="AB24" s="1352">
        <v>1</v>
      </c>
      <c r="AC24" s="1352">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2"/>
      <c r="M25" s="913"/>
      <c r="N25" s="913"/>
      <c r="O25" s="921"/>
      <c r="P25" s="3748"/>
      <c r="Q25" s="1351">
        <f>B25</f>
        <v>111</v>
      </c>
      <c r="R25" s="704" t="s">
        <v>14</v>
      </c>
      <c r="S25" s="705">
        <f>F25</f>
        <v>100</v>
      </c>
      <c r="T25" s="704" t="s">
        <v>14</v>
      </c>
      <c r="U25" s="705">
        <f>H25</f>
        <v>100</v>
      </c>
      <c r="V25" s="704" t="s">
        <v>14</v>
      </c>
      <c r="W25" s="705">
        <f>J25</f>
        <v>100</v>
      </c>
      <c r="X25" s="1354"/>
      <c r="Y25" s="3748"/>
      <c r="Z25" s="1355">
        <f>Q25</f>
        <v>111</v>
      </c>
      <c r="AA25" s="1352">
        <f t="shared" si="3"/>
        <v>1</v>
      </c>
      <c r="AB25" s="1352">
        <f t="shared" si="4"/>
        <v>1</v>
      </c>
      <c r="AC25" s="1352">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2"/>
      <c r="M26" s="913"/>
      <c r="N26" s="913"/>
      <c r="O26" s="921"/>
      <c r="P26" s="3748"/>
      <c r="Q26" s="1351">
        <f t="shared" ref="Q26:Q40" si="11">B26</f>
        <v>111</v>
      </c>
      <c r="R26" s="704" t="s">
        <v>14</v>
      </c>
      <c r="S26" s="705">
        <f>F26</f>
        <v>100</v>
      </c>
      <c r="T26" s="704" t="s">
        <v>14</v>
      </c>
      <c r="U26" s="705">
        <f>H26</f>
        <v>100</v>
      </c>
      <c r="V26" s="704" t="s">
        <v>14</v>
      </c>
      <c r="W26" s="705">
        <f>J26</f>
        <v>100</v>
      </c>
      <c r="X26" s="1354"/>
      <c r="Y26" s="3748"/>
      <c r="Z26" s="1355">
        <f>Q26</f>
        <v>111</v>
      </c>
      <c r="AA26" s="1352">
        <f t="shared" si="3"/>
        <v>1</v>
      </c>
      <c r="AB26" s="1352">
        <f t="shared" si="4"/>
        <v>1</v>
      </c>
      <c r="AC26" s="1352">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4"/>
      <c r="M27" s="915"/>
      <c r="N27" s="915"/>
      <c r="O27" s="916"/>
      <c r="P27" s="3748"/>
      <c r="Q27" s="1342">
        <f t="shared" si="11"/>
        <v>111</v>
      </c>
      <c r="R27" s="700" t="s">
        <v>14</v>
      </c>
      <c r="S27" s="701">
        <f>F27</f>
        <v>100</v>
      </c>
      <c r="T27" s="700" t="s">
        <v>14</v>
      </c>
      <c r="U27" s="701">
        <f>H27</f>
        <v>100</v>
      </c>
      <c r="V27" s="700" t="s">
        <v>14</v>
      </c>
      <c r="W27" s="701">
        <f>J27</f>
        <v>100</v>
      </c>
      <c r="X27" s="702"/>
      <c r="Y27" s="3748"/>
      <c r="Z27" s="52">
        <f>Q27</f>
        <v>111</v>
      </c>
      <c r="AA27" s="1352">
        <f>D27/F27</f>
        <v>1</v>
      </c>
      <c r="AB27" s="1352">
        <f>D27/H27</f>
        <v>1</v>
      </c>
      <c r="AC27" s="1352">
        <f>D27/J27</f>
        <v>1</v>
      </c>
    </row>
    <row r="28" spans="1:29" ht="15.75"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2"/>
      <c r="M28" s="913"/>
      <c r="N28" s="913"/>
      <c r="O28" s="921"/>
      <c r="P28" s="3748"/>
      <c r="Q28" s="1351">
        <f t="shared" si="11"/>
        <v>111</v>
      </c>
      <c r="R28" s="704" t="s">
        <v>14</v>
      </c>
      <c r="S28" s="705">
        <f t="shared" ref="S28:S40" si="12">F28</f>
        <v>100</v>
      </c>
      <c r="T28" s="704" t="s">
        <v>14</v>
      </c>
      <c r="U28" s="705">
        <f t="shared" ref="U28:U40" si="13">H28</f>
        <v>100</v>
      </c>
      <c r="V28" s="704" t="s">
        <v>14</v>
      </c>
      <c r="W28" s="705">
        <f t="shared" ref="W28:W40" si="14">J28</f>
        <v>100</v>
      </c>
      <c r="X28" s="1354"/>
      <c r="Y28" s="3748"/>
      <c r="Z28" s="1355">
        <f t="shared" ref="Z28:Z40" si="15">Q28</f>
        <v>111</v>
      </c>
      <c r="AA28" s="1352">
        <f t="shared" si="3"/>
        <v>1</v>
      </c>
      <c r="AB28" s="1352">
        <f t="shared" si="4"/>
        <v>1</v>
      </c>
      <c r="AC28" s="1352">
        <f t="shared" si="5"/>
        <v>1</v>
      </c>
    </row>
    <row r="29" spans="1:29" ht="28.5">
      <c r="A29" s="417" t="s">
        <v>1694</v>
      </c>
      <c r="B29" s="63" t="s">
        <v>1817</v>
      </c>
      <c r="C29" s="1966"/>
      <c r="D29" s="418">
        <v>100</v>
      </c>
      <c r="E29" s="1966"/>
      <c r="F29" s="412">
        <f>SUMIF(88:88,E29,89:89)-SUMIF(88:88,C29,89:89)+100</f>
        <v>100</v>
      </c>
      <c r="G29" s="1966"/>
      <c r="H29" s="386">
        <f>SUMIF(88:88,G29,89:89)-SUMIF(88:88,C29,89:89)+100</f>
        <v>100</v>
      </c>
      <c r="I29" s="1966"/>
      <c r="J29" s="418">
        <f>SUMIF(88:88,I29,89:89)-SUMIF(88:88,C29,89:89)+100</f>
        <v>100</v>
      </c>
      <c r="K29" s="561"/>
      <c r="L29" s="922"/>
      <c r="M29" s="913"/>
      <c r="N29" s="913"/>
      <c r="O29" s="921"/>
      <c r="P29" s="3771" t="s">
        <v>1696</v>
      </c>
      <c r="Q29" s="1351" t="str">
        <f t="shared" si="11"/>
        <v>建筑类型</v>
      </c>
      <c r="R29" s="704" t="s">
        <v>14</v>
      </c>
      <c r="S29" s="705">
        <f t="shared" si="12"/>
        <v>100</v>
      </c>
      <c r="T29" s="704" t="s">
        <v>14</v>
      </c>
      <c r="U29" s="705">
        <f t="shared" si="13"/>
        <v>100</v>
      </c>
      <c r="V29" s="704" t="s">
        <v>14</v>
      </c>
      <c r="W29" s="705">
        <f t="shared" si="14"/>
        <v>100</v>
      </c>
      <c r="X29" s="1354"/>
      <c r="Y29" s="3752" t="s">
        <v>1696</v>
      </c>
      <c r="Z29" s="1355" t="str">
        <f t="shared" si="15"/>
        <v>建筑类型</v>
      </c>
      <c r="AA29" s="1352">
        <f t="shared" si="3"/>
        <v>1</v>
      </c>
      <c r="AB29" s="1352">
        <f t="shared" si="4"/>
        <v>1</v>
      </c>
      <c r="AC29" s="1352">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0"/>
      <c r="M30" s="923"/>
      <c r="N30" s="923"/>
      <c r="O30" s="924"/>
      <c r="P30" s="3752"/>
      <c r="Q30" s="706" t="str">
        <f t="shared" si="11"/>
        <v>项目建筑规模</v>
      </c>
      <c r="R30" s="707" t="s">
        <v>14</v>
      </c>
      <c r="S30" s="708" t="e">
        <f t="shared" si="12"/>
        <v>#N/A</v>
      </c>
      <c r="T30" s="707" t="s">
        <v>14</v>
      </c>
      <c r="U30" s="708" t="e">
        <f t="shared" si="13"/>
        <v>#N/A</v>
      </c>
      <c r="V30" s="707" t="s">
        <v>14</v>
      </c>
      <c r="W30" s="708" t="e">
        <f t="shared" si="14"/>
        <v>#N/A</v>
      </c>
      <c r="X30" s="709"/>
      <c r="Y30" s="3752"/>
      <c r="Z30" s="710" t="str">
        <f t="shared" si="15"/>
        <v>项目建筑规模</v>
      </c>
      <c r="AA30" s="1352" t="e">
        <f t="shared" si="3"/>
        <v>#N/A</v>
      </c>
      <c r="AB30" s="1352" t="e">
        <f t="shared" si="4"/>
        <v>#N/A</v>
      </c>
      <c r="AC30" s="1352"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2"/>
      <c r="M31" s="913"/>
      <c r="N31" s="913"/>
      <c r="O31" s="921"/>
      <c r="P31" s="3752"/>
      <c r="Q31" s="1351" t="str">
        <f t="shared" si="11"/>
        <v>建筑结构</v>
      </c>
      <c r="R31" s="704" t="s">
        <v>14</v>
      </c>
      <c r="S31" s="705">
        <f t="shared" si="12"/>
        <v>100</v>
      </c>
      <c r="T31" s="704" t="s">
        <v>14</v>
      </c>
      <c r="U31" s="705">
        <f t="shared" si="13"/>
        <v>100</v>
      </c>
      <c r="V31" s="704" t="s">
        <v>14</v>
      </c>
      <c r="W31" s="705">
        <f t="shared" si="14"/>
        <v>100</v>
      </c>
      <c r="X31" s="1354"/>
      <c r="Y31" s="3752"/>
      <c r="Z31" s="1355" t="str">
        <f t="shared" si="15"/>
        <v>建筑结构</v>
      </c>
      <c r="AA31" s="1352">
        <f t="shared" si="3"/>
        <v>1</v>
      </c>
      <c r="AB31" s="1352">
        <f t="shared" si="4"/>
        <v>1</v>
      </c>
      <c r="AC31" s="1352">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2"/>
      <c r="M32" s="913"/>
      <c r="N32" s="913"/>
      <c r="O32" s="921"/>
      <c r="P32" s="3752"/>
      <c r="Q32" s="1351" t="str">
        <f t="shared" si="11"/>
        <v>公共部分装修</v>
      </c>
      <c r="R32" s="704" t="s">
        <v>14</v>
      </c>
      <c r="S32" s="705">
        <f t="shared" si="12"/>
        <v>100</v>
      </c>
      <c r="T32" s="704" t="s">
        <v>14</v>
      </c>
      <c r="U32" s="705">
        <f t="shared" si="13"/>
        <v>100</v>
      </c>
      <c r="V32" s="704" t="s">
        <v>14</v>
      </c>
      <c r="W32" s="705">
        <f t="shared" si="14"/>
        <v>100</v>
      </c>
      <c r="X32" s="1354"/>
      <c r="Y32" s="3752"/>
      <c r="Z32" s="1355" t="str">
        <f t="shared" si="15"/>
        <v>公共部分装修</v>
      </c>
      <c r="AA32" s="1352">
        <f t="shared" si="3"/>
        <v>1</v>
      </c>
      <c r="AB32" s="1352">
        <f t="shared" si="4"/>
        <v>1</v>
      </c>
      <c r="AC32" s="1352">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2"/>
      <c r="M33" s="913"/>
      <c r="N33" s="913"/>
      <c r="O33" s="921"/>
      <c r="P33" s="3752"/>
      <c r="Q33" s="1351" t="str">
        <f t="shared" si="11"/>
        <v>成新度</v>
      </c>
      <c r="R33" s="704" t="s">
        <v>14</v>
      </c>
      <c r="S33" s="705" t="e">
        <f t="shared" si="12"/>
        <v>#N/A</v>
      </c>
      <c r="T33" s="704" t="s">
        <v>14</v>
      </c>
      <c r="U33" s="705" t="e">
        <f t="shared" si="13"/>
        <v>#N/A</v>
      </c>
      <c r="V33" s="704" t="s">
        <v>14</v>
      </c>
      <c r="W33" s="705" t="e">
        <f t="shared" si="14"/>
        <v>#N/A</v>
      </c>
      <c r="X33" s="1354"/>
      <c r="Y33" s="3752"/>
      <c r="Z33" s="1355" t="str">
        <f t="shared" si="15"/>
        <v>成新度</v>
      </c>
      <c r="AA33" s="1352" t="e">
        <f t="shared" si="3"/>
        <v>#N/A</v>
      </c>
      <c r="AB33" s="1352" t="e">
        <f t="shared" si="4"/>
        <v>#N/A</v>
      </c>
      <c r="AC33" s="1352"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4"/>
      <c r="M34" s="915"/>
      <c r="N34" s="915"/>
      <c r="O34" s="916"/>
      <c r="P34" s="3752"/>
      <c r="Q34" s="1342" t="str">
        <f t="shared" si="11"/>
        <v>物业管理</v>
      </c>
      <c r="R34" s="700" t="s">
        <v>14</v>
      </c>
      <c r="S34" s="701">
        <f t="shared" si="12"/>
        <v>100</v>
      </c>
      <c r="T34" s="700" t="s">
        <v>14</v>
      </c>
      <c r="U34" s="701">
        <f t="shared" si="13"/>
        <v>100</v>
      </c>
      <c r="V34" s="700" t="s">
        <v>14</v>
      </c>
      <c r="W34" s="701">
        <f t="shared" si="14"/>
        <v>100</v>
      </c>
      <c r="X34" s="702"/>
      <c r="Y34" s="3752"/>
      <c r="Z34" s="52" t="str">
        <f t="shared" si="15"/>
        <v>物业管理</v>
      </c>
      <c r="AA34" s="703">
        <f t="shared" si="3"/>
        <v>1</v>
      </c>
      <c r="AB34" s="703">
        <f t="shared" si="4"/>
        <v>1</v>
      </c>
      <c r="AC34" s="703">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2"/>
      <c r="M35" s="913"/>
      <c r="N35" s="913"/>
      <c r="O35" s="921"/>
      <c r="P35" s="3752" t="s">
        <v>1696</v>
      </c>
      <c r="Q35" s="1351" t="str">
        <f t="shared" si="11"/>
        <v>市政基础设施</v>
      </c>
      <c r="R35" s="704" t="s">
        <v>14</v>
      </c>
      <c r="S35" s="705">
        <f t="shared" si="12"/>
        <v>100</v>
      </c>
      <c r="T35" s="704" t="s">
        <v>14</v>
      </c>
      <c r="U35" s="705">
        <f t="shared" si="13"/>
        <v>100</v>
      </c>
      <c r="V35" s="704" t="s">
        <v>14</v>
      </c>
      <c r="W35" s="705">
        <f t="shared" si="14"/>
        <v>100</v>
      </c>
      <c r="X35" s="1354"/>
      <c r="Y35" s="3752" t="s">
        <v>1696</v>
      </c>
      <c r="Z35" s="1355" t="str">
        <f t="shared" si="15"/>
        <v>市政基础设施</v>
      </c>
      <c r="AA35" s="1352">
        <f t="shared" si="3"/>
        <v>1</v>
      </c>
      <c r="AB35" s="1352">
        <f t="shared" si="4"/>
        <v>1</v>
      </c>
      <c r="AC35" s="1352">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2"/>
      <c r="M36" s="913"/>
      <c r="N36" s="913"/>
      <c r="O36" s="921"/>
      <c r="P36" s="3752"/>
      <c r="Q36" s="1351" t="str">
        <f t="shared" si="11"/>
        <v>内部装修</v>
      </c>
      <c r="R36" s="704" t="s">
        <v>14</v>
      </c>
      <c r="S36" s="705">
        <f t="shared" si="12"/>
        <v>100</v>
      </c>
      <c r="T36" s="704" t="s">
        <v>14</v>
      </c>
      <c r="U36" s="705">
        <f t="shared" si="13"/>
        <v>100</v>
      </c>
      <c r="V36" s="704" t="s">
        <v>14</v>
      </c>
      <c r="W36" s="705">
        <f t="shared" si="14"/>
        <v>100</v>
      </c>
      <c r="X36" s="1354"/>
      <c r="Y36" s="3752"/>
      <c r="Z36" s="1355" t="str">
        <f t="shared" si="15"/>
        <v>内部装修</v>
      </c>
      <c r="AA36" s="1352">
        <f t="shared" si="3"/>
        <v>1</v>
      </c>
      <c r="AB36" s="1352">
        <f t="shared" si="4"/>
        <v>1</v>
      </c>
      <c r="AC36" s="1352">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2"/>
      <c r="M37" s="913"/>
      <c r="N37" s="913"/>
      <c r="O37" s="921"/>
      <c r="P37" s="3752"/>
      <c r="Q37" s="1351" t="str">
        <f t="shared" si="11"/>
        <v>内部装修状况</v>
      </c>
      <c r="R37" s="704" t="s">
        <v>14</v>
      </c>
      <c r="S37" s="705">
        <f t="shared" si="12"/>
        <v>100</v>
      </c>
      <c r="T37" s="704" t="s">
        <v>14</v>
      </c>
      <c r="U37" s="705">
        <f t="shared" si="13"/>
        <v>100</v>
      </c>
      <c r="V37" s="704" t="s">
        <v>14</v>
      </c>
      <c r="W37" s="705">
        <f t="shared" si="14"/>
        <v>100</v>
      </c>
      <c r="X37" s="1354"/>
      <c r="Y37" s="3752"/>
      <c r="Z37" s="1355" t="str">
        <f t="shared" si="15"/>
        <v>内部装修状况</v>
      </c>
      <c r="AA37" s="1352">
        <f t="shared" si="3"/>
        <v>1</v>
      </c>
      <c r="AB37" s="1352">
        <f t="shared" si="4"/>
        <v>1</v>
      </c>
      <c r="AC37" s="1352">
        <f t="shared" si="5"/>
        <v>1</v>
      </c>
    </row>
    <row r="38" spans="1:29" s="422" customFormat="1" ht="15">
      <c r="A38" s="419"/>
      <c r="B38" s="1132">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0"/>
      <c r="M38" s="923"/>
      <c r="N38" s="923"/>
      <c r="O38" s="924"/>
      <c r="P38" s="3752"/>
      <c r="Q38" s="706">
        <f t="shared" si="11"/>
        <v>111</v>
      </c>
      <c r="R38" s="707" t="s">
        <v>14</v>
      </c>
      <c r="S38" s="708">
        <f t="shared" si="12"/>
        <v>100</v>
      </c>
      <c r="T38" s="707" t="s">
        <v>14</v>
      </c>
      <c r="U38" s="708">
        <f t="shared" si="13"/>
        <v>100</v>
      </c>
      <c r="V38" s="707" t="s">
        <v>14</v>
      </c>
      <c r="W38" s="708">
        <f t="shared" si="14"/>
        <v>100</v>
      </c>
      <c r="X38" s="709"/>
      <c r="Y38" s="3752"/>
      <c r="Z38" s="710">
        <f t="shared" si="15"/>
        <v>111</v>
      </c>
      <c r="AA38" s="1352">
        <f t="shared" si="3"/>
        <v>1</v>
      </c>
      <c r="AB38" s="1352">
        <f t="shared" si="4"/>
        <v>1</v>
      </c>
      <c r="AC38" s="1352">
        <f t="shared" si="5"/>
        <v>1</v>
      </c>
    </row>
    <row r="39" spans="1:29" ht="15">
      <c r="A39" s="423"/>
      <c r="B39" s="1132">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2"/>
      <c r="M39" s="913"/>
      <c r="N39" s="913"/>
      <c r="O39" s="921"/>
      <c r="P39" s="3752"/>
      <c r="Q39" s="1351">
        <f t="shared" si="11"/>
        <v>111</v>
      </c>
      <c r="R39" s="704" t="s">
        <v>14</v>
      </c>
      <c r="S39" s="705">
        <f t="shared" si="12"/>
        <v>100</v>
      </c>
      <c r="T39" s="704" t="s">
        <v>14</v>
      </c>
      <c r="U39" s="705">
        <f t="shared" si="13"/>
        <v>100</v>
      </c>
      <c r="V39" s="704" t="s">
        <v>14</v>
      </c>
      <c r="W39" s="705">
        <f t="shared" si="14"/>
        <v>100</v>
      </c>
      <c r="X39" s="1354"/>
      <c r="Y39" s="3752"/>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2"/>
      <c r="M40" s="913"/>
      <c r="N40" s="913"/>
      <c r="O40" s="921"/>
      <c r="P40" s="3753"/>
      <c r="Q40" s="1351">
        <f t="shared" si="11"/>
        <v>111</v>
      </c>
      <c r="R40" s="704" t="s">
        <v>14</v>
      </c>
      <c r="S40" s="705">
        <f t="shared" si="12"/>
        <v>100</v>
      </c>
      <c r="T40" s="704" t="s">
        <v>14</v>
      </c>
      <c r="U40" s="705">
        <f t="shared" si="13"/>
        <v>100</v>
      </c>
      <c r="V40" s="704" t="s">
        <v>14</v>
      </c>
      <c r="W40" s="705">
        <f t="shared" si="14"/>
        <v>100</v>
      </c>
      <c r="X40" s="1354"/>
      <c r="Y40" s="3753"/>
      <c r="Z40" s="1355">
        <f t="shared" si="15"/>
        <v>111</v>
      </c>
      <c r="AA40" s="1352">
        <f t="shared" si="3"/>
        <v>1</v>
      </c>
      <c r="AB40" s="1352">
        <f t="shared" si="4"/>
        <v>1</v>
      </c>
      <c r="AC40" s="1352">
        <f t="shared" si="5"/>
        <v>1</v>
      </c>
    </row>
    <row r="41" spans="1:29" ht="15">
      <c r="A41" s="430" t="s">
        <v>1708</v>
      </c>
      <c r="B41" s="431"/>
      <c r="C41" s="1153" t="s">
        <v>0</v>
      </c>
      <c r="D41" s="1154"/>
      <c r="E41" s="1155"/>
      <c r="F41" s="1156"/>
      <c r="G41" s="1157"/>
      <c r="H41" s="1158"/>
      <c r="I41" s="1155"/>
      <c r="J41" s="1158"/>
      <c r="K41" s="713"/>
      <c r="L41" s="925"/>
      <c r="M41" s="926"/>
      <c r="N41" s="913"/>
      <c r="O41" s="926"/>
      <c r="P41" s="3745" t="str">
        <f>A41</f>
        <v>成交单价（元/平方米）</v>
      </c>
      <c r="Q41" s="3745"/>
      <c r="R41" s="3746">
        <f>E41</f>
        <v>0</v>
      </c>
      <c r="S41" s="3746"/>
      <c r="T41" s="3746">
        <f>G41</f>
        <v>0</v>
      </c>
      <c r="U41" s="3746"/>
      <c r="V41" s="3746">
        <f>I41</f>
        <v>0</v>
      </c>
      <c r="W41" s="3746"/>
      <c r="X41" s="689"/>
      <c r="Y41" s="711"/>
      <c r="Z41" s="689"/>
      <c r="AA41" s="689"/>
      <c r="AB41" s="689"/>
      <c r="AC41" s="689"/>
    </row>
    <row r="42" spans="1:29" ht="15.75" thickBot="1">
      <c r="A42" s="437" t="s">
        <v>1793</v>
      </c>
      <c r="B42" s="438"/>
      <c r="C42" s="1159" t="e">
        <f>R43</f>
        <v>#DIV/0!</v>
      </c>
      <c r="D42" s="2316" t="s">
        <v>2138</v>
      </c>
      <c r="E42" s="1160" t="e">
        <f>R42</f>
        <v>#DIV/0!</v>
      </c>
      <c r="F42" s="2317"/>
      <c r="G42" s="1159" t="e">
        <f>T42</f>
        <v>#DIV/0!</v>
      </c>
      <c r="H42" s="2317"/>
      <c r="I42" s="1160" t="e">
        <f>V42</f>
        <v>#DIV/0!</v>
      </c>
      <c r="J42" s="2317"/>
      <c r="K42" s="2319">
        <f>F42+H42+J42</f>
        <v>0</v>
      </c>
      <c r="L42" s="925"/>
      <c r="M42" s="926"/>
      <c r="N42" s="913"/>
      <c r="O42" s="926"/>
      <c r="P42" s="3745" t="str">
        <f>A42</f>
        <v>比较价值（元/平方米）</v>
      </c>
      <c r="Q42" s="3745"/>
      <c r="R42" s="3746" t="e">
        <f>IF(F1="售价",ROUND(PRODUCT(R41,AA7:AA40),0),ROUND(PRODUCT(R41,AA7:AA40),1))</f>
        <v>#DIV/0!</v>
      </c>
      <c r="S42" s="3746"/>
      <c r="T42" s="3746" t="e">
        <f>IF(F1="售价",ROUND(PRODUCT(T41,AB7:AB40),0),ROUND(PRODUCT(T41,AB7:AB40),1))</f>
        <v>#DIV/0!</v>
      </c>
      <c r="U42" s="3746"/>
      <c r="V42" s="3746" t="e">
        <f>IF(F1="售价",ROUND(PRODUCT(V41,AC7:AC40),0),ROUND(PRODUCT(V41,AC7:AC40),1))</f>
        <v>#DIV/0!</v>
      </c>
      <c r="W42" s="3746"/>
      <c r="X42" s="689"/>
      <c r="Y42" s="689"/>
      <c r="Z42" s="689"/>
      <c r="AA42" s="689"/>
      <c r="AB42" s="689"/>
      <c r="AC42" s="689"/>
    </row>
    <row r="43" spans="1:29" ht="15.75" thickBot="1">
      <c r="A43" s="441" t="s">
        <v>1794</v>
      </c>
      <c r="B43" s="442"/>
      <c r="C43" s="1162" t="e">
        <f>R43</f>
        <v>#DIV/0!</v>
      </c>
      <c r="D43" s="1162"/>
      <c r="E43" s="1162"/>
      <c r="F43" s="1162"/>
      <c r="G43" s="1162"/>
      <c r="H43" s="1162"/>
      <c r="I43" s="1162"/>
      <c r="J43" s="1162"/>
      <c r="K43" s="714"/>
      <c r="L43" s="925"/>
      <c r="M43" s="926"/>
      <c r="N43" s="926"/>
      <c r="O43" s="926"/>
      <c r="P43" s="3742" t="str">
        <f>A43</f>
        <v>估价对象XX用房的比较价值（楼面单价，元/平方米）</v>
      </c>
      <c r="Q43" s="3743"/>
      <c r="R43" s="3744" t="e">
        <f>IF(F1="售价",ROUND(IF(D42="简单平均",AVERAGE(R42:V42),R42*F42+T42*H42+V42*J42),0),ROUND(IF(D42="简单平均",AVERAGE(R42:V42),R42*F42+T42*H42+V42*J42),1))</f>
        <v>#DIV/0!</v>
      </c>
      <c r="S43" s="3744"/>
      <c r="T43" s="3744"/>
      <c r="U43" s="3744"/>
      <c r="V43" s="3744"/>
      <c r="W43" s="3744"/>
      <c r="X43" s="689"/>
      <c r="Y43" s="689"/>
      <c r="Z43" s="689"/>
      <c r="AA43" s="689"/>
      <c r="AB43" s="689"/>
      <c r="AC43" s="689"/>
    </row>
    <row r="44" spans="1:29">
      <c r="A44" s="2724"/>
      <c r="B44" s="2724"/>
      <c r="C44" s="2724"/>
      <c r="D44" s="2724"/>
      <c r="E44" s="2724"/>
      <c r="F44" s="2724"/>
      <c r="G44" s="2728"/>
      <c r="H44" s="2724"/>
      <c r="I44" s="2724"/>
      <c r="J44" s="2724"/>
      <c r="K44" s="2729"/>
      <c r="L44" s="888"/>
      <c r="M44" s="926"/>
      <c r="N44" s="926"/>
      <c r="O44" s="926"/>
    </row>
    <row r="45" spans="1:29">
      <c r="A45" s="2724"/>
      <c r="B45" s="2724"/>
      <c r="C45" s="2724"/>
      <c r="D45" s="2724"/>
      <c r="E45" s="2724"/>
      <c r="F45" s="2724"/>
      <c r="G45" s="2724"/>
      <c r="H45" s="2724"/>
      <c r="I45" s="2724"/>
      <c r="J45" s="2724"/>
      <c r="K45" s="2729"/>
      <c r="L45" s="888"/>
      <c r="M45" s="926"/>
      <c r="N45" s="926"/>
      <c r="O45" s="926"/>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8"/>
      <c r="M46" s="926"/>
      <c r="N46" s="926"/>
      <c r="O46" s="926"/>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8"/>
      <c r="M47" s="926"/>
      <c r="N47" s="926"/>
      <c r="O47" s="926"/>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29"/>
      <c r="M48" s="927"/>
      <c r="N48" s="927"/>
      <c r="O48" s="927"/>
    </row>
    <row r="49" spans="1:17" s="451" customFormat="1">
      <c r="A49" s="2727"/>
      <c r="B49" s="2730"/>
      <c r="C49" s="2731"/>
      <c r="D49" s="2727"/>
      <c r="E49" s="2727"/>
      <c r="F49" s="2727"/>
      <c r="G49" s="2727"/>
      <c r="H49" s="2727"/>
      <c r="I49" s="2727"/>
      <c r="J49" s="2727"/>
      <c r="K49" s="2732"/>
      <c r="L49" s="929"/>
      <c r="M49" s="927"/>
      <c r="N49" s="927"/>
      <c r="O49" s="927"/>
    </row>
    <row r="50" spans="1:17">
      <c r="A50" s="2724"/>
      <c r="B50" s="2730"/>
      <c r="C50" s="2731"/>
      <c r="D50" s="2724"/>
      <c r="E50" s="2724"/>
      <c r="F50" s="2724"/>
      <c r="G50" s="2724"/>
      <c r="H50" s="2724"/>
      <c r="I50" s="2724"/>
      <c r="J50" s="2724"/>
      <c r="K50" s="2729"/>
      <c r="L50" s="888"/>
      <c r="M50" s="926"/>
      <c r="N50" s="926"/>
      <c r="O50" s="926"/>
    </row>
    <row r="51" spans="1:17" ht="21.75" thickBot="1">
      <c r="A51" s="693" t="s">
        <v>1798</v>
      </c>
      <c r="B51" s="689"/>
      <c r="C51" s="694"/>
      <c r="D51" s="694"/>
      <c r="E51" s="694"/>
      <c r="F51" s="695"/>
      <c r="G51" s="695"/>
      <c r="H51" s="694"/>
      <c r="I51" s="694"/>
      <c r="J51" s="694"/>
      <c r="K51" s="940"/>
      <c r="L51" s="941"/>
      <c r="M51" s="939"/>
      <c r="N51" s="939"/>
      <c r="O51" s="939"/>
      <c r="P51" s="452"/>
      <c r="Q51" s="453"/>
    </row>
    <row r="52" spans="1:17" s="457" customFormat="1" ht="15">
      <c r="A52" s="454" t="s">
        <v>1679</v>
      </c>
      <c r="B52" s="455"/>
      <c r="C52" s="1183" t="str">
        <f>YEAR(C7)&amp;"-"&amp;MONTH(C7)</f>
        <v>2025-5</v>
      </c>
      <c r="D52" s="1184">
        <f>EDATE(C52,-1)</f>
        <v>45748</v>
      </c>
      <c r="E52" s="1184">
        <f t="shared" ref="E52:O52" si="16">EDATE(D52,-1)</f>
        <v>45717</v>
      </c>
      <c r="F52" s="1184">
        <f t="shared" si="16"/>
        <v>45689</v>
      </c>
      <c r="G52" s="1184">
        <f t="shared" si="16"/>
        <v>45658</v>
      </c>
      <c r="H52" s="1184">
        <f t="shared" si="16"/>
        <v>45627</v>
      </c>
      <c r="I52" s="1184">
        <f t="shared" si="16"/>
        <v>45597</v>
      </c>
      <c r="J52" s="1184">
        <f t="shared" si="16"/>
        <v>45566</v>
      </c>
      <c r="K52" s="1184">
        <f t="shared" si="16"/>
        <v>45536</v>
      </c>
      <c r="L52" s="1184">
        <f t="shared" si="16"/>
        <v>45505</v>
      </c>
      <c r="M52" s="1184">
        <f t="shared" si="16"/>
        <v>45474</v>
      </c>
      <c r="N52" s="1184">
        <f t="shared" si="16"/>
        <v>45444</v>
      </c>
      <c r="O52" s="1184">
        <f t="shared" si="16"/>
        <v>45413</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9"/>
      <c r="O54" s="2770"/>
      <c r="P54" s="453"/>
      <c r="Q54" s="453"/>
    </row>
    <row r="55" spans="1:17" s="108" customFormat="1" ht="15">
      <c r="A55" s="470" t="s">
        <v>1681</v>
      </c>
      <c r="B55" s="459"/>
      <c r="C55" s="471" t="s">
        <v>1776</v>
      </c>
      <c r="D55" s="472"/>
      <c r="E55" s="472"/>
      <c r="F55" s="472"/>
      <c r="G55" s="472"/>
      <c r="H55" s="472"/>
      <c r="I55" s="472"/>
      <c r="J55" s="472"/>
      <c r="K55" s="472"/>
      <c r="L55" s="473"/>
      <c r="M55" s="474"/>
      <c r="N55" s="931"/>
      <c r="O55" s="931"/>
      <c r="P55" s="475"/>
      <c r="Q55" s="453"/>
    </row>
    <row r="56" spans="1:17" s="108" customFormat="1" ht="15.75" thickBot="1">
      <c r="A56" s="470"/>
      <c r="B56" s="459"/>
      <c r="C56" s="586">
        <v>100</v>
      </c>
      <c r="D56" s="461"/>
      <c r="E56" s="461"/>
      <c r="F56" s="461"/>
      <c r="G56" s="461"/>
      <c r="H56" s="461"/>
      <c r="I56" s="461"/>
      <c r="J56" s="461"/>
      <c r="K56" s="461"/>
      <c r="L56" s="461"/>
      <c r="M56" s="463"/>
      <c r="N56" s="931"/>
      <c r="O56" s="931"/>
      <c r="P56" s="453"/>
      <c r="Q56" s="453"/>
    </row>
    <row r="57" spans="1:17">
      <c r="A57" s="476" t="s">
        <v>1719</v>
      </c>
      <c r="B57" s="477" t="s">
        <v>1685</v>
      </c>
      <c r="C57" s="478">
        <f>C9</f>
        <v>0</v>
      </c>
      <c r="D57" s="479"/>
      <c r="E57" s="479"/>
      <c r="F57" s="479"/>
      <c r="G57" s="479"/>
      <c r="H57" s="479"/>
      <c r="I57" s="479"/>
      <c r="J57" s="479"/>
      <c r="K57" s="480"/>
      <c r="L57" s="481"/>
      <c r="M57" s="482"/>
      <c r="N57" s="932"/>
      <c r="O57" s="932"/>
      <c r="P57" s="42"/>
      <c r="Q57" s="453"/>
    </row>
    <row r="58" spans="1:17" ht="15.75" thickBot="1">
      <c r="A58" s="483"/>
      <c r="B58" s="484"/>
      <c r="C58" s="485">
        <v>100</v>
      </c>
      <c r="D58" s="485"/>
      <c r="E58" s="485"/>
      <c r="F58" s="485"/>
      <c r="G58" s="485"/>
      <c r="H58" s="485"/>
      <c r="I58" s="485"/>
      <c r="J58" s="485"/>
      <c r="K58" s="485"/>
      <c r="L58" s="485"/>
      <c r="M58" s="486"/>
      <c r="N58" s="933"/>
      <c r="O58" s="933"/>
      <c r="P58" s="42"/>
      <c r="Q58" s="453"/>
    </row>
    <row r="59" spans="1:17" ht="27.75" thickTop="1">
      <c r="A59" s="483"/>
      <c r="B59" s="487" t="s">
        <v>1688</v>
      </c>
      <c r="C59" s="532"/>
      <c r="D59" s="532"/>
      <c r="E59" s="532"/>
      <c r="F59" s="532"/>
      <c r="G59" s="532"/>
      <c r="H59" s="532"/>
      <c r="I59" s="532"/>
      <c r="J59" s="532"/>
      <c r="K59" s="533"/>
      <c r="L59" s="534"/>
      <c r="M59" s="535"/>
      <c r="N59" s="932"/>
      <c r="O59" s="932"/>
      <c r="P59" s="42"/>
      <c r="Q59" s="453"/>
    </row>
    <row r="60" spans="1:17" ht="15.75" thickBot="1">
      <c r="A60" s="483"/>
      <c r="B60" s="492"/>
      <c r="C60" s="485"/>
      <c r="D60" s="485"/>
      <c r="E60" s="485"/>
      <c r="F60" s="485"/>
      <c r="G60" s="485"/>
      <c r="H60" s="485"/>
      <c r="I60" s="485"/>
      <c r="J60" s="485"/>
      <c r="K60" s="485"/>
      <c r="L60" s="485"/>
      <c r="M60" s="486"/>
      <c r="N60" s="933"/>
      <c r="O60" s="933"/>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3"/>
      <c r="O61" s="933"/>
      <c r="P61" s="42"/>
      <c r="Q61" s="453"/>
    </row>
    <row r="62" spans="1:17" ht="15">
      <c r="A62" s="483"/>
      <c r="B62" s="497"/>
      <c r="C62" s="498">
        <v>0</v>
      </c>
      <c r="D62" s="498">
        <v>2</v>
      </c>
      <c r="E62" s="498"/>
      <c r="F62" s="498"/>
      <c r="G62" s="498"/>
      <c r="H62" s="498"/>
      <c r="I62" s="498"/>
      <c r="J62" s="498"/>
      <c r="K62" s="499"/>
      <c r="L62" s="500"/>
      <c r="M62" s="501"/>
      <c r="N62" s="932"/>
      <c r="O62" s="932"/>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3"/>
      <c r="O63" s="933"/>
      <c r="P63" s="42"/>
      <c r="Q63" s="453"/>
    </row>
    <row r="64" spans="1:17" s="422" customFormat="1" ht="15.75" thickTop="1">
      <c r="A64" s="502"/>
      <c r="B64" s="487">
        <f>B12</f>
        <v>111</v>
      </c>
      <c r="C64" s="503"/>
      <c r="D64" s="503"/>
      <c r="E64" s="503"/>
      <c r="F64" s="503"/>
      <c r="G64" s="503"/>
      <c r="H64" s="504"/>
      <c r="I64" s="504"/>
      <c r="J64" s="504"/>
      <c r="K64" s="504"/>
      <c r="L64" s="505"/>
      <c r="M64" s="506"/>
      <c r="N64" s="934"/>
      <c r="O64" s="934"/>
      <c r="P64" s="507"/>
      <c r="Q64" s="508"/>
    </row>
    <row r="65" spans="1:17" s="422" customFormat="1" ht="15.75" thickBot="1">
      <c r="A65" s="502"/>
      <c r="B65" s="492"/>
      <c r="C65" s="509"/>
      <c r="D65" s="485"/>
      <c r="E65" s="485"/>
      <c r="F65" s="485"/>
      <c r="G65" s="485"/>
      <c r="H65" s="485"/>
      <c r="I65" s="485"/>
      <c r="J65" s="485"/>
      <c r="K65" s="485"/>
      <c r="L65" s="485"/>
      <c r="M65" s="486"/>
      <c r="N65" s="933"/>
      <c r="O65" s="933"/>
      <c r="P65" s="507"/>
      <c r="Q65" s="508"/>
    </row>
    <row r="66" spans="1:17" s="422" customFormat="1" ht="15.75" thickTop="1">
      <c r="A66" s="502"/>
      <c r="B66" s="487">
        <f>B13</f>
        <v>111</v>
      </c>
      <c r="C66" s="503"/>
      <c r="D66" s="503"/>
      <c r="E66" s="503"/>
      <c r="F66" s="503"/>
      <c r="G66" s="503"/>
      <c r="H66" s="504"/>
      <c r="I66" s="504"/>
      <c r="J66" s="504"/>
      <c r="K66" s="504"/>
      <c r="L66" s="505"/>
      <c r="M66" s="506"/>
      <c r="N66" s="934"/>
      <c r="O66" s="934"/>
      <c r="P66" s="421"/>
      <c r="Q66" s="510"/>
    </row>
    <row r="67" spans="1:17" s="422" customFormat="1" ht="15.75" thickBot="1">
      <c r="A67" s="502"/>
      <c r="B67" s="492"/>
      <c r="C67" s="509"/>
      <c r="D67" s="485"/>
      <c r="E67" s="485"/>
      <c r="F67" s="485"/>
      <c r="G67" s="509"/>
      <c r="H67" s="511"/>
      <c r="I67" s="511"/>
      <c r="J67" s="511"/>
      <c r="K67" s="511"/>
      <c r="L67" s="511"/>
      <c r="M67" s="512"/>
      <c r="N67" s="934"/>
      <c r="O67" s="934"/>
      <c r="P67" s="507"/>
      <c r="Q67" s="508"/>
    </row>
    <row r="68" spans="1:17" s="422" customFormat="1" ht="15.75" thickTop="1">
      <c r="A68" s="502"/>
      <c r="B68" s="495">
        <f>B14</f>
        <v>111</v>
      </c>
      <c r="C68" s="472"/>
      <c r="D68" s="472"/>
      <c r="E68" s="472"/>
      <c r="F68" s="472"/>
      <c r="G68" s="472"/>
      <c r="H68" s="513"/>
      <c r="I68" s="513"/>
      <c r="J68" s="513"/>
      <c r="K68" s="513"/>
      <c r="L68" s="514"/>
      <c r="M68" s="515"/>
      <c r="N68" s="934"/>
      <c r="O68" s="934"/>
      <c r="P68" s="516"/>
      <c r="Q68" s="508"/>
    </row>
    <row r="69" spans="1:17" s="422" customFormat="1" ht="15.75" thickBot="1">
      <c r="A69" s="517"/>
      <c r="B69" s="518"/>
      <c r="C69" s="519"/>
      <c r="D69" s="519"/>
      <c r="E69" s="519"/>
      <c r="F69" s="519"/>
      <c r="G69" s="519"/>
      <c r="H69" s="520"/>
      <c r="I69" s="520"/>
      <c r="J69" s="520"/>
      <c r="K69" s="520"/>
      <c r="L69" s="520"/>
      <c r="M69" s="521"/>
      <c r="N69" s="934"/>
      <c r="O69" s="934"/>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2"/>
      <c r="O70" s="932"/>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3"/>
      <c r="O71" s="933"/>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2"/>
      <c r="O72" s="932"/>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3"/>
      <c r="O73" s="933"/>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2"/>
      <c r="O74" s="932"/>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3"/>
      <c r="O75" s="933"/>
      <c r="P75" s="42"/>
      <c r="Q75" s="453"/>
    </row>
    <row r="76" spans="1:17" ht="15.75" thickTop="1">
      <c r="A76" s="483"/>
      <c r="B76" s="495" t="s">
        <v>1813</v>
      </c>
      <c r="C76" s="607" t="s">
        <v>1799</v>
      </c>
      <c r="D76" s="607" t="s">
        <v>1800</v>
      </c>
      <c r="E76" s="607" t="s">
        <v>1801</v>
      </c>
      <c r="F76" s="607" t="s">
        <v>1802</v>
      </c>
      <c r="G76" s="607" t="s">
        <v>1803</v>
      </c>
      <c r="H76" s="488"/>
      <c r="I76" s="488"/>
      <c r="J76" s="488"/>
      <c r="K76" s="488"/>
      <c r="L76" s="488"/>
      <c r="M76" s="1128"/>
      <c r="N76" s="933"/>
      <c r="O76" s="933"/>
      <c r="P76" s="42"/>
      <c r="Q76" s="453"/>
    </row>
    <row r="77" spans="1:17" ht="15.75" thickBot="1">
      <c r="A77" s="483"/>
      <c r="B77" s="495"/>
      <c r="C77" s="493">
        <v>100</v>
      </c>
      <c r="D77" s="493">
        <f>C77-$K21</f>
        <v>100</v>
      </c>
      <c r="E77" s="493">
        <f>D77-$K21</f>
        <v>100</v>
      </c>
      <c r="F77" s="493">
        <f>E77-$K21</f>
        <v>100</v>
      </c>
      <c r="G77" s="493">
        <f>F77-$K21</f>
        <v>100</v>
      </c>
      <c r="H77" s="607"/>
      <c r="I77" s="607"/>
      <c r="J77" s="607"/>
      <c r="K77" s="607"/>
      <c r="L77" s="607"/>
      <c r="M77" s="401"/>
      <c r="N77" s="933"/>
      <c r="O77" s="933"/>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2"/>
      <c r="O78" s="932"/>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3"/>
      <c r="O79" s="933"/>
      <c r="P79" s="42"/>
      <c r="Q79" s="453"/>
    </row>
    <row r="80" spans="1:17" s="108" customFormat="1" ht="15.75" thickTop="1">
      <c r="A80" s="528"/>
      <c r="B80" s="487">
        <f>B25</f>
        <v>111</v>
      </c>
      <c r="C80" s="503"/>
      <c r="D80" s="503"/>
      <c r="E80" s="503"/>
      <c r="F80" s="503"/>
      <c r="G80" s="503"/>
      <c r="H80" s="503"/>
      <c r="I80" s="503"/>
      <c r="J80" s="503"/>
      <c r="K80" s="503"/>
      <c r="L80" s="529"/>
      <c r="M80" s="530"/>
      <c r="N80" s="931"/>
      <c r="O80" s="931"/>
      <c r="P80" s="42"/>
      <c r="Q80" s="453"/>
    </row>
    <row r="81" spans="1:17" s="108" customFormat="1" ht="15.75" thickBot="1">
      <c r="A81" s="528"/>
      <c r="B81" s="492"/>
      <c r="C81" s="509"/>
      <c r="D81" s="485"/>
      <c r="E81" s="485"/>
      <c r="F81" s="485"/>
      <c r="G81" s="485"/>
      <c r="H81" s="485"/>
      <c r="I81" s="485"/>
      <c r="J81" s="485"/>
      <c r="K81" s="485"/>
      <c r="L81" s="485"/>
      <c r="M81" s="486"/>
      <c r="N81" s="933"/>
      <c r="O81" s="933"/>
      <c r="P81" s="42"/>
      <c r="Q81" s="453"/>
    </row>
    <row r="82" spans="1:17" s="108" customFormat="1" ht="15.75" thickTop="1">
      <c r="A82" s="528"/>
      <c r="B82" s="487">
        <f>B26</f>
        <v>111</v>
      </c>
      <c r="C82" s="503"/>
      <c r="D82" s="503"/>
      <c r="E82" s="503"/>
      <c r="F82" s="503"/>
      <c r="G82" s="503"/>
      <c r="H82" s="503"/>
      <c r="I82" s="503"/>
      <c r="J82" s="503"/>
      <c r="K82" s="503"/>
      <c r="L82" s="529"/>
      <c r="M82" s="530"/>
      <c r="N82" s="931"/>
      <c r="O82" s="931"/>
      <c r="P82" s="42"/>
      <c r="Q82" s="453"/>
    </row>
    <row r="83" spans="1:17" s="108" customFormat="1" ht="15.75" thickBot="1">
      <c r="A83" s="528"/>
      <c r="B83" s="492"/>
      <c r="C83" s="509"/>
      <c r="D83" s="485"/>
      <c r="E83" s="485"/>
      <c r="F83" s="485"/>
      <c r="G83" s="485"/>
      <c r="H83" s="485"/>
      <c r="I83" s="485"/>
      <c r="J83" s="485"/>
      <c r="K83" s="485"/>
      <c r="L83" s="485"/>
      <c r="M83" s="486"/>
      <c r="N83" s="933"/>
      <c r="O83" s="933"/>
      <c r="P83" s="42"/>
      <c r="Q83" s="453"/>
    </row>
    <row r="84" spans="1:17" s="422" customFormat="1" ht="15.75" thickTop="1">
      <c r="A84" s="502"/>
      <c r="B84" s="487">
        <f>B27</f>
        <v>111</v>
      </c>
      <c r="C84" s="503"/>
      <c r="D84" s="503"/>
      <c r="E84" s="503"/>
      <c r="F84" s="503"/>
      <c r="G84" s="503"/>
      <c r="H84" s="503"/>
      <c r="I84" s="503"/>
      <c r="J84" s="503"/>
      <c r="K84" s="503"/>
      <c r="L84" s="529"/>
      <c r="M84" s="530"/>
      <c r="N84" s="934"/>
      <c r="O84" s="934"/>
      <c r="P84" s="507"/>
      <c r="Q84" s="508"/>
    </row>
    <row r="85" spans="1:17" s="422" customFormat="1" ht="15.75" thickBot="1">
      <c r="A85" s="502"/>
      <c r="B85" s="492"/>
      <c r="C85" s="509"/>
      <c r="D85" s="485"/>
      <c r="E85" s="485"/>
      <c r="F85" s="485"/>
      <c r="G85" s="485"/>
      <c r="H85" s="485"/>
      <c r="I85" s="485"/>
      <c r="J85" s="485"/>
      <c r="K85" s="485"/>
      <c r="L85" s="485"/>
      <c r="M85" s="486"/>
      <c r="N85" s="934"/>
      <c r="O85" s="934"/>
      <c r="P85" s="507"/>
      <c r="Q85" s="508"/>
    </row>
    <row r="86" spans="1:17" ht="15.75" thickTop="1">
      <c r="A86" s="483"/>
      <c r="B86" s="495">
        <f>B28</f>
        <v>111</v>
      </c>
      <c r="C86" s="472"/>
      <c r="D86" s="472"/>
      <c r="E86" s="472"/>
      <c r="F86" s="472"/>
      <c r="G86" s="536"/>
      <c r="H86" s="536"/>
      <c r="I86" s="536"/>
      <c r="J86" s="536"/>
      <c r="K86" s="537"/>
      <c r="L86" s="538"/>
      <c r="M86" s="539"/>
      <c r="N86" s="932"/>
      <c r="O86" s="932"/>
      <c r="P86" s="42"/>
      <c r="Q86" s="453"/>
    </row>
    <row r="87" spans="1:17" ht="15.75" thickBot="1">
      <c r="A87" s="1927"/>
      <c r="B87" s="518"/>
      <c r="C87" s="519"/>
      <c r="D87" s="519"/>
      <c r="E87" s="519"/>
      <c r="F87" s="519"/>
      <c r="G87" s="540"/>
      <c r="H87" s="540"/>
      <c r="I87" s="540"/>
      <c r="J87" s="540"/>
      <c r="K87" s="540"/>
      <c r="L87" s="540"/>
      <c r="M87" s="541"/>
      <c r="N87" s="933"/>
      <c r="O87" s="933"/>
      <c r="P87" s="42"/>
      <c r="Q87" s="453"/>
    </row>
    <row r="88" spans="1:17">
      <c r="A88" s="476" t="s">
        <v>1694</v>
      </c>
      <c r="B88" s="477" t="s">
        <v>1736</v>
      </c>
      <c r="C88" s="479"/>
      <c r="D88" s="479"/>
      <c r="E88" s="479"/>
      <c r="F88" s="479"/>
      <c r="G88" s="479"/>
      <c r="H88" s="479"/>
      <c r="I88" s="479"/>
      <c r="J88" s="479"/>
      <c r="K88" s="480"/>
      <c r="L88" s="481"/>
      <c r="M88" s="482"/>
      <c r="N88" s="932"/>
      <c r="O88" s="932"/>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3"/>
      <c r="O89" s="933"/>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69" t="str">
        <f>M91&amp;"(含)"&amp;"-"&amp;P91</f>
        <v>(含)-</v>
      </c>
      <c r="N90" s="931"/>
      <c r="O90" s="931"/>
      <c r="P90" s="42"/>
      <c r="Q90" s="453"/>
    </row>
    <row r="91" spans="1:17" s="422" customFormat="1">
      <c r="A91" s="542"/>
      <c r="B91" s="543"/>
      <c r="C91" s="544"/>
      <c r="D91" s="544"/>
      <c r="E91" s="544"/>
      <c r="F91" s="544"/>
      <c r="G91" s="544"/>
      <c r="H91" s="544"/>
      <c r="I91" s="544"/>
      <c r="J91" s="545"/>
      <c r="K91" s="545"/>
      <c r="L91" s="546"/>
      <c r="M91" s="547"/>
      <c r="N91" s="934"/>
      <c r="O91" s="934"/>
      <c r="P91" s="507"/>
      <c r="Q91" s="508"/>
    </row>
    <row r="92" spans="1:17" s="422" customFormat="1" ht="15.75" thickBot="1">
      <c r="A92" s="502"/>
      <c r="B92" s="492"/>
      <c r="C92" s="509"/>
      <c r="D92" s="485"/>
      <c r="E92" s="485"/>
      <c r="F92" s="485"/>
      <c r="G92" s="485"/>
      <c r="H92" s="485"/>
      <c r="I92" s="485"/>
      <c r="J92" s="485"/>
      <c r="K92" s="485"/>
      <c r="L92" s="485"/>
      <c r="M92" s="486"/>
      <c r="N92" s="933"/>
      <c r="O92" s="933"/>
      <c r="P92" s="507"/>
      <c r="Q92" s="508"/>
    </row>
    <row r="93" spans="1:17" ht="15" thickTop="1">
      <c r="A93" s="548"/>
      <c r="B93" s="487" t="s">
        <v>1738</v>
      </c>
      <c r="C93" s="503"/>
      <c r="D93" s="503"/>
      <c r="E93" s="532"/>
      <c r="F93" s="532"/>
      <c r="G93" s="532"/>
      <c r="H93" s="532"/>
      <c r="I93" s="532"/>
      <c r="J93" s="532"/>
      <c r="K93" s="533"/>
      <c r="L93" s="534"/>
      <c r="M93" s="535"/>
      <c r="N93" s="932"/>
      <c r="O93" s="932"/>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3"/>
      <c r="O94" s="933"/>
      <c r="P94" s="42"/>
      <c r="Q94" s="453"/>
    </row>
    <row r="95" spans="1:17" ht="15" thickTop="1">
      <c r="A95" s="548"/>
      <c r="B95" s="487" t="s">
        <v>1740</v>
      </c>
      <c r="C95" s="503"/>
      <c r="D95" s="503"/>
      <c r="E95" s="503"/>
      <c r="F95" s="532"/>
      <c r="G95" s="532"/>
      <c r="H95" s="532"/>
      <c r="I95" s="532"/>
      <c r="J95" s="532"/>
      <c r="K95" s="533"/>
      <c r="L95" s="534"/>
      <c r="M95" s="535"/>
      <c r="N95" s="932"/>
      <c r="O95" s="932"/>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3"/>
      <c r="O96" s="933"/>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2"/>
      <c r="O97" s="932"/>
      <c r="P97" s="42"/>
      <c r="Q97" s="453"/>
    </row>
    <row r="98" spans="1:17">
      <c r="A98" s="548"/>
      <c r="B98" s="495"/>
      <c r="C98" s="552">
        <v>0.5</v>
      </c>
      <c r="D98" s="552">
        <v>0.6</v>
      </c>
      <c r="E98" s="552">
        <v>0.7</v>
      </c>
      <c r="F98" s="552">
        <v>0.8</v>
      </c>
      <c r="G98" s="552">
        <v>0.9</v>
      </c>
      <c r="H98" s="552">
        <v>1.0001</v>
      </c>
      <c r="I98" s="570"/>
      <c r="J98" s="570"/>
      <c r="K98" s="571"/>
      <c r="L98" s="572"/>
      <c r="M98" s="573"/>
      <c r="N98" s="932"/>
      <c r="O98" s="932"/>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3"/>
      <c r="O99" s="933"/>
      <c r="P99" s="42"/>
      <c r="Q99" s="453"/>
    </row>
    <row r="100" spans="1:17" s="422" customFormat="1" ht="15" thickTop="1">
      <c r="A100" s="542"/>
      <c r="B100" s="487" t="s">
        <v>1741</v>
      </c>
      <c r="C100" s="503"/>
      <c r="D100" s="503"/>
      <c r="E100" s="503"/>
      <c r="F100" s="503"/>
      <c r="G100" s="503"/>
      <c r="H100" s="532"/>
      <c r="I100" s="532"/>
      <c r="J100" s="532"/>
      <c r="K100" s="533"/>
      <c r="L100" s="534"/>
      <c r="M100" s="535"/>
      <c r="N100" s="934"/>
      <c r="O100" s="934"/>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4"/>
      <c r="O101" s="934"/>
      <c r="P101" s="507"/>
      <c r="Q101" s="508"/>
    </row>
    <row r="102" spans="1:17" ht="15" thickTop="1">
      <c r="A102" s="548"/>
      <c r="B102" s="487" t="s">
        <v>1742</v>
      </c>
      <c r="C102" s="503"/>
      <c r="D102" s="503"/>
      <c r="E102" s="503"/>
      <c r="F102" s="503"/>
      <c r="G102" s="503"/>
      <c r="H102" s="532"/>
      <c r="I102" s="532"/>
      <c r="J102" s="532"/>
      <c r="K102" s="533"/>
      <c r="L102" s="534"/>
      <c r="M102" s="535"/>
      <c r="N102" s="932"/>
      <c r="O102" s="932"/>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3"/>
      <c r="O103" s="933"/>
      <c r="P103" s="42"/>
      <c r="Q103" s="453"/>
    </row>
    <row r="104" spans="1:17" ht="15" thickTop="1">
      <c r="A104" s="548"/>
      <c r="B104" s="487" t="s">
        <v>1744</v>
      </c>
      <c r="C104" s="503"/>
      <c r="D104" s="503"/>
      <c r="E104" s="503"/>
      <c r="F104" s="503"/>
      <c r="G104" s="503"/>
      <c r="H104" s="532"/>
      <c r="I104" s="532"/>
      <c r="J104" s="532"/>
      <c r="K104" s="533"/>
      <c r="L104" s="534"/>
      <c r="M104" s="535"/>
      <c r="N104" s="932"/>
      <c r="O104" s="932"/>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3"/>
      <c r="O105" s="933"/>
      <c r="P105" s="42"/>
      <c r="Q105" s="453"/>
    </row>
    <row r="106" spans="1:17" ht="15" thickTop="1">
      <c r="A106" s="548"/>
      <c r="B106" s="583" t="s">
        <v>1830</v>
      </c>
      <c r="C106" s="527" t="s">
        <v>1721</v>
      </c>
      <c r="D106" s="527" t="s">
        <v>1722</v>
      </c>
      <c r="E106" s="527" t="s">
        <v>1723</v>
      </c>
      <c r="F106" s="527" t="s">
        <v>1724</v>
      </c>
      <c r="G106" s="527" t="s">
        <v>1725</v>
      </c>
      <c r="H106" s="488"/>
      <c r="I106" s="488"/>
      <c r="J106" s="488"/>
      <c r="K106" s="489"/>
      <c r="L106" s="490"/>
      <c r="M106" s="491"/>
      <c r="N106" s="933"/>
      <c r="O106" s="933"/>
      <c r="P106" s="584"/>
      <c r="Q106" s="585"/>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3"/>
      <c r="O107" s="933"/>
      <c r="P107" s="42"/>
      <c r="Q107" s="453"/>
    </row>
    <row r="108" spans="1:17" s="422" customFormat="1" ht="15" thickTop="1">
      <c r="A108" s="542"/>
      <c r="B108" s="487">
        <f>B38</f>
        <v>111</v>
      </c>
      <c r="C108" s="503"/>
      <c r="D108" s="503"/>
      <c r="E108" s="503"/>
      <c r="F108" s="503"/>
      <c r="G108" s="503"/>
      <c r="H108" s="504"/>
      <c r="I108" s="504"/>
      <c r="J108" s="504"/>
      <c r="K108" s="504"/>
      <c r="L108" s="505"/>
      <c r="M108" s="506"/>
      <c r="N108" s="934"/>
      <c r="O108" s="934"/>
      <c r="P108" s="507"/>
      <c r="Q108" s="508"/>
    </row>
    <row r="109" spans="1:17" s="422" customFormat="1" ht="15.75" thickBot="1">
      <c r="A109" s="502"/>
      <c r="B109" s="484"/>
      <c r="C109" s="509"/>
      <c r="D109" s="485"/>
      <c r="E109" s="485"/>
      <c r="F109" s="485"/>
      <c r="G109" s="509"/>
      <c r="H109" s="511"/>
      <c r="I109" s="511"/>
      <c r="J109" s="511"/>
      <c r="K109" s="511"/>
      <c r="L109" s="511"/>
      <c r="M109" s="512"/>
      <c r="N109" s="934"/>
      <c r="O109" s="934"/>
      <c r="P109" s="507"/>
      <c r="Q109" s="508"/>
    </row>
    <row r="110" spans="1:17" ht="15" thickTop="1">
      <c r="A110" s="548"/>
      <c r="B110" s="487">
        <f>B39</f>
        <v>111</v>
      </c>
      <c r="C110" s="503"/>
      <c r="D110" s="503"/>
      <c r="E110" s="503"/>
      <c r="F110" s="503"/>
      <c r="G110" s="503"/>
      <c r="H110" s="504"/>
      <c r="I110" s="504"/>
      <c r="J110" s="504"/>
      <c r="K110" s="504"/>
      <c r="L110" s="505"/>
      <c r="M110" s="506"/>
      <c r="N110" s="932"/>
      <c r="O110" s="932"/>
      <c r="P110" s="42"/>
      <c r="Q110" s="453"/>
    </row>
    <row r="111" spans="1:17" ht="15.75" thickBot="1">
      <c r="A111" s="483"/>
      <c r="B111" s="492"/>
      <c r="C111" s="509"/>
      <c r="D111" s="485"/>
      <c r="E111" s="485"/>
      <c r="F111" s="485"/>
      <c r="G111" s="509"/>
      <c r="H111" s="511"/>
      <c r="I111" s="511"/>
      <c r="J111" s="511"/>
      <c r="K111" s="511"/>
      <c r="L111" s="511"/>
      <c r="M111" s="512"/>
      <c r="N111" s="933"/>
      <c r="O111" s="933"/>
      <c r="P111" s="42"/>
      <c r="Q111" s="453"/>
    </row>
    <row r="112" spans="1:17" ht="15" thickTop="1">
      <c r="A112" s="548"/>
      <c r="B112" s="495">
        <f>B40</f>
        <v>111</v>
      </c>
      <c r="C112" s="472"/>
      <c r="D112" s="472"/>
      <c r="E112" s="472"/>
      <c r="F112" s="472"/>
      <c r="G112" s="536"/>
      <c r="H112" s="536"/>
      <c r="I112" s="536"/>
      <c r="J112" s="536"/>
      <c r="K112" s="472"/>
      <c r="L112" s="473"/>
      <c r="M112" s="539"/>
      <c r="N112" s="932"/>
      <c r="O112" s="932"/>
      <c r="P112" s="42"/>
      <c r="Q112" s="453"/>
    </row>
    <row r="113" spans="1:17" ht="15.75" thickBot="1">
      <c r="A113" s="1927"/>
      <c r="B113" s="518"/>
      <c r="C113" s="519"/>
      <c r="D113" s="519"/>
      <c r="E113" s="519"/>
      <c r="F113" s="519"/>
      <c r="G113" s="540"/>
      <c r="H113" s="540"/>
      <c r="I113" s="540"/>
      <c r="J113" s="540"/>
      <c r="K113" s="540"/>
      <c r="L113" s="540"/>
      <c r="M113" s="541"/>
      <c r="N113" s="933"/>
      <c r="O113" s="933"/>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33" priority="20" stopIfTrue="1" operator="containsText" text="超过">
      <formula>NOT(ISERROR(SEARCH("超过",F46)))</formula>
    </cfRule>
  </conditionalFormatting>
  <conditionalFormatting sqref="H48">
    <cfRule type="containsText" dxfId="132" priority="19" stopIfTrue="1" operator="containsText" text="超过">
      <formula>NOT(ISERROR(SEARCH("超过",H48)))</formula>
    </cfRule>
  </conditionalFormatting>
  <conditionalFormatting sqref="F48">
    <cfRule type="containsText" dxfId="131" priority="18" stopIfTrue="1" operator="containsText" text="超过">
      <formula>NOT(ISERROR(SEARCH("超过",F48)))</formula>
    </cfRule>
  </conditionalFormatting>
  <conditionalFormatting sqref="F47 H47">
    <cfRule type="containsText" dxfId="130" priority="17" stopIfTrue="1" operator="containsText" text="超过">
      <formula>NOT(ISERROR(SEARCH("超过",F47)))</formula>
    </cfRule>
  </conditionalFormatting>
  <conditionalFormatting sqref="E46">
    <cfRule type="expression" dxfId="129" priority="16" stopIfTrue="1">
      <formula>$F$46="超过30%"</formula>
    </cfRule>
  </conditionalFormatting>
  <conditionalFormatting sqref="E47">
    <cfRule type="expression" dxfId="128" priority="15" stopIfTrue="1">
      <formula>$F$47="超过20%"</formula>
    </cfRule>
  </conditionalFormatting>
  <conditionalFormatting sqref="E48">
    <cfRule type="expression" dxfId="127" priority="14" stopIfTrue="1">
      <formula>$F$48="超过30%"</formula>
    </cfRule>
  </conditionalFormatting>
  <conditionalFormatting sqref="G48">
    <cfRule type="expression" dxfId="126" priority="13" stopIfTrue="1">
      <formula>$H$48="超过30%"</formula>
    </cfRule>
  </conditionalFormatting>
  <conditionalFormatting sqref="G46">
    <cfRule type="expression" dxfId="125" priority="12" stopIfTrue="1">
      <formula>$H$46="超过30%"</formula>
    </cfRule>
  </conditionalFormatting>
  <conditionalFormatting sqref="G47">
    <cfRule type="expression" dxfId="124" priority="11" stopIfTrue="1">
      <formula>$H$47="超过20%"</formula>
    </cfRule>
  </conditionalFormatting>
  <conditionalFormatting sqref="J46">
    <cfRule type="containsText" dxfId="123" priority="10" stopIfTrue="1" operator="containsText" text="超过">
      <formula>NOT(ISERROR(SEARCH("超过",J46)))</formula>
    </cfRule>
  </conditionalFormatting>
  <conditionalFormatting sqref="J48">
    <cfRule type="containsText" dxfId="122" priority="9" stopIfTrue="1" operator="containsText" text="超过">
      <formula>NOT(ISERROR(SEARCH("超过",J48)))</formula>
    </cfRule>
  </conditionalFormatting>
  <conditionalFormatting sqref="J47">
    <cfRule type="containsText" dxfId="121" priority="8" stopIfTrue="1" operator="containsText" text="超过">
      <formula>NOT(ISERROR(SEARCH("超过",J47)))</formula>
    </cfRule>
  </conditionalFormatting>
  <conditionalFormatting sqref="I46">
    <cfRule type="expression" dxfId="120" priority="7" stopIfTrue="1">
      <formula>$J$46="超过30%"</formula>
    </cfRule>
  </conditionalFormatting>
  <conditionalFormatting sqref="I47">
    <cfRule type="expression" dxfId="119" priority="6" stopIfTrue="1">
      <formula>$J$47="超过20%"</formula>
    </cfRule>
  </conditionalFormatting>
  <conditionalFormatting sqref="I48">
    <cfRule type="expression" dxfId="118" priority="5" stopIfTrue="1">
      <formula>$J$48="超过30%"</formula>
    </cfRule>
  </conditionalFormatting>
  <conditionalFormatting sqref="F42">
    <cfRule type="expression" dxfId="117" priority="4">
      <formula>$D$42="简单平均"</formula>
    </cfRule>
  </conditionalFormatting>
  <conditionalFormatting sqref="H42">
    <cfRule type="expression" dxfId="116" priority="3">
      <formula>$D$42="简单平均"</formula>
    </cfRule>
  </conditionalFormatting>
  <conditionalFormatting sqref="J42">
    <cfRule type="expression" dxfId="115" priority="2">
      <formula>$D$42="简单平均"</formula>
    </cfRule>
  </conditionalFormatting>
  <conditionalFormatting sqref="F7:F40 H7:H40 J7:J40">
    <cfRule type="cellIs" dxfId="11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1831</v>
      </c>
      <c r="B1" s="1222" t="s">
        <v>3333</v>
      </c>
      <c r="C1" s="1223" t="s">
        <v>1662</v>
      </c>
      <c r="D1" s="1224"/>
      <c r="E1" s="3432"/>
      <c r="F1" s="1878"/>
      <c r="G1" s="1226" t="s">
        <v>1767</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IF(B37="元/平方米",ROUND(C39*D3/10000,0),ROUND(F3*C39/10000,0)),IF(B37="元/平方米",ROUND(C39*D3/10000,0),ROUND(F3*C39/10000,0))-D2),IF(E1="单套模式",IF(C2="——",IF(B37="元/平方米",ROUND(C39*D3/10000,0),ROUND(F3*C39/10000,0)),IF(B37="元/平方米",ROUND(C39*D3/10000,0),ROUND(F3*C39/10000,0))-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1164"/>
      <c r="Q2" s="698"/>
      <c r="R2" s="698"/>
      <c r="S2" s="698"/>
      <c r="T2" s="698"/>
      <c r="U2" s="698"/>
      <c r="V2" s="698"/>
      <c r="W2" s="698"/>
      <c r="X2" s="698"/>
      <c r="Y2" s="698"/>
      <c r="Z2" s="698"/>
      <c r="AA2" s="698"/>
      <c r="AB2" s="698"/>
      <c r="AC2" s="699"/>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7"/>
      <c r="H3" s="907"/>
      <c r="I3" s="907"/>
      <c r="J3" s="907"/>
      <c r="K3" s="909"/>
      <c r="L3" s="2733"/>
      <c r="M3" s="2734" t="e">
        <f ca="1">IF(C2="——",IF(B37="元/平方米",ROUND(C39*D3/10000,0),ROUND(F3*C39/10000,0)),IF(B37="元/平方米",ROUND(C39*D3/10000,0),ROUND(F3*C39/10000,0))-D2)</f>
        <v>#DIV/0!</v>
      </c>
      <c r="N3" s="2734"/>
      <c r="O3" s="2734"/>
      <c r="P3" s="1164"/>
      <c r="Q3" s="698"/>
      <c r="R3" s="698"/>
      <c r="S3" s="698"/>
      <c r="T3" s="698"/>
      <c r="U3" s="698"/>
      <c r="V3" s="698"/>
      <c r="W3" s="698"/>
      <c r="X3" s="698"/>
      <c r="Y3" s="698"/>
      <c r="Z3" s="698"/>
      <c r="AA3" s="698"/>
      <c r="AB3" s="715"/>
      <c r="AC3" s="712"/>
    </row>
    <row r="4" spans="1:29" ht="15">
      <c r="A4" s="355" t="s">
        <v>1769</v>
      </c>
      <c r="B4" s="356"/>
      <c r="C4" s="3728" t="s">
        <v>1770</v>
      </c>
      <c r="D4" s="3729"/>
      <c r="E4" s="3730" t="s">
        <v>1771</v>
      </c>
      <c r="F4" s="3731"/>
      <c r="G4" s="3728" t="s">
        <v>1772</v>
      </c>
      <c r="H4" s="3729"/>
      <c r="I4" s="3728" t="s">
        <v>1773</v>
      </c>
      <c r="J4" s="3729"/>
      <c r="K4" s="559" t="s">
        <v>1774</v>
      </c>
      <c r="L4" s="2714"/>
      <c r="M4" s="2715"/>
      <c r="N4" s="2715"/>
      <c r="O4" s="2715"/>
      <c r="P4" s="3732" t="s">
        <v>1775</v>
      </c>
      <c r="Q4" s="3733"/>
      <c r="R4" s="3715" t="s">
        <v>1771</v>
      </c>
      <c r="S4" s="3716"/>
      <c r="T4" s="3715" t="s">
        <v>1772</v>
      </c>
      <c r="U4" s="3716"/>
      <c r="V4" s="3740" t="s">
        <v>1773</v>
      </c>
      <c r="W4" s="3740"/>
      <c r="X4" s="1354"/>
      <c r="Y4" s="3715" t="s">
        <v>1775</v>
      </c>
      <c r="Z4" s="3716"/>
      <c r="AA4" s="3710" t="s">
        <v>1771</v>
      </c>
      <c r="AB4" s="3711" t="s">
        <v>1772</v>
      </c>
      <c r="AC4" s="3710" t="s">
        <v>1773</v>
      </c>
    </row>
    <row r="5" spans="1:29" ht="15">
      <c r="A5" s="358"/>
      <c r="B5" s="359"/>
      <c r="C5" s="3721" t="s">
        <v>1673</v>
      </c>
      <c r="D5" s="3722"/>
      <c r="E5" s="3719" t="s">
        <v>1674</v>
      </c>
      <c r="F5" s="3720"/>
      <c r="G5" s="3721" t="s">
        <v>1675</v>
      </c>
      <c r="H5" s="3722"/>
      <c r="I5" s="3721" t="s">
        <v>1676</v>
      </c>
      <c r="J5" s="3722"/>
      <c r="K5" s="559"/>
      <c r="L5" s="2714"/>
      <c r="M5" s="2715"/>
      <c r="N5" s="2715"/>
      <c r="O5" s="2715"/>
      <c r="P5" s="3734"/>
      <c r="Q5" s="3735"/>
      <c r="R5" s="3717"/>
      <c r="S5" s="3718"/>
      <c r="T5" s="3717"/>
      <c r="U5" s="3718"/>
      <c r="V5" s="3740"/>
      <c r="W5" s="3740"/>
      <c r="X5" s="1354"/>
      <c r="Y5" s="3717"/>
      <c r="Z5" s="3718"/>
      <c r="AA5" s="3711"/>
      <c r="AB5" s="3711"/>
      <c r="AC5" s="3711"/>
    </row>
    <row r="6" spans="1:29" ht="15.75" thickBot="1">
      <c r="A6" s="360"/>
      <c r="B6" s="361"/>
      <c r="C6" s="3723" t="s">
        <v>1677</v>
      </c>
      <c r="D6" s="3724"/>
      <c r="E6" s="3725" t="s">
        <v>1677</v>
      </c>
      <c r="F6" s="3726"/>
      <c r="G6" s="3723" t="s">
        <v>1677</v>
      </c>
      <c r="H6" s="3724"/>
      <c r="I6" s="3723" t="s">
        <v>1677</v>
      </c>
      <c r="J6" s="3724"/>
      <c r="K6" s="559" t="s">
        <v>1678</v>
      </c>
      <c r="L6" s="2714"/>
      <c r="M6" s="2715"/>
      <c r="N6" s="2715"/>
      <c r="O6" s="2715"/>
      <c r="P6" s="3736"/>
      <c r="Q6" s="3737"/>
      <c r="R6" s="3717"/>
      <c r="S6" s="3718"/>
      <c r="T6" s="3738"/>
      <c r="U6" s="3739"/>
      <c r="V6" s="3740"/>
      <c r="W6" s="3740"/>
      <c r="X6" s="1354"/>
      <c r="Y6" s="3738"/>
      <c r="Z6" s="3739"/>
      <c r="AA6" s="3712"/>
      <c r="AB6" s="3712"/>
      <c r="AC6" s="3712"/>
    </row>
    <row r="7" spans="1:29" s="108" customFormat="1" ht="15.75" thickBot="1">
      <c r="A7" s="362" t="s">
        <v>1679</v>
      </c>
      <c r="B7" s="363"/>
      <c r="C7" s="364">
        <f>'数据-取费表'!B2</f>
        <v>45805</v>
      </c>
      <c r="D7" s="365">
        <v>100</v>
      </c>
      <c r="E7" s="366"/>
      <c r="F7" s="367">
        <f>SUMIF(48:48,YEAR(E7)&amp;"-"&amp;MONTH(E7),49:49)</f>
        <v>0</v>
      </c>
      <c r="G7" s="366"/>
      <c r="H7" s="365">
        <f>SUMIF(48:48,YEAR(G7)&amp;"-"&amp;MONTH(G7),49:49)</f>
        <v>0</v>
      </c>
      <c r="I7" s="366"/>
      <c r="J7" s="365">
        <f>SUMIF(48:48,YEAR(I7)&amp;"-"&amp;MONTH(I7),49:49)</f>
        <v>0</v>
      </c>
      <c r="K7" s="560"/>
      <c r="L7" s="2716"/>
      <c r="M7" s="2717"/>
      <c r="N7" s="2717"/>
      <c r="O7" s="2717"/>
      <c r="P7" s="3713" t="s">
        <v>1680</v>
      </c>
      <c r="Q7" s="3741"/>
      <c r="R7" s="700" t="s">
        <v>14</v>
      </c>
      <c r="S7" s="701">
        <f t="shared" ref="S7:S14" si="0">F7</f>
        <v>0</v>
      </c>
      <c r="T7" s="700" t="s">
        <v>14</v>
      </c>
      <c r="U7" s="701">
        <f t="shared" ref="U7:U14" si="1">H7</f>
        <v>0</v>
      </c>
      <c r="V7" s="700" t="s">
        <v>14</v>
      </c>
      <c r="W7" s="701">
        <f t="shared" ref="W7:W14" si="2">J7</f>
        <v>0</v>
      </c>
      <c r="X7" s="702"/>
      <c r="Y7" s="3713" t="s">
        <v>1680</v>
      </c>
      <c r="Z7" s="3714"/>
      <c r="AA7" s="703" t="e">
        <f>D7/F7</f>
        <v>#DIV/0!</v>
      </c>
      <c r="AB7" s="703" t="e">
        <f>D7/H7</f>
        <v>#DIV/0!</v>
      </c>
      <c r="AC7" s="703"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713" t="s">
        <v>1683</v>
      </c>
      <c r="Q8" s="3714"/>
      <c r="R8" s="700" t="s">
        <v>14</v>
      </c>
      <c r="S8" s="701">
        <f t="shared" si="0"/>
        <v>100</v>
      </c>
      <c r="T8" s="700" t="s">
        <v>14</v>
      </c>
      <c r="U8" s="701">
        <f t="shared" si="1"/>
        <v>100</v>
      </c>
      <c r="V8" s="700" t="s">
        <v>14</v>
      </c>
      <c r="W8" s="701">
        <f t="shared" si="2"/>
        <v>100</v>
      </c>
      <c r="X8" s="702"/>
      <c r="Y8" s="3713" t="s">
        <v>1683</v>
      </c>
      <c r="Z8" s="3714"/>
      <c r="AA8" s="703">
        <f t="shared" ref="AA8:AA36" si="3">D8/F8</f>
        <v>1</v>
      </c>
      <c r="AB8" s="703">
        <f t="shared" ref="AB8:AB36" si="4">D8/H8</f>
        <v>1</v>
      </c>
      <c r="AC8" s="703">
        <f t="shared" ref="AC8:AC36" si="5">D8/J8</f>
        <v>1</v>
      </c>
    </row>
    <row r="9" spans="1:29" s="108" customFormat="1">
      <c r="A9" s="60" t="s">
        <v>1684</v>
      </c>
      <c r="B9" s="587"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745" t="s">
        <v>1686</v>
      </c>
      <c r="Q9" s="1342" t="str">
        <f t="shared" ref="Q9:Q14" si="6">B9</f>
        <v>用途</v>
      </c>
      <c r="R9" s="700" t="s">
        <v>14</v>
      </c>
      <c r="S9" s="701">
        <f t="shared" si="0"/>
        <v>100</v>
      </c>
      <c r="T9" s="700" t="s">
        <v>14</v>
      </c>
      <c r="U9" s="701">
        <f t="shared" si="1"/>
        <v>100</v>
      </c>
      <c r="V9" s="700" t="s">
        <v>14</v>
      </c>
      <c r="W9" s="701">
        <f t="shared" si="2"/>
        <v>100</v>
      </c>
      <c r="X9" s="702"/>
      <c r="Y9" s="3657" t="s">
        <v>1687</v>
      </c>
      <c r="Z9" s="52" t="str">
        <f t="shared" ref="Z9:Z14" si="7">Q9</f>
        <v>用途</v>
      </c>
      <c r="AA9" s="703">
        <f t="shared" si="3"/>
        <v>1</v>
      </c>
      <c r="AB9" s="703">
        <f t="shared" si="4"/>
        <v>1</v>
      </c>
      <c r="AC9" s="703">
        <f t="shared" si="5"/>
        <v>1</v>
      </c>
    </row>
    <row r="10" spans="1:29" s="378" customFormat="1" ht="27">
      <c r="A10" s="588"/>
      <c r="B10" s="589"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745"/>
      <c r="Q10" s="1342" t="str">
        <f t="shared" si="6"/>
        <v>土地使用年限（年）</v>
      </c>
      <c r="R10" s="700" t="s">
        <v>14</v>
      </c>
      <c r="S10" s="701">
        <f t="shared" si="0"/>
        <v>100</v>
      </c>
      <c r="T10" s="700" t="s">
        <v>14</v>
      </c>
      <c r="U10" s="701">
        <f t="shared" si="1"/>
        <v>100</v>
      </c>
      <c r="V10" s="700" t="s">
        <v>14</v>
      </c>
      <c r="W10" s="701">
        <f t="shared" si="2"/>
        <v>100</v>
      </c>
      <c r="X10" s="702"/>
      <c r="Y10" s="3657"/>
      <c r="Z10" s="52" t="str">
        <f t="shared" si="7"/>
        <v>土地使用年限（年）</v>
      </c>
      <c r="AA10" s="703">
        <f t="shared" si="3"/>
        <v>1</v>
      </c>
      <c r="AB10" s="703">
        <f t="shared" si="4"/>
        <v>1</v>
      </c>
      <c r="AC10" s="703">
        <f t="shared" si="5"/>
        <v>1</v>
      </c>
    </row>
    <row r="11" spans="1:29" ht="15">
      <c r="A11" s="590"/>
      <c r="B11" s="591">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745"/>
      <c r="Q11" s="1342">
        <f t="shared" si="6"/>
        <v>111</v>
      </c>
      <c r="R11" s="700" t="s">
        <v>14</v>
      </c>
      <c r="S11" s="701">
        <f t="shared" si="0"/>
        <v>100</v>
      </c>
      <c r="T11" s="700" t="s">
        <v>14</v>
      </c>
      <c r="U11" s="701">
        <f t="shared" si="1"/>
        <v>100</v>
      </c>
      <c r="V11" s="700" t="s">
        <v>14</v>
      </c>
      <c r="W11" s="701">
        <f t="shared" si="2"/>
        <v>100</v>
      </c>
      <c r="X11" s="702"/>
      <c r="Y11" s="3657"/>
      <c r="Z11" s="52">
        <f t="shared" si="7"/>
        <v>111</v>
      </c>
      <c r="AA11" s="703">
        <f t="shared" si="3"/>
        <v>1</v>
      </c>
      <c r="AB11" s="703">
        <f t="shared" si="4"/>
        <v>1</v>
      </c>
      <c r="AC11" s="703">
        <f t="shared" si="5"/>
        <v>1</v>
      </c>
    </row>
    <row r="12" spans="1:29" s="108" customFormat="1" ht="15">
      <c r="A12" s="592"/>
      <c r="B12" s="591">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745"/>
      <c r="Q12" s="1342">
        <f t="shared" si="6"/>
        <v>111</v>
      </c>
      <c r="R12" s="700" t="s">
        <v>14</v>
      </c>
      <c r="S12" s="701">
        <f t="shared" si="0"/>
        <v>100</v>
      </c>
      <c r="T12" s="700" t="s">
        <v>14</v>
      </c>
      <c r="U12" s="701">
        <f t="shared" si="1"/>
        <v>100</v>
      </c>
      <c r="V12" s="700" t="s">
        <v>14</v>
      </c>
      <c r="W12" s="701">
        <f t="shared" si="2"/>
        <v>100</v>
      </c>
      <c r="X12" s="702"/>
      <c r="Y12" s="3657"/>
      <c r="Z12" s="52">
        <f t="shared" si="7"/>
        <v>111</v>
      </c>
      <c r="AA12" s="703">
        <f>D12/F12</f>
        <v>1</v>
      </c>
      <c r="AB12" s="703">
        <f>D12/H12</f>
        <v>1</v>
      </c>
      <c r="AC12" s="703">
        <f>D12/J12</f>
        <v>1</v>
      </c>
    </row>
    <row r="13" spans="1:29" ht="15.75" thickBot="1">
      <c r="A13" s="593"/>
      <c r="B13" s="591">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745"/>
      <c r="Q13" s="1342">
        <f t="shared" si="6"/>
        <v>111</v>
      </c>
      <c r="R13" s="700" t="s">
        <v>14</v>
      </c>
      <c r="S13" s="701">
        <f t="shared" si="0"/>
        <v>100</v>
      </c>
      <c r="T13" s="700" t="s">
        <v>14</v>
      </c>
      <c r="U13" s="701">
        <f t="shared" si="1"/>
        <v>100</v>
      </c>
      <c r="V13" s="700" t="s">
        <v>14</v>
      </c>
      <c r="W13" s="701">
        <f t="shared" si="2"/>
        <v>100</v>
      </c>
      <c r="X13" s="702"/>
      <c r="Y13" s="3657"/>
      <c r="Z13" s="52">
        <f t="shared" si="7"/>
        <v>111</v>
      </c>
      <c r="AA13" s="703">
        <f t="shared" si="3"/>
        <v>1</v>
      </c>
      <c r="AB13" s="703">
        <f t="shared" si="4"/>
        <v>1</v>
      </c>
      <c r="AC13" s="703">
        <f t="shared" si="5"/>
        <v>1</v>
      </c>
    </row>
    <row r="14" spans="1:29" ht="85.5">
      <c r="A14" s="355" t="s">
        <v>1690</v>
      </c>
      <c r="B14" s="576" t="s">
        <v>1833</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747" t="s">
        <v>1691</v>
      </c>
      <c r="Q14" s="1351" t="str">
        <f t="shared" si="6"/>
        <v>交通便捷度</v>
      </c>
      <c r="R14" s="704" t="s">
        <v>14</v>
      </c>
      <c r="S14" s="705">
        <f t="shared" si="0"/>
        <v>100</v>
      </c>
      <c r="T14" s="704" t="s">
        <v>14</v>
      </c>
      <c r="U14" s="705">
        <f t="shared" si="1"/>
        <v>100</v>
      </c>
      <c r="V14" s="704" t="s">
        <v>14</v>
      </c>
      <c r="W14" s="705">
        <f t="shared" si="2"/>
        <v>100</v>
      </c>
      <c r="X14" s="1354"/>
      <c r="Y14" s="3747" t="s">
        <v>1691</v>
      </c>
      <c r="Z14" s="1355" t="str">
        <f t="shared" si="7"/>
        <v>交通便捷度</v>
      </c>
      <c r="AA14" s="1352">
        <f t="shared" si="3"/>
        <v>1</v>
      </c>
      <c r="AB14" s="1352">
        <f t="shared" si="4"/>
        <v>1</v>
      </c>
      <c r="AC14" s="1352">
        <f t="shared" si="5"/>
        <v>1</v>
      </c>
    </row>
    <row r="15" spans="1:29" ht="15">
      <c r="A15" s="358"/>
      <c r="B15" s="594"/>
      <c r="C15" s="398"/>
      <c r="D15" s="399"/>
      <c r="E15" s="398"/>
      <c r="F15" s="400"/>
      <c r="G15" s="398"/>
      <c r="H15" s="401"/>
      <c r="I15" s="398"/>
      <c r="J15" s="399"/>
      <c r="K15" s="564"/>
      <c r="L15" s="2721"/>
      <c r="M15" s="2715"/>
      <c r="N15" s="2715"/>
      <c r="O15" s="2715"/>
      <c r="P15" s="3748"/>
      <c r="Q15" s="1351"/>
      <c r="R15" s="704"/>
      <c r="S15" s="705"/>
      <c r="T15" s="704"/>
      <c r="U15" s="705"/>
      <c r="V15" s="704"/>
      <c r="W15" s="705"/>
      <c r="X15" s="1354"/>
      <c r="Y15" s="3748"/>
      <c r="Z15" s="1355"/>
      <c r="AA15" s="1352">
        <v>1</v>
      </c>
      <c r="AB15" s="1352">
        <v>1</v>
      </c>
      <c r="AC15" s="1352">
        <v>1</v>
      </c>
    </row>
    <row r="16" spans="1:29" ht="42.75">
      <c r="A16" s="358"/>
      <c r="B16" s="578" t="s">
        <v>1812</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748"/>
      <c r="Q16" s="1351" t="str">
        <f>B16</f>
        <v>公共配套设施</v>
      </c>
      <c r="R16" s="704" t="s">
        <v>14</v>
      </c>
      <c r="S16" s="705">
        <f>F16</f>
        <v>100</v>
      </c>
      <c r="T16" s="704" t="s">
        <v>14</v>
      </c>
      <c r="U16" s="705">
        <f>H16</f>
        <v>100</v>
      </c>
      <c r="V16" s="704" t="s">
        <v>14</v>
      </c>
      <c r="W16" s="705">
        <f>J16</f>
        <v>100</v>
      </c>
      <c r="X16" s="1354"/>
      <c r="Y16" s="3748"/>
      <c r="Z16" s="1355" t="str">
        <f>Q16</f>
        <v>公共配套设施</v>
      </c>
      <c r="AA16" s="1352">
        <f t="shared" si="3"/>
        <v>1</v>
      </c>
      <c r="AB16" s="1352">
        <f t="shared" si="4"/>
        <v>1</v>
      </c>
      <c r="AC16" s="1352">
        <f t="shared" si="5"/>
        <v>1</v>
      </c>
    </row>
    <row r="17" spans="1:29" ht="15">
      <c r="A17" s="358"/>
      <c r="B17" s="579"/>
      <c r="C17" s="1900"/>
      <c r="D17" s="399"/>
      <c r="E17" s="398"/>
      <c r="F17" s="400"/>
      <c r="G17" s="398"/>
      <c r="H17" s="399"/>
      <c r="I17" s="398"/>
      <c r="J17" s="399"/>
      <c r="K17" s="564"/>
      <c r="L17" s="2721"/>
      <c r="M17" s="2715"/>
      <c r="N17" s="2715"/>
      <c r="O17" s="2715"/>
      <c r="P17" s="3748"/>
      <c r="Q17" s="1351"/>
      <c r="R17" s="704"/>
      <c r="S17" s="705"/>
      <c r="T17" s="704"/>
      <c r="U17" s="705"/>
      <c r="V17" s="704"/>
      <c r="W17" s="705"/>
      <c r="X17" s="1354"/>
      <c r="Y17" s="3748"/>
      <c r="Z17" s="1355"/>
      <c r="AA17" s="1352">
        <v>1</v>
      </c>
      <c r="AB17" s="1352">
        <v>1</v>
      </c>
      <c r="AC17" s="1352">
        <v>1</v>
      </c>
    </row>
    <row r="18" spans="1:29" ht="28.5">
      <c r="A18" s="358"/>
      <c r="B18" s="580" t="s">
        <v>1813</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748"/>
      <c r="Q18" s="1351" t="str">
        <f>B18</f>
        <v>基础设施水平</v>
      </c>
      <c r="R18" s="704" t="s">
        <v>14</v>
      </c>
      <c r="S18" s="705">
        <f>F18</f>
        <v>100</v>
      </c>
      <c r="T18" s="704" t="s">
        <v>14</v>
      </c>
      <c r="U18" s="705">
        <f>H18</f>
        <v>100</v>
      </c>
      <c r="V18" s="704" t="s">
        <v>14</v>
      </c>
      <c r="W18" s="705">
        <f>J18</f>
        <v>100</v>
      </c>
      <c r="X18" s="1354"/>
      <c r="Y18" s="3748"/>
      <c r="Z18" s="1355" t="str">
        <f>Q18</f>
        <v>基础设施水平</v>
      </c>
      <c r="AA18" s="1352">
        <f t="shared" ref="AA18" si="8">D18/F18</f>
        <v>1</v>
      </c>
      <c r="AB18" s="1352">
        <f t="shared" ref="AB18" si="9">D18/H18</f>
        <v>1</v>
      </c>
      <c r="AC18" s="1352">
        <f t="shared" ref="AC18" si="10">D18/J18</f>
        <v>1</v>
      </c>
    </row>
    <row r="19" spans="1:29" ht="15">
      <c r="A19" s="358"/>
      <c r="B19" s="580"/>
      <c r="C19" s="1900"/>
      <c r="D19" s="401"/>
      <c r="E19" s="1900"/>
      <c r="F19" s="404"/>
      <c r="G19" s="1900"/>
      <c r="H19" s="399"/>
      <c r="I19" s="398"/>
      <c r="J19" s="399"/>
      <c r="K19" s="1129"/>
      <c r="L19" s="2721"/>
      <c r="M19" s="2715"/>
      <c r="N19" s="2715"/>
      <c r="O19" s="2715"/>
      <c r="P19" s="3748"/>
      <c r="Q19" s="1351"/>
      <c r="R19" s="704"/>
      <c r="S19" s="705"/>
      <c r="T19" s="704"/>
      <c r="U19" s="705"/>
      <c r="V19" s="704"/>
      <c r="W19" s="705"/>
      <c r="X19" s="1354"/>
      <c r="Y19" s="3748"/>
      <c r="Z19" s="1355"/>
      <c r="AA19" s="1352">
        <v>1</v>
      </c>
      <c r="AB19" s="1352">
        <v>1</v>
      </c>
      <c r="AC19" s="1352">
        <v>1</v>
      </c>
    </row>
    <row r="20" spans="1:29" ht="57">
      <c r="A20" s="358"/>
      <c r="B20" s="578" t="s">
        <v>1834</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748"/>
      <c r="Q20" s="1351" t="str">
        <f>B20</f>
        <v>自然及人文环境</v>
      </c>
      <c r="R20" s="704" t="s">
        <v>14</v>
      </c>
      <c r="S20" s="705">
        <f>F20</f>
        <v>100</v>
      </c>
      <c r="T20" s="704" t="s">
        <v>14</v>
      </c>
      <c r="U20" s="705">
        <f>H20</f>
        <v>100</v>
      </c>
      <c r="V20" s="704" t="s">
        <v>14</v>
      </c>
      <c r="W20" s="705">
        <f>J20</f>
        <v>100</v>
      </c>
      <c r="X20" s="1354"/>
      <c r="Y20" s="3748"/>
      <c r="Z20" s="1355" t="str">
        <f>Q20</f>
        <v>自然及人文环境</v>
      </c>
      <c r="AA20" s="1352">
        <f t="shared" si="3"/>
        <v>1</v>
      </c>
      <c r="AB20" s="1352">
        <f t="shared" si="4"/>
        <v>1</v>
      </c>
      <c r="AC20" s="1352">
        <f t="shared" si="5"/>
        <v>1</v>
      </c>
    </row>
    <row r="21" spans="1:29" ht="15">
      <c r="A21" s="358"/>
      <c r="B21" s="579"/>
      <c r="C21" s="398"/>
      <c r="D21" s="399"/>
      <c r="E21" s="398"/>
      <c r="F21" s="400"/>
      <c r="G21" s="398"/>
      <c r="H21" s="399"/>
      <c r="I21" s="398"/>
      <c r="J21" s="399"/>
      <c r="K21" s="564"/>
      <c r="L21" s="2721"/>
      <c r="M21" s="2715"/>
      <c r="N21" s="2715"/>
      <c r="O21" s="2715"/>
      <c r="P21" s="3748"/>
      <c r="Q21" s="1351"/>
      <c r="R21" s="704"/>
      <c r="S21" s="705"/>
      <c r="T21" s="704"/>
      <c r="U21" s="705"/>
      <c r="V21" s="704"/>
      <c r="W21" s="705"/>
      <c r="X21" s="1354"/>
      <c r="Y21" s="3748"/>
      <c r="Z21" s="1355"/>
      <c r="AA21" s="1352">
        <v>1</v>
      </c>
      <c r="AB21" s="1352">
        <v>1</v>
      </c>
      <c r="AC21" s="1352">
        <v>1</v>
      </c>
    </row>
    <row r="22" spans="1:29" ht="15">
      <c r="A22" s="358"/>
      <c r="B22" s="578"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748"/>
      <c r="Q22" s="1351" t="str">
        <f>B22</f>
        <v>楼层</v>
      </c>
      <c r="R22" s="704" t="s">
        <v>14</v>
      </c>
      <c r="S22" s="705">
        <f>F22</f>
        <v>100</v>
      </c>
      <c r="T22" s="704" t="s">
        <v>14</v>
      </c>
      <c r="U22" s="705">
        <f>H22</f>
        <v>100</v>
      </c>
      <c r="V22" s="704" t="s">
        <v>14</v>
      </c>
      <c r="W22" s="705">
        <f>J22</f>
        <v>100</v>
      </c>
      <c r="X22" s="1354"/>
      <c r="Y22" s="3748"/>
      <c r="Z22" s="1355" t="str">
        <f>Q22</f>
        <v>楼层</v>
      </c>
      <c r="AA22" s="1352">
        <f t="shared" si="3"/>
        <v>1</v>
      </c>
      <c r="AB22" s="1352">
        <f t="shared" si="4"/>
        <v>1</v>
      </c>
      <c r="AC22" s="1352">
        <f t="shared" si="5"/>
        <v>1</v>
      </c>
    </row>
    <row r="23" spans="1:29" ht="15">
      <c r="A23" s="358"/>
      <c r="B23" s="595">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748"/>
      <c r="Q23" s="1351">
        <f>B23</f>
        <v>111</v>
      </c>
      <c r="R23" s="704" t="s">
        <v>14</v>
      </c>
      <c r="S23" s="705">
        <f>F23</f>
        <v>100</v>
      </c>
      <c r="T23" s="704" t="s">
        <v>14</v>
      </c>
      <c r="U23" s="705">
        <f>H23</f>
        <v>100</v>
      </c>
      <c r="V23" s="704" t="s">
        <v>14</v>
      </c>
      <c r="W23" s="705">
        <f>J23</f>
        <v>100</v>
      </c>
      <c r="X23" s="1354"/>
      <c r="Y23" s="3748"/>
      <c r="Z23" s="1355">
        <f>Q23</f>
        <v>111</v>
      </c>
      <c r="AA23" s="1352">
        <f t="shared" si="3"/>
        <v>1</v>
      </c>
      <c r="AB23" s="1352">
        <f t="shared" si="4"/>
        <v>1</v>
      </c>
      <c r="AC23" s="1352">
        <f t="shared" si="5"/>
        <v>1</v>
      </c>
    </row>
    <row r="24" spans="1:29" ht="15">
      <c r="A24" s="358"/>
      <c r="B24" s="595">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748"/>
      <c r="Q24" s="1351">
        <f t="shared" ref="Q24:Q36" si="11">B24</f>
        <v>111</v>
      </c>
      <c r="R24" s="704" t="s">
        <v>14</v>
      </c>
      <c r="S24" s="705">
        <f>F24</f>
        <v>100</v>
      </c>
      <c r="T24" s="704" t="s">
        <v>14</v>
      </c>
      <c r="U24" s="705">
        <f>H24</f>
        <v>100</v>
      </c>
      <c r="V24" s="704" t="s">
        <v>14</v>
      </c>
      <c r="W24" s="705">
        <f>J24</f>
        <v>100</v>
      </c>
      <c r="X24" s="1354"/>
      <c r="Y24" s="3748"/>
      <c r="Z24" s="1355">
        <f>Q24</f>
        <v>111</v>
      </c>
      <c r="AA24" s="1352">
        <f t="shared" si="3"/>
        <v>1</v>
      </c>
      <c r="AB24" s="1352">
        <f t="shared" si="4"/>
        <v>1</v>
      </c>
      <c r="AC24" s="1352">
        <f t="shared" si="5"/>
        <v>1</v>
      </c>
    </row>
    <row r="25" spans="1:29" s="108" customFormat="1" ht="15.75" thickBot="1">
      <c r="A25" s="596"/>
      <c r="B25" s="582">
        <v>111</v>
      </c>
      <c r="C25" s="388"/>
      <c r="D25" s="597">
        <v>100</v>
      </c>
      <c r="E25" s="575"/>
      <c r="F25" s="598">
        <f>SUMIF(77:77,E25,78:78)-SUMIF(77:77,C25,78:78)+100</f>
        <v>100</v>
      </c>
      <c r="G25" s="575"/>
      <c r="H25" s="597">
        <f>SUMIF(77:77,G25,78:78)-SUMIF(77:77,C25,78:78)+100</f>
        <v>100</v>
      </c>
      <c r="I25" s="575"/>
      <c r="J25" s="597">
        <f>SUMIF(77:77,I25,78:78)-SUMIF(77:77,C25,78:78)+100</f>
        <v>100</v>
      </c>
      <c r="K25" s="562"/>
      <c r="L25" s="2716"/>
      <c r="M25" s="2717"/>
      <c r="N25" s="2717"/>
      <c r="O25" s="2717"/>
      <c r="P25" s="3748"/>
      <c r="Q25" s="1342">
        <f t="shared" si="11"/>
        <v>111</v>
      </c>
      <c r="R25" s="700" t="s">
        <v>14</v>
      </c>
      <c r="S25" s="701">
        <f>F25</f>
        <v>100</v>
      </c>
      <c r="T25" s="700" t="s">
        <v>14</v>
      </c>
      <c r="U25" s="701">
        <f>H25</f>
        <v>100</v>
      </c>
      <c r="V25" s="700" t="s">
        <v>14</v>
      </c>
      <c r="W25" s="701">
        <f>J25</f>
        <v>100</v>
      </c>
      <c r="X25" s="702"/>
      <c r="Y25" s="3748"/>
      <c r="Z25" s="52">
        <f>Q25</f>
        <v>111</v>
      </c>
      <c r="AA25" s="1352">
        <f>D25/F25</f>
        <v>1</v>
      </c>
      <c r="AB25" s="1352">
        <f>D25/H25</f>
        <v>1</v>
      </c>
      <c r="AC25" s="1352">
        <f>D25/J25</f>
        <v>1</v>
      </c>
    </row>
    <row r="26" spans="1:29" ht="28.5">
      <c r="A26" s="599" t="s">
        <v>1694</v>
      </c>
      <c r="B26" s="62" t="s">
        <v>1836</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771" t="s">
        <v>1696</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3752" t="s">
        <v>1696</v>
      </c>
      <c r="Z26" s="1355" t="str">
        <f t="shared" ref="Z26:Z36" si="15">Q26</f>
        <v>配套类型</v>
      </c>
      <c r="AA26" s="1352" t="e">
        <f t="shared" si="3"/>
        <v>#DIV/0!</v>
      </c>
      <c r="AB26" s="1352" t="e">
        <f t="shared" si="4"/>
        <v>#DIV/0!</v>
      </c>
      <c r="AC26" s="1352" t="e">
        <f t="shared" si="5"/>
        <v>#DIV/0!</v>
      </c>
    </row>
    <row r="27" spans="1:29" s="422" customFormat="1" ht="15">
      <c r="A27" s="600"/>
      <c r="B27" s="601" t="s">
        <v>1837</v>
      </c>
      <c r="C27" s="602"/>
      <c r="D27" s="127">
        <v>100</v>
      </c>
      <c r="E27" s="602"/>
      <c r="F27" s="412">
        <f>SUMIF(81:81,E27,82:82)-SUMIF(81:81,C27,82:82)+100</f>
        <v>100</v>
      </c>
      <c r="G27" s="602"/>
      <c r="H27" s="386">
        <f>SUMIF(81:81,G27,82:82)-SUMIF(81:81,C27,82:82)+100</f>
        <v>100</v>
      </c>
      <c r="I27" s="602"/>
      <c r="J27" s="386">
        <f>SUMIF(81:81,I27,82:82)-SUMIF(81:81,C27,82:82)+100</f>
        <v>100</v>
      </c>
      <c r="K27" s="562"/>
      <c r="L27" s="2720"/>
      <c r="M27" s="2722"/>
      <c r="N27" s="2722"/>
      <c r="O27" s="2722"/>
      <c r="P27" s="3752"/>
      <c r="Q27" s="706" t="str">
        <f t="shared" si="11"/>
        <v>项目停车位配比</v>
      </c>
      <c r="R27" s="707" t="s">
        <v>14</v>
      </c>
      <c r="S27" s="708">
        <f t="shared" si="12"/>
        <v>100</v>
      </c>
      <c r="T27" s="707" t="s">
        <v>14</v>
      </c>
      <c r="U27" s="708">
        <f t="shared" si="13"/>
        <v>100</v>
      </c>
      <c r="V27" s="707" t="s">
        <v>14</v>
      </c>
      <c r="W27" s="708">
        <f t="shared" si="14"/>
        <v>100</v>
      </c>
      <c r="X27" s="709"/>
      <c r="Y27" s="3752"/>
      <c r="Z27" s="710" t="str">
        <f t="shared" si="15"/>
        <v>项目停车位配比</v>
      </c>
      <c r="AA27" s="1352">
        <f t="shared" si="3"/>
        <v>1</v>
      </c>
      <c r="AB27" s="1352">
        <f t="shared" si="4"/>
        <v>1</v>
      </c>
      <c r="AC27" s="1352">
        <f t="shared" si="5"/>
        <v>1</v>
      </c>
    </row>
    <row r="28" spans="1:29" ht="15">
      <c r="A28" s="603"/>
      <c r="B28" s="601"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752"/>
      <c r="Q28" s="1351" t="str">
        <f t="shared" si="11"/>
        <v>公共部分装修</v>
      </c>
      <c r="R28" s="704" t="s">
        <v>14</v>
      </c>
      <c r="S28" s="705">
        <f t="shared" si="12"/>
        <v>100</v>
      </c>
      <c r="T28" s="704" t="s">
        <v>14</v>
      </c>
      <c r="U28" s="705">
        <f t="shared" si="13"/>
        <v>100</v>
      </c>
      <c r="V28" s="704" t="s">
        <v>14</v>
      </c>
      <c r="W28" s="705">
        <f t="shared" si="14"/>
        <v>100</v>
      </c>
      <c r="X28" s="1354"/>
      <c r="Y28" s="3752"/>
      <c r="Z28" s="1355" t="str">
        <f t="shared" si="15"/>
        <v>公共部分装修</v>
      </c>
      <c r="AA28" s="1352">
        <f t="shared" si="3"/>
        <v>1</v>
      </c>
      <c r="AB28" s="1352">
        <f t="shared" si="4"/>
        <v>1</v>
      </c>
      <c r="AC28" s="1352">
        <f t="shared" si="5"/>
        <v>1</v>
      </c>
    </row>
    <row r="29" spans="1:29" ht="15">
      <c r="A29" s="603"/>
      <c r="B29" s="601"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752"/>
      <c r="Q29" s="1351" t="str">
        <f t="shared" si="11"/>
        <v>成新率</v>
      </c>
      <c r="R29" s="704" t="s">
        <v>14</v>
      </c>
      <c r="S29" s="705" t="e">
        <f t="shared" si="12"/>
        <v>#N/A</v>
      </c>
      <c r="T29" s="704" t="s">
        <v>14</v>
      </c>
      <c r="U29" s="705" t="e">
        <f t="shared" si="13"/>
        <v>#N/A</v>
      </c>
      <c r="V29" s="704" t="s">
        <v>14</v>
      </c>
      <c r="W29" s="705" t="e">
        <f t="shared" si="14"/>
        <v>#N/A</v>
      </c>
      <c r="X29" s="1354"/>
      <c r="Y29" s="3752"/>
      <c r="Z29" s="1355" t="str">
        <f t="shared" si="15"/>
        <v>成新率</v>
      </c>
      <c r="AA29" s="1352" t="e">
        <f t="shared" si="3"/>
        <v>#N/A</v>
      </c>
      <c r="AB29" s="1352" t="e">
        <f t="shared" si="4"/>
        <v>#N/A</v>
      </c>
      <c r="AC29" s="1352" t="e">
        <f t="shared" si="5"/>
        <v>#N/A</v>
      </c>
    </row>
    <row r="30" spans="1:29" ht="15">
      <c r="A30" s="603"/>
      <c r="B30" s="601" t="s">
        <v>1840</v>
      </c>
      <c r="C30" s="604"/>
      <c r="D30" s="386">
        <v>100</v>
      </c>
      <c r="E30" s="604"/>
      <c r="F30" s="412">
        <f>SUMIF(88:88,E30,89:89)-SUMIF(88:88,C30,89:89)+100</f>
        <v>100</v>
      </c>
      <c r="G30" s="604"/>
      <c r="H30" s="386">
        <f>SUMIF(88:88,E30,89:89)-SUMIF(88:88,C30,89:89)+100</f>
        <v>100</v>
      </c>
      <c r="I30" s="604"/>
      <c r="J30" s="386">
        <f>SUMIF(88:88,E30,89:89)-SUMIF(88:88,C30,89:89)+100</f>
        <v>100</v>
      </c>
      <c r="K30" s="561"/>
      <c r="L30" s="2721"/>
      <c r="M30" s="2715"/>
      <c r="N30" s="2715"/>
      <c r="O30" s="2715"/>
      <c r="P30" s="3752"/>
      <c r="Q30" s="1351" t="str">
        <f t="shared" si="11"/>
        <v>物业等级</v>
      </c>
      <c r="R30" s="704" t="s">
        <v>14</v>
      </c>
      <c r="S30" s="705">
        <f t="shared" si="12"/>
        <v>100</v>
      </c>
      <c r="T30" s="704" t="s">
        <v>14</v>
      </c>
      <c r="U30" s="705">
        <f t="shared" si="13"/>
        <v>100</v>
      </c>
      <c r="V30" s="704" t="s">
        <v>14</v>
      </c>
      <c r="W30" s="705">
        <f t="shared" si="14"/>
        <v>100</v>
      </c>
      <c r="X30" s="1354"/>
      <c r="Y30" s="3752"/>
      <c r="Z30" s="1355" t="str">
        <f t="shared" si="15"/>
        <v>物业等级</v>
      </c>
      <c r="AA30" s="1352">
        <f t="shared" si="3"/>
        <v>1</v>
      </c>
      <c r="AB30" s="1352">
        <f t="shared" si="4"/>
        <v>1</v>
      </c>
      <c r="AC30" s="1352">
        <f t="shared" si="5"/>
        <v>1</v>
      </c>
    </row>
    <row r="31" spans="1:29" s="108" customFormat="1" ht="15">
      <c r="A31" s="605"/>
      <c r="B31" s="601"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752"/>
      <c r="Q31" s="1342" t="str">
        <f t="shared" si="11"/>
        <v>停车位面积</v>
      </c>
      <c r="R31" s="700" t="s">
        <v>14</v>
      </c>
      <c r="S31" s="701" t="e">
        <f t="shared" si="12"/>
        <v>#N/A</v>
      </c>
      <c r="T31" s="700" t="s">
        <v>14</v>
      </c>
      <c r="U31" s="701" t="e">
        <f t="shared" si="13"/>
        <v>#N/A</v>
      </c>
      <c r="V31" s="700" t="s">
        <v>14</v>
      </c>
      <c r="W31" s="701" t="e">
        <f t="shared" si="14"/>
        <v>#N/A</v>
      </c>
      <c r="X31" s="702"/>
      <c r="Y31" s="3752"/>
      <c r="Z31" s="52" t="str">
        <f t="shared" si="15"/>
        <v>停车位面积</v>
      </c>
      <c r="AA31" s="703" t="e">
        <f t="shared" si="3"/>
        <v>#N/A</v>
      </c>
      <c r="AB31" s="703" t="e">
        <f t="shared" si="4"/>
        <v>#N/A</v>
      </c>
      <c r="AC31" s="703" t="e">
        <f t="shared" si="5"/>
        <v>#N/A</v>
      </c>
    </row>
    <row r="32" spans="1:29" ht="15">
      <c r="A32" s="603"/>
      <c r="B32" s="601"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752" t="s">
        <v>1696</v>
      </c>
      <c r="Q32" s="1351" t="str">
        <f t="shared" si="11"/>
        <v>车位类型</v>
      </c>
      <c r="R32" s="704" t="s">
        <v>14</v>
      </c>
      <c r="S32" s="705">
        <f t="shared" si="12"/>
        <v>100</v>
      </c>
      <c r="T32" s="704" t="s">
        <v>14</v>
      </c>
      <c r="U32" s="705">
        <f t="shared" si="13"/>
        <v>100</v>
      </c>
      <c r="V32" s="704" t="s">
        <v>14</v>
      </c>
      <c r="W32" s="705">
        <f t="shared" si="14"/>
        <v>100</v>
      </c>
      <c r="X32" s="1354"/>
      <c r="Y32" s="3752" t="s">
        <v>1696</v>
      </c>
      <c r="Z32" s="1355" t="str">
        <f t="shared" si="15"/>
        <v>车位类型</v>
      </c>
      <c r="AA32" s="1352">
        <f t="shared" si="3"/>
        <v>1</v>
      </c>
      <c r="AB32" s="1352">
        <f t="shared" si="4"/>
        <v>1</v>
      </c>
      <c r="AC32" s="1352">
        <f t="shared" si="5"/>
        <v>1</v>
      </c>
    </row>
    <row r="33" spans="1:29" ht="15">
      <c r="A33" s="603"/>
      <c r="B33" s="601"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752"/>
      <c r="Q33" s="1351" t="str">
        <f t="shared" si="11"/>
        <v>是否直接入户</v>
      </c>
      <c r="R33" s="704" t="s">
        <v>14</v>
      </c>
      <c r="S33" s="705">
        <f t="shared" si="12"/>
        <v>100</v>
      </c>
      <c r="T33" s="704" t="s">
        <v>14</v>
      </c>
      <c r="U33" s="705">
        <f t="shared" si="13"/>
        <v>100</v>
      </c>
      <c r="V33" s="704" t="s">
        <v>14</v>
      </c>
      <c r="W33" s="705">
        <f t="shared" si="14"/>
        <v>100</v>
      </c>
      <c r="X33" s="1354"/>
      <c r="Y33" s="3752"/>
      <c r="Z33" s="1355" t="str">
        <f t="shared" si="15"/>
        <v>是否直接入户</v>
      </c>
      <c r="AA33" s="1352">
        <f t="shared" si="3"/>
        <v>1</v>
      </c>
      <c r="AB33" s="1352">
        <f t="shared" si="4"/>
        <v>1</v>
      </c>
      <c r="AC33" s="1352">
        <f t="shared" si="5"/>
        <v>1</v>
      </c>
    </row>
    <row r="34" spans="1:29" ht="15">
      <c r="A34" s="603"/>
      <c r="B34" s="595">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752"/>
      <c r="Q34" s="1351">
        <f t="shared" si="11"/>
        <v>111</v>
      </c>
      <c r="R34" s="704" t="s">
        <v>14</v>
      </c>
      <c r="S34" s="705">
        <f t="shared" si="12"/>
        <v>100</v>
      </c>
      <c r="T34" s="704" t="s">
        <v>14</v>
      </c>
      <c r="U34" s="705">
        <f t="shared" si="13"/>
        <v>100</v>
      </c>
      <c r="V34" s="704" t="s">
        <v>14</v>
      </c>
      <c r="W34" s="705">
        <f t="shared" si="14"/>
        <v>100</v>
      </c>
      <c r="X34" s="1354"/>
      <c r="Y34" s="3752"/>
      <c r="Z34" s="1355">
        <f t="shared" si="15"/>
        <v>111</v>
      </c>
      <c r="AA34" s="1352">
        <f t="shared" si="3"/>
        <v>1</v>
      </c>
      <c r="AB34" s="1352">
        <f t="shared" si="4"/>
        <v>1</v>
      </c>
      <c r="AC34" s="1352">
        <f t="shared" si="5"/>
        <v>1</v>
      </c>
    </row>
    <row r="35" spans="1:29" s="422" customFormat="1" ht="15">
      <c r="A35" s="600"/>
      <c r="B35" s="595">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752"/>
      <c r="Q35" s="706">
        <f t="shared" si="11"/>
        <v>111</v>
      </c>
      <c r="R35" s="707" t="s">
        <v>14</v>
      </c>
      <c r="S35" s="708">
        <f t="shared" si="12"/>
        <v>100</v>
      </c>
      <c r="T35" s="707" t="s">
        <v>14</v>
      </c>
      <c r="U35" s="708">
        <f t="shared" si="13"/>
        <v>100</v>
      </c>
      <c r="V35" s="707" t="s">
        <v>14</v>
      </c>
      <c r="W35" s="708">
        <f t="shared" si="14"/>
        <v>100</v>
      </c>
      <c r="X35" s="709"/>
      <c r="Y35" s="3752"/>
      <c r="Z35" s="710">
        <f t="shared" si="15"/>
        <v>111</v>
      </c>
      <c r="AA35" s="1352">
        <f t="shared" si="3"/>
        <v>1</v>
      </c>
      <c r="AB35" s="1352">
        <f t="shared" si="4"/>
        <v>1</v>
      </c>
      <c r="AC35" s="1352">
        <f t="shared" si="5"/>
        <v>1</v>
      </c>
    </row>
    <row r="36" spans="1:29" ht="15.75" thickBot="1">
      <c r="A36" s="606"/>
      <c r="B36" s="582">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752"/>
      <c r="Q36" s="1351">
        <f t="shared" si="11"/>
        <v>111</v>
      </c>
      <c r="R36" s="704" t="s">
        <v>14</v>
      </c>
      <c r="S36" s="705">
        <f t="shared" si="12"/>
        <v>100</v>
      </c>
      <c r="T36" s="704" t="s">
        <v>14</v>
      </c>
      <c r="U36" s="705">
        <f t="shared" si="13"/>
        <v>100</v>
      </c>
      <c r="V36" s="704" t="s">
        <v>14</v>
      </c>
      <c r="W36" s="705">
        <f t="shared" si="14"/>
        <v>100</v>
      </c>
      <c r="X36" s="1354"/>
      <c r="Y36" s="3752"/>
      <c r="Z36" s="1355">
        <f t="shared" si="15"/>
        <v>111</v>
      </c>
      <c r="AA36" s="1352">
        <f t="shared" si="3"/>
        <v>1</v>
      </c>
      <c r="AB36" s="1352">
        <f t="shared" si="4"/>
        <v>1</v>
      </c>
      <c r="AC36" s="1352">
        <f t="shared" si="5"/>
        <v>1</v>
      </c>
    </row>
    <row r="37" spans="1:29" ht="15">
      <c r="A37" s="430" t="s">
        <v>1844</v>
      </c>
      <c r="B37" s="1972" t="s">
        <v>3353</v>
      </c>
      <c r="C37" s="1153" t="s">
        <v>0</v>
      </c>
      <c r="D37" s="1154"/>
      <c r="E37" s="1155"/>
      <c r="F37" s="1156"/>
      <c r="G37" s="1157"/>
      <c r="H37" s="1158"/>
      <c r="I37" s="1155"/>
      <c r="J37" s="1158"/>
      <c r="K37" s="567"/>
      <c r="L37" s="2723"/>
      <c r="M37" s="2724"/>
      <c r="N37" s="2715"/>
      <c r="O37" s="2724"/>
      <c r="P37" s="3745" t="str">
        <f>A37</f>
        <v>成交单价</v>
      </c>
      <c r="Q37" s="3745"/>
      <c r="R37" s="3746">
        <f>E37</f>
        <v>0</v>
      </c>
      <c r="S37" s="3746"/>
      <c r="T37" s="3746">
        <f>G37</f>
        <v>0</v>
      </c>
      <c r="U37" s="3746"/>
      <c r="V37" s="3746">
        <f>I37</f>
        <v>0</v>
      </c>
      <c r="W37" s="3746"/>
      <c r="X37" s="689"/>
      <c r="Y37" s="711"/>
      <c r="Z37" s="689"/>
      <c r="AA37" s="689"/>
      <c r="AB37" s="689"/>
      <c r="AC37" s="689"/>
    </row>
    <row r="38" spans="1:29" ht="15.75" thickBot="1">
      <c r="A38" s="437" t="s">
        <v>1845</v>
      </c>
      <c r="B38" s="438" t="str">
        <f>B37</f>
        <v>元/平方米</v>
      </c>
      <c r="C38" s="1159" t="e">
        <f>R39</f>
        <v>#DIV/0!</v>
      </c>
      <c r="D38" s="2316" t="s">
        <v>2138</v>
      </c>
      <c r="E38" s="1160" t="e">
        <f>R38</f>
        <v>#DIV/0!</v>
      </c>
      <c r="F38" s="2317"/>
      <c r="G38" s="1159" t="e">
        <f>T38</f>
        <v>#DIV/0!</v>
      </c>
      <c r="H38" s="2317"/>
      <c r="I38" s="1160" t="e">
        <f>V38</f>
        <v>#DIV/0!</v>
      </c>
      <c r="J38" s="2317"/>
      <c r="K38" s="2319">
        <f>F38+H38+J38</f>
        <v>0</v>
      </c>
      <c r="L38" s="2723"/>
      <c r="M38" s="2724"/>
      <c r="N38" s="2724"/>
      <c r="O38" s="2724"/>
      <c r="P38" s="3745" t="str">
        <f>A38</f>
        <v>比较价值（元/平方米）</v>
      </c>
      <c r="Q38" s="3745"/>
      <c r="R38" s="3746" t="e">
        <f>IF(F1="售价",ROUND(PRODUCT(R37,AA7:AA36),0),ROUND(PRODUCT(R37,AA7:AA36),1))</f>
        <v>#DIV/0!</v>
      </c>
      <c r="S38" s="3746"/>
      <c r="T38" s="3746" t="e">
        <f>IF(F1="售价",ROUND(PRODUCT(T37,AB7:AB36),0),ROUND(PRODUCT(T37,AB7:AB36),1))</f>
        <v>#DIV/0!</v>
      </c>
      <c r="U38" s="3746"/>
      <c r="V38" s="3746" t="e">
        <f>IF(F1="售价",ROUND(PRODUCT(V37,AC7:AC36),0),ROUND(PRODUCT(V37,AC7:AC36),1))</f>
        <v>#DIV/0!</v>
      </c>
      <c r="W38" s="3746"/>
      <c r="X38" s="689"/>
      <c r="Y38" s="689"/>
      <c r="Z38" s="689"/>
      <c r="AA38" s="689"/>
      <c r="AB38" s="689"/>
      <c r="AC38" s="689"/>
    </row>
    <row r="39" spans="1:29" ht="15.75" thickBot="1">
      <c r="A39" s="441" t="s">
        <v>1846</v>
      </c>
      <c r="B39" s="442"/>
      <c r="C39" s="1162" t="e">
        <f>R39</f>
        <v>#DIV/0!</v>
      </c>
      <c r="D39" s="1162"/>
      <c r="E39" s="1162"/>
      <c r="F39" s="1162"/>
      <c r="G39" s="1162"/>
      <c r="H39" s="1162"/>
      <c r="I39" s="1162"/>
      <c r="J39" s="1162"/>
      <c r="K39" s="568"/>
      <c r="L39" s="2723"/>
      <c r="M39" s="2724"/>
      <c r="N39" s="2724"/>
      <c r="O39" s="2724"/>
      <c r="P39" s="3742" t="str">
        <f>A39</f>
        <v>估价对象XX用房的比较价值（楼面单价，元/平方米）</v>
      </c>
      <c r="Q39" s="3743"/>
      <c r="R39" s="3772" t="e">
        <f>IF(F1="售价",ROUND(IF(D38="简单平均",AVERAGE(R38:W38),R38*F38+T38*H38+V38*J38),0),ROUND(IF(D38="简单平均",AVERAGE(R38:V38),R38*F38+T38*H38+V38*J38),1))</f>
        <v>#DIV/0!</v>
      </c>
      <c r="S39" s="3772"/>
      <c r="T39" s="3772"/>
      <c r="U39" s="3772"/>
      <c r="V39" s="3772"/>
      <c r="W39" s="3772"/>
      <c r="X39" s="689"/>
      <c r="Y39" s="689"/>
      <c r="Z39" s="689"/>
      <c r="AA39" s="689"/>
      <c r="AB39" s="689"/>
      <c r="AC39" s="689"/>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5" t="s">
        <v>1850</v>
      </c>
      <c r="B47" s="926"/>
      <c r="C47" s="939"/>
      <c r="D47" s="939"/>
      <c r="E47" s="939"/>
      <c r="F47" s="1166"/>
      <c r="G47" s="1166"/>
      <c r="H47" s="939"/>
      <c r="I47" s="939"/>
      <c r="J47" s="939"/>
      <c r="K47" s="940"/>
      <c r="L47" s="941"/>
      <c r="M47" s="939"/>
      <c r="N47" s="2768"/>
      <c r="O47" s="2768"/>
      <c r="P47" s="2757"/>
      <c r="Q47" s="2738"/>
      <c r="R47" s="2724"/>
      <c r="S47" s="2724"/>
      <c r="T47" s="2724"/>
      <c r="U47" s="2724"/>
      <c r="V47" s="2724"/>
      <c r="W47" s="2724"/>
      <c r="X47" s="2724"/>
      <c r="Y47" s="2724"/>
      <c r="Z47" s="2724"/>
      <c r="AA47" s="2724"/>
      <c r="AB47" s="2724"/>
      <c r="AC47" s="2724"/>
    </row>
    <row r="48" spans="1:29" s="457" customFormat="1" ht="15">
      <c r="A48" s="454" t="s">
        <v>1851</v>
      </c>
      <c r="B48" s="455"/>
      <c r="C48" s="1183" t="str">
        <f>YEAR(C7)&amp;"-"&amp;MONTH(C7)</f>
        <v>2025-5</v>
      </c>
      <c r="D48" s="1184">
        <f>EDATE(C48,-1)</f>
        <v>45748</v>
      </c>
      <c r="E48" s="1184">
        <f t="shared" ref="E48:O48" si="16">EDATE(D48,-1)</f>
        <v>45717</v>
      </c>
      <c r="F48" s="1184">
        <f t="shared" si="16"/>
        <v>45689</v>
      </c>
      <c r="G48" s="1184">
        <f t="shared" si="16"/>
        <v>45658</v>
      </c>
      <c r="H48" s="1184">
        <f t="shared" si="16"/>
        <v>45627</v>
      </c>
      <c r="I48" s="1184">
        <f t="shared" si="16"/>
        <v>45597</v>
      </c>
      <c r="J48" s="1184">
        <f t="shared" si="16"/>
        <v>45566</v>
      </c>
      <c r="K48" s="1184">
        <f t="shared" si="16"/>
        <v>45536</v>
      </c>
      <c r="L48" s="1184">
        <f t="shared" si="16"/>
        <v>45505</v>
      </c>
      <c r="M48" s="1184">
        <f t="shared" si="16"/>
        <v>45474</v>
      </c>
      <c r="N48" s="1184">
        <f t="shared" si="16"/>
        <v>45444</v>
      </c>
      <c r="O48" s="1184">
        <f t="shared" si="16"/>
        <v>45413</v>
      </c>
      <c r="P48" s="2758"/>
      <c r="Q48" s="2740"/>
      <c r="R48" s="2740"/>
      <c r="S48" s="2740"/>
      <c r="T48" s="2740"/>
      <c r="U48" s="2740"/>
      <c r="V48" s="2740"/>
      <c r="W48" s="2740"/>
      <c r="X48" s="2740"/>
      <c r="Y48" s="2740"/>
      <c r="Z48" s="2740"/>
      <c r="AA48" s="2740"/>
      <c r="AB48" s="2740"/>
      <c r="AC48" s="2740"/>
    </row>
    <row r="49" spans="1:29" s="108" customFormat="1" ht="15">
      <c r="A49" s="458"/>
      <c r="B49" s="459"/>
      <c r="C49" s="1176">
        <v>100</v>
      </c>
      <c r="D49" s="461"/>
      <c r="E49" s="461"/>
      <c r="F49" s="461"/>
      <c r="G49" s="461"/>
      <c r="H49" s="461"/>
      <c r="I49" s="461"/>
      <c r="J49" s="461"/>
      <c r="K49" s="461"/>
      <c r="L49" s="461"/>
      <c r="M49" s="462"/>
      <c r="N49" s="461"/>
      <c r="O49" s="462"/>
      <c r="P49" s="2759"/>
      <c r="Q49" s="2660"/>
      <c r="R49" s="2660"/>
      <c r="S49" s="2660"/>
      <c r="T49" s="2660"/>
      <c r="U49" s="2660"/>
      <c r="V49" s="2660"/>
      <c r="W49" s="2660"/>
      <c r="X49" s="2660"/>
      <c r="Y49" s="2660"/>
      <c r="Z49" s="2660"/>
      <c r="AA49" s="2660"/>
      <c r="AB49" s="2660"/>
      <c r="AC49" s="2660"/>
    </row>
    <row r="50" spans="1:29" s="108" customFormat="1" ht="15.75" thickBot="1">
      <c r="A50" s="464" t="s">
        <v>1716</v>
      </c>
      <c r="B50" s="465"/>
      <c r="C50" s="466"/>
      <c r="D50" s="467"/>
      <c r="E50" s="467"/>
      <c r="F50" s="467"/>
      <c r="G50" s="467"/>
      <c r="H50" s="467"/>
      <c r="I50" s="467"/>
      <c r="J50" s="467"/>
      <c r="K50" s="467"/>
      <c r="L50" s="467"/>
      <c r="M50" s="468"/>
      <c r="N50" s="467"/>
      <c r="O50" s="468"/>
      <c r="P50" s="2759"/>
      <c r="Q50" s="2738"/>
      <c r="R50" s="2660"/>
      <c r="S50" s="2660"/>
      <c r="T50" s="2660"/>
      <c r="U50" s="2660"/>
      <c r="V50" s="2660"/>
      <c r="W50" s="2660"/>
      <c r="X50" s="2660"/>
      <c r="Y50" s="2660"/>
      <c r="Z50" s="2660"/>
      <c r="AA50" s="2660"/>
      <c r="AB50" s="2660"/>
      <c r="AC50" s="2660"/>
    </row>
    <row r="51" spans="1:29" s="108" customFormat="1" ht="15">
      <c r="A51" s="470" t="s">
        <v>1681</v>
      </c>
      <c r="B51" s="459"/>
      <c r="C51" s="471" t="s">
        <v>1776</v>
      </c>
      <c r="D51" s="472"/>
      <c r="E51" s="472"/>
      <c r="F51" s="472"/>
      <c r="G51" s="472"/>
      <c r="H51" s="472"/>
      <c r="I51" s="472"/>
      <c r="J51" s="472"/>
      <c r="K51" s="472"/>
      <c r="L51" s="473"/>
      <c r="M51" s="474"/>
      <c r="N51" s="2751"/>
      <c r="O51" s="2751"/>
      <c r="P51" s="2760"/>
      <c r="Q51" s="2738"/>
      <c r="R51" s="2660"/>
      <c r="S51" s="2660"/>
      <c r="T51" s="2660"/>
      <c r="U51" s="2660"/>
      <c r="V51" s="2660"/>
      <c r="W51" s="2660"/>
      <c r="X51" s="2660"/>
      <c r="Y51" s="2660"/>
      <c r="Z51" s="2660"/>
      <c r="AA51" s="2660"/>
      <c r="AB51" s="2660"/>
      <c r="AC51" s="2660"/>
    </row>
    <row r="52" spans="1:29" s="108" customFormat="1" ht="15.75" thickBot="1">
      <c r="A52" s="470"/>
      <c r="B52" s="459"/>
      <c r="C52" s="586">
        <v>100</v>
      </c>
      <c r="D52" s="461"/>
      <c r="E52" s="461"/>
      <c r="F52" s="461"/>
      <c r="G52" s="461"/>
      <c r="H52" s="461"/>
      <c r="I52" s="461"/>
      <c r="J52" s="461"/>
      <c r="K52" s="461"/>
      <c r="L52" s="461"/>
      <c r="M52" s="463"/>
      <c r="N52" s="2751"/>
      <c r="O52" s="2751"/>
      <c r="P52" s="2759"/>
      <c r="Q52" s="2738"/>
      <c r="R52" s="2660"/>
      <c r="S52" s="2660"/>
      <c r="T52" s="2660"/>
      <c r="U52" s="2660"/>
      <c r="V52" s="2660"/>
      <c r="W52" s="2660"/>
      <c r="X52" s="2660"/>
      <c r="Y52" s="2660"/>
      <c r="Z52" s="2660"/>
      <c r="AA52" s="2660"/>
      <c r="AB52" s="2660"/>
      <c r="AC52" s="2660"/>
    </row>
    <row r="53" spans="1:29">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5.75"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7.75"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5.75"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5.75" thickTop="1">
      <c r="A57" s="483"/>
      <c r="B57" s="607">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5.75"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5.75"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5.75"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5.75"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5.75"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7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75" thickTop="1">
      <c r="A67" s="483"/>
      <c r="B67" s="495" t="s">
        <v>1813</v>
      </c>
      <c r="C67" s="607" t="s">
        <v>1799</v>
      </c>
      <c r="D67" s="607" t="s">
        <v>1800</v>
      </c>
      <c r="E67" s="607" t="s">
        <v>1801</v>
      </c>
      <c r="F67" s="607" t="s">
        <v>1802</v>
      </c>
      <c r="G67" s="607" t="s">
        <v>1803</v>
      </c>
      <c r="H67" s="488"/>
      <c r="I67" s="488"/>
      <c r="J67" s="488"/>
      <c r="K67" s="488"/>
      <c r="L67" s="488"/>
      <c r="M67" s="1128"/>
      <c r="N67" s="2753"/>
      <c r="O67" s="2753"/>
      <c r="P67" s="2761"/>
      <c r="Q67" s="2738"/>
      <c r="R67" s="2724"/>
      <c r="S67" s="2724"/>
      <c r="T67" s="2724"/>
      <c r="U67" s="2724"/>
      <c r="V67" s="2724"/>
      <c r="W67" s="2724"/>
      <c r="X67" s="2724"/>
      <c r="Y67" s="2724"/>
      <c r="Z67" s="2724"/>
      <c r="AA67" s="2724"/>
      <c r="AB67" s="2724"/>
      <c r="AC67" s="2724"/>
    </row>
    <row r="68" spans="1:29" ht="15.75" thickBot="1">
      <c r="A68" s="483"/>
      <c r="B68" s="495"/>
      <c r="C68" s="493">
        <v>100</v>
      </c>
      <c r="D68" s="493">
        <f>C68-$K18</f>
        <v>100</v>
      </c>
      <c r="E68" s="493">
        <f>D68-$K18</f>
        <v>100</v>
      </c>
      <c r="F68" s="493">
        <f>E68-$K18</f>
        <v>100</v>
      </c>
      <c r="G68" s="493">
        <f>F68-$K18</f>
        <v>100</v>
      </c>
      <c r="H68" s="607"/>
      <c r="I68" s="607"/>
      <c r="J68" s="607"/>
      <c r="K68" s="607"/>
      <c r="L68" s="607"/>
      <c r="M68" s="401"/>
      <c r="N68" s="2753"/>
      <c r="O68" s="2753"/>
      <c r="P68" s="2761"/>
      <c r="Q68" s="2738"/>
      <c r="R68" s="2724"/>
      <c r="S68" s="2724"/>
      <c r="T68" s="2724"/>
      <c r="U68" s="2724"/>
      <c r="V68" s="2724"/>
      <c r="W68" s="2724"/>
      <c r="X68" s="2724"/>
      <c r="Y68" s="2724"/>
      <c r="Z68" s="2724"/>
      <c r="AA68" s="2724"/>
      <c r="AB68" s="2724"/>
      <c r="AC68" s="2724"/>
    </row>
    <row r="69" spans="1:29" ht="15.7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7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5.75" thickTop="1">
      <c r="A73" s="528"/>
      <c r="B73" s="487">
        <f>B23</f>
        <v>111</v>
      </c>
      <c r="C73" s="498"/>
      <c r="D73" s="498"/>
      <c r="E73" s="498"/>
      <c r="F73" s="498"/>
      <c r="G73" s="503"/>
      <c r="H73" s="503"/>
      <c r="I73" s="503"/>
      <c r="J73" s="503"/>
      <c r="K73" s="503"/>
      <c r="L73" s="529"/>
      <c r="M73" s="530"/>
      <c r="N73" s="2751"/>
      <c r="O73" s="2751"/>
      <c r="P73" s="2761"/>
      <c r="Q73" s="2738"/>
      <c r="R73" s="2660"/>
      <c r="S73" s="2660"/>
      <c r="T73" s="2660"/>
      <c r="U73" s="2660"/>
      <c r="V73" s="2660"/>
      <c r="W73" s="2660"/>
      <c r="X73" s="2660"/>
      <c r="Y73" s="2660"/>
      <c r="Z73" s="2660"/>
      <c r="AA73" s="2660"/>
      <c r="AB73" s="2660"/>
      <c r="AC73" s="2660"/>
    </row>
    <row r="74" spans="1:29" s="108" customFormat="1" ht="15.75" thickBot="1">
      <c r="A74" s="528"/>
      <c r="B74" s="492"/>
      <c r="C74" s="509"/>
      <c r="D74" s="485"/>
      <c r="E74" s="485"/>
      <c r="F74" s="485"/>
      <c r="G74" s="485"/>
      <c r="H74" s="485"/>
      <c r="I74" s="485"/>
      <c r="J74" s="485"/>
      <c r="K74" s="485"/>
      <c r="L74" s="485"/>
      <c r="M74" s="486"/>
      <c r="N74" s="2753"/>
      <c r="O74" s="2753"/>
      <c r="P74" s="2761"/>
      <c r="Q74" s="2738"/>
      <c r="R74" s="2660"/>
      <c r="S74" s="2660"/>
      <c r="T74" s="2660"/>
      <c r="U74" s="2660"/>
      <c r="V74" s="2660"/>
      <c r="W74" s="2660"/>
      <c r="X74" s="2660"/>
      <c r="Y74" s="2660"/>
      <c r="Z74" s="2660"/>
      <c r="AA74" s="2660"/>
      <c r="AB74" s="2660"/>
      <c r="AC74" s="2660"/>
    </row>
    <row r="75" spans="1:29" s="108" customFormat="1" ht="15.75" thickTop="1">
      <c r="A75" s="528"/>
      <c r="B75" s="487">
        <f>B24</f>
        <v>111</v>
      </c>
      <c r="C75" s="498"/>
      <c r="D75" s="498"/>
      <c r="E75" s="498"/>
      <c r="F75" s="498"/>
      <c r="G75" s="503"/>
      <c r="H75" s="503"/>
      <c r="I75" s="503"/>
      <c r="J75" s="503"/>
      <c r="K75" s="503"/>
      <c r="L75" s="503"/>
      <c r="M75" s="530"/>
      <c r="N75" s="2751"/>
      <c r="O75" s="2751"/>
      <c r="P75" s="2761"/>
      <c r="Q75" s="2738"/>
      <c r="R75" s="2660"/>
      <c r="S75" s="2660"/>
      <c r="T75" s="2660"/>
      <c r="U75" s="2660"/>
      <c r="V75" s="2660"/>
      <c r="W75" s="2660"/>
      <c r="X75" s="2660"/>
      <c r="Y75" s="2660"/>
      <c r="Z75" s="2660"/>
      <c r="AA75" s="2660"/>
      <c r="AB75" s="2660"/>
      <c r="AC75" s="2660"/>
    </row>
    <row r="76" spans="1:29" s="108" customFormat="1" ht="15.75" thickBot="1">
      <c r="A76" s="528"/>
      <c r="B76" s="492"/>
      <c r="C76" s="509"/>
      <c r="D76" s="485"/>
      <c r="E76" s="485"/>
      <c r="F76" s="485"/>
      <c r="G76" s="485"/>
      <c r="H76" s="485"/>
      <c r="I76" s="485"/>
      <c r="J76" s="485"/>
      <c r="K76" s="485"/>
      <c r="L76" s="485"/>
      <c r="M76" s="486"/>
      <c r="N76" s="2753"/>
      <c r="O76" s="2753"/>
      <c r="P76" s="2761"/>
      <c r="Q76" s="2738"/>
      <c r="R76" s="2660"/>
      <c r="S76" s="2660"/>
      <c r="T76" s="2660"/>
      <c r="U76" s="2660"/>
      <c r="V76" s="2660"/>
      <c r="W76" s="2660"/>
      <c r="X76" s="2660"/>
      <c r="Y76" s="2660"/>
      <c r="Z76" s="2660"/>
      <c r="AA76" s="2660"/>
      <c r="AB76" s="2660"/>
      <c r="AC76" s="2660"/>
    </row>
    <row r="77" spans="1:29" s="422" customFormat="1" ht="15.75"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5.75"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7.75"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3"/>
      <c r="B81" s="487" t="s">
        <v>1854</v>
      </c>
      <c r="C81" s="608"/>
      <c r="D81" s="608"/>
      <c r="E81" s="608"/>
      <c r="F81" s="608"/>
      <c r="G81" s="608"/>
      <c r="H81" s="608"/>
      <c r="I81" s="608"/>
      <c r="J81" s="608"/>
      <c r="K81" s="609"/>
      <c r="L81" s="610"/>
      <c r="M81" s="611"/>
      <c r="N81" s="2751"/>
      <c r="O81" s="2751"/>
      <c r="P81" s="2761"/>
      <c r="Q81" s="2738"/>
      <c r="R81" s="2724"/>
      <c r="S81" s="2724"/>
      <c r="T81" s="2724"/>
      <c r="U81" s="2724"/>
      <c r="V81" s="2724"/>
      <c r="W81" s="2724"/>
      <c r="X81" s="2724"/>
      <c r="Y81" s="2724"/>
      <c r="Z81" s="2724"/>
      <c r="AA81" s="2724"/>
      <c r="AB81" s="2724"/>
      <c r="AC81" s="2724"/>
    </row>
    <row r="82" spans="1:29" s="422" customFormat="1" ht="15.75"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0"/>
      <c r="J86" s="570"/>
      <c r="K86" s="571"/>
      <c r="L86" s="572"/>
      <c r="M86" s="573"/>
      <c r="N86" s="2752"/>
      <c r="O86" s="2752"/>
      <c r="P86" s="2761"/>
      <c r="Q86" s="2738"/>
      <c r="R86" s="2724"/>
      <c r="S86" s="2724"/>
      <c r="T86" s="2724"/>
      <c r="U86" s="2724"/>
      <c r="V86" s="2724"/>
      <c r="W86" s="2724"/>
      <c r="X86" s="2724"/>
      <c r="Y86" s="2724"/>
      <c r="Z86" s="2724"/>
      <c r="AA86" s="2724"/>
      <c r="AB86" s="2724"/>
      <c r="AC86" s="2724"/>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69"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5" thickTop="1">
      <c r="A97" s="548"/>
      <c r="B97" s="583">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5.75"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5"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5.75"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5"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13" priority="18" stopIfTrue="1" operator="containsText" text="超过">
      <formula>NOT(ISERROR(SEARCH("超过",F42)))</formula>
    </cfRule>
  </conditionalFormatting>
  <conditionalFormatting sqref="J44">
    <cfRule type="containsText" dxfId="112" priority="17" stopIfTrue="1" operator="containsText" text="超过">
      <formula>NOT(ISERROR(SEARCH("超过",J44)))</formula>
    </cfRule>
  </conditionalFormatting>
  <conditionalFormatting sqref="H44">
    <cfRule type="containsText" dxfId="111" priority="16" stopIfTrue="1" operator="containsText" text="超过">
      <formula>NOT(ISERROR(SEARCH("超过",H44)))</formula>
    </cfRule>
  </conditionalFormatting>
  <conditionalFormatting sqref="F44">
    <cfRule type="containsText" dxfId="110" priority="15" stopIfTrue="1" operator="containsText" text="超过">
      <formula>NOT(ISERROR(SEARCH("超过",F44)))</formula>
    </cfRule>
  </conditionalFormatting>
  <conditionalFormatting sqref="F43 H43 J43">
    <cfRule type="containsText" dxfId="109" priority="14" stopIfTrue="1" operator="containsText" text="超过">
      <formula>NOT(ISERROR(SEARCH("超过",F43)))</formula>
    </cfRule>
  </conditionalFormatting>
  <conditionalFormatting sqref="E42">
    <cfRule type="expression" dxfId="108" priority="13" stopIfTrue="1">
      <formula>$F$42="超过30%"</formula>
    </cfRule>
  </conditionalFormatting>
  <conditionalFormatting sqref="G44">
    <cfRule type="expression" dxfId="107" priority="12" stopIfTrue="1">
      <formula>$H$54+$H$44="超过30%"</formula>
    </cfRule>
  </conditionalFormatting>
  <conditionalFormatting sqref="E43">
    <cfRule type="expression" dxfId="106" priority="11" stopIfTrue="1">
      <formula>$F$43="超过20%"</formula>
    </cfRule>
  </conditionalFormatting>
  <conditionalFormatting sqref="E44">
    <cfRule type="expression" dxfId="105" priority="10" stopIfTrue="1">
      <formula>$F$44="超过30%"</formula>
    </cfRule>
  </conditionalFormatting>
  <conditionalFormatting sqref="G42">
    <cfRule type="expression" dxfId="104" priority="9" stopIfTrue="1">
      <formula>$H$52+$H$42="超过30%"</formula>
    </cfRule>
  </conditionalFormatting>
  <conditionalFormatting sqref="G43">
    <cfRule type="expression" dxfId="103" priority="8" stopIfTrue="1">
      <formula>$H$43="超过20%"</formula>
    </cfRule>
  </conditionalFormatting>
  <conditionalFormatting sqref="I42">
    <cfRule type="expression" dxfId="102" priority="7" stopIfTrue="1">
      <formula>$J$52+$J$42="超过30%"</formula>
    </cfRule>
  </conditionalFormatting>
  <conditionalFormatting sqref="I43">
    <cfRule type="expression" dxfId="101" priority="6" stopIfTrue="1">
      <formula>$J$53+$J$43="超过20%"</formula>
    </cfRule>
  </conditionalFormatting>
  <conditionalFormatting sqref="I44">
    <cfRule type="expression" dxfId="100" priority="5" stopIfTrue="1">
      <formula>$J$44="超过30%"</formula>
    </cfRule>
  </conditionalFormatting>
  <conditionalFormatting sqref="F38">
    <cfRule type="expression" dxfId="99" priority="4">
      <formula>$D$38="简单平均"</formula>
    </cfRule>
  </conditionalFormatting>
  <conditionalFormatting sqref="H38">
    <cfRule type="expression" dxfId="98" priority="3">
      <formula>$D$38="简单平均"</formula>
    </cfRule>
  </conditionalFormatting>
  <conditionalFormatting sqref="J38">
    <cfRule type="expression" dxfId="97" priority="2">
      <formula>$D$38="简单平均"</formula>
    </cfRule>
  </conditionalFormatting>
  <conditionalFormatting sqref="F7:F36 H7:H36 J7:J36">
    <cfRule type="cellIs" dxfId="9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1831</v>
      </c>
      <c r="B1" s="1222" t="s">
        <v>3334</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t="e">
        <f>IF(C2="——",C37,ROUND(B2*10000/D3,0))</f>
        <v>#DIV/0!</v>
      </c>
      <c r="C3" s="354" t="s">
        <v>1768</v>
      </c>
      <c r="D3" s="353">
        <f>SUMIF('数据-汇总表'!$C19:$C33,D1,'数据-汇总表'!$E19:$E33)</f>
        <v>0</v>
      </c>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5" t="s">
        <v>1769</v>
      </c>
      <c r="B4" s="356"/>
      <c r="C4" s="3728" t="s">
        <v>1770</v>
      </c>
      <c r="D4" s="3729"/>
      <c r="E4" s="3730" t="s">
        <v>1771</v>
      </c>
      <c r="F4" s="3731"/>
      <c r="G4" s="3728" t="s">
        <v>1772</v>
      </c>
      <c r="H4" s="3729"/>
      <c r="I4" s="3728" t="s">
        <v>1773</v>
      </c>
      <c r="J4" s="3729"/>
      <c r="K4" s="559" t="s">
        <v>1774</v>
      </c>
      <c r="L4" s="2714"/>
      <c r="M4" s="2715"/>
      <c r="N4" s="2715"/>
      <c r="O4" s="2715"/>
      <c r="P4" s="3732" t="s">
        <v>1775</v>
      </c>
      <c r="Q4" s="3733"/>
      <c r="R4" s="3715" t="s">
        <v>1771</v>
      </c>
      <c r="S4" s="3716"/>
      <c r="T4" s="3715" t="s">
        <v>1772</v>
      </c>
      <c r="U4" s="3716"/>
      <c r="V4" s="3740" t="s">
        <v>1773</v>
      </c>
      <c r="W4" s="3740"/>
      <c r="X4" s="1354"/>
      <c r="Y4" s="3715" t="s">
        <v>1775</v>
      </c>
      <c r="Z4" s="3716"/>
      <c r="AA4" s="3710" t="s">
        <v>1771</v>
      </c>
      <c r="AB4" s="3711" t="s">
        <v>1772</v>
      </c>
      <c r="AC4" s="3710" t="s">
        <v>1773</v>
      </c>
    </row>
    <row r="5" spans="1:29" ht="15">
      <c r="A5" s="358"/>
      <c r="B5" s="359"/>
      <c r="C5" s="3721" t="s">
        <v>1673</v>
      </c>
      <c r="D5" s="3722"/>
      <c r="E5" s="3719" t="s">
        <v>1674</v>
      </c>
      <c r="F5" s="3720"/>
      <c r="G5" s="3721" t="s">
        <v>1675</v>
      </c>
      <c r="H5" s="3722"/>
      <c r="I5" s="3721" t="s">
        <v>1676</v>
      </c>
      <c r="J5" s="3722"/>
      <c r="K5" s="559"/>
      <c r="L5" s="2714"/>
      <c r="M5" s="2715"/>
      <c r="N5" s="2715"/>
      <c r="O5" s="2715"/>
      <c r="P5" s="3734"/>
      <c r="Q5" s="3735"/>
      <c r="R5" s="3717"/>
      <c r="S5" s="3718"/>
      <c r="T5" s="3717"/>
      <c r="U5" s="3718"/>
      <c r="V5" s="3740"/>
      <c r="W5" s="3740"/>
      <c r="X5" s="1354"/>
      <c r="Y5" s="3717"/>
      <c r="Z5" s="3718"/>
      <c r="AA5" s="3711"/>
      <c r="AB5" s="3711"/>
      <c r="AC5" s="3711"/>
    </row>
    <row r="6" spans="1:29" ht="15.75" thickBot="1">
      <c r="A6" s="360"/>
      <c r="B6" s="361"/>
      <c r="C6" s="3723" t="s">
        <v>1677</v>
      </c>
      <c r="D6" s="3724"/>
      <c r="E6" s="3725" t="s">
        <v>1677</v>
      </c>
      <c r="F6" s="3726"/>
      <c r="G6" s="3723" t="s">
        <v>1677</v>
      </c>
      <c r="H6" s="3724"/>
      <c r="I6" s="3723" t="s">
        <v>1677</v>
      </c>
      <c r="J6" s="3724"/>
      <c r="K6" s="559" t="s">
        <v>1678</v>
      </c>
      <c r="L6" s="2714"/>
      <c r="M6" s="2715"/>
      <c r="N6" s="2715"/>
      <c r="O6" s="2715"/>
      <c r="P6" s="3736"/>
      <c r="Q6" s="3737"/>
      <c r="R6" s="3717"/>
      <c r="S6" s="3718"/>
      <c r="T6" s="3738"/>
      <c r="U6" s="3739"/>
      <c r="V6" s="3740"/>
      <c r="W6" s="3740"/>
      <c r="X6" s="1354"/>
      <c r="Y6" s="3738"/>
      <c r="Z6" s="3739"/>
      <c r="AA6" s="3712"/>
      <c r="AB6" s="3712"/>
      <c r="AC6" s="3712"/>
    </row>
    <row r="7" spans="1:29" s="108" customFormat="1" ht="15.75" thickBot="1">
      <c r="A7" s="362" t="s">
        <v>1679</v>
      </c>
      <c r="B7" s="363"/>
      <c r="C7" s="364">
        <f>'数据-取费表'!B2</f>
        <v>45805</v>
      </c>
      <c r="D7" s="365">
        <v>100</v>
      </c>
      <c r="E7" s="366"/>
      <c r="F7" s="367">
        <f>SUMIF(46:46,YEAR(E7)&amp;"-"&amp;MONTH(E7),47:47)</f>
        <v>0</v>
      </c>
      <c r="G7" s="1973"/>
      <c r="H7" s="365">
        <f>SUMIF(46:46,YEAR(G7)&amp;"-"&amp;MONTH(G7),47:47)</f>
        <v>0</v>
      </c>
      <c r="I7" s="366"/>
      <c r="J7" s="365">
        <f>SUMIF(46:46,YEAR(I7)&amp;"-"&amp;MONTH(I7),47:47)</f>
        <v>0</v>
      </c>
      <c r="K7" s="560"/>
      <c r="L7" s="2716"/>
      <c r="M7" s="2717"/>
      <c r="N7" s="2717"/>
      <c r="O7" s="2717"/>
      <c r="P7" s="3713" t="s">
        <v>1680</v>
      </c>
      <c r="Q7" s="3741"/>
      <c r="R7" s="700" t="s">
        <v>14</v>
      </c>
      <c r="S7" s="701">
        <f t="shared" ref="S7:S14" si="0">F7</f>
        <v>0</v>
      </c>
      <c r="T7" s="700" t="s">
        <v>14</v>
      </c>
      <c r="U7" s="701">
        <f t="shared" ref="U7:U14" si="1">H7</f>
        <v>0</v>
      </c>
      <c r="V7" s="700" t="s">
        <v>14</v>
      </c>
      <c r="W7" s="701">
        <f t="shared" ref="W7:W14" si="2">J7</f>
        <v>0</v>
      </c>
      <c r="X7" s="702"/>
      <c r="Y7" s="3713" t="s">
        <v>1680</v>
      </c>
      <c r="Z7" s="3714"/>
      <c r="AA7" s="703" t="e">
        <f>D7/F7</f>
        <v>#DIV/0!</v>
      </c>
      <c r="AB7" s="703" t="e">
        <f>D7/H7</f>
        <v>#DIV/0!</v>
      </c>
      <c r="AC7" s="703"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713" t="s">
        <v>1683</v>
      </c>
      <c r="Q8" s="3714"/>
      <c r="R8" s="700" t="s">
        <v>14</v>
      </c>
      <c r="S8" s="701">
        <f t="shared" si="0"/>
        <v>100</v>
      </c>
      <c r="T8" s="700" t="s">
        <v>14</v>
      </c>
      <c r="U8" s="701">
        <f t="shared" si="1"/>
        <v>100</v>
      </c>
      <c r="V8" s="700" t="s">
        <v>14</v>
      </c>
      <c r="W8" s="701">
        <f t="shared" si="2"/>
        <v>100</v>
      </c>
      <c r="X8" s="702"/>
      <c r="Y8" s="3713" t="s">
        <v>1683</v>
      </c>
      <c r="Z8" s="3714"/>
      <c r="AA8" s="703">
        <f t="shared" ref="AA8:AA34" si="3">D8/F8</f>
        <v>1</v>
      </c>
      <c r="AB8" s="703">
        <f t="shared" ref="AB8:AB34" si="4">D8/H8</f>
        <v>1</v>
      </c>
      <c r="AC8" s="703">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745" t="s">
        <v>1686</v>
      </c>
      <c r="Q9" s="1342" t="str">
        <f t="shared" ref="Q9:Q14" si="6">B9</f>
        <v>用途</v>
      </c>
      <c r="R9" s="700" t="s">
        <v>14</v>
      </c>
      <c r="S9" s="701">
        <f t="shared" si="0"/>
        <v>100</v>
      </c>
      <c r="T9" s="700" t="s">
        <v>14</v>
      </c>
      <c r="U9" s="701">
        <f t="shared" si="1"/>
        <v>100</v>
      </c>
      <c r="V9" s="700" t="s">
        <v>14</v>
      </c>
      <c r="W9" s="701">
        <f t="shared" si="2"/>
        <v>100</v>
      </c>
      <c r="X9" s="702"/>
      <c r="Y9" s="3657" t="s">
        <v>1687</v>
      </c>
      <c r="Z9" s="52" t="str">
        <f t="shared" ref="Z9:Z14" si="7">Q9</f>
        <v>用途</v>
      </c>
      <c r="AA9" s="703">
        <f t="shared" si="3"/>
        <v>1</v>
      </c>
      <c r="AB9" s="703">
        <f t="shared" si="4"/>
        <v>1</v>
      </c>
      <c r="AC9" s="703">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745"/>
      <c r="Q10" s="1342" t="str">
        <f t="shared" si="6"/>
        <v>土地使用年限（年）</v>
      </c>
      <c r="R10" s="700" t="s">
        <v>14</v>
      </c>
      <c r="S10" s="701">
        <f t="shared" si="0"/>
        <v>100</v>
      </c>
      <c r="T10" s="700" t="s">
        <v>14</v>
      </c>
      <c r="U10" s="701">
        <f t="shared" si="1"/>
        <v>100</v>
      </c>
      <c r="V10" s="700" t="s">
        <v>14</v>
      </c>
      <c r="W10" s="701">
        <f t="shared" si="2"/>
        <v>100</v>
      </c>
      <c r="X10" s="702"/>
      <c r="Y10" s="3657"/>
      <c r="Z10" s="52" t="str">
        <f t="shared" si="7"/>
        <v>土地使用年限（年）</v>
      </c>
      <c r="AA10" s="703">
        <f t="shared" si="3"/>
        <v>1</v>
      </c>
      <c r="AB10" s="703">
        <f t="shared" si="4"/>
        <v>1</v>
      </c>
      <c r="AC10" s="703">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745"/>
      <c r="Q11" s="1342">
        <f t="shared" si="6"/>
        <v>111</v>
      </c>
      <c r="R11" s="700" t="s">
        <v>14</v>
      </c>
      <c r="S11" s="701">
        <f t="shared" si="0"/>
        <v>100</v>
      </c>
      <c r="T11" s="700" t="s">
        <v>14</v>
      </c>
      <c r="U11" s="701">
        <f t="shared" si="1"/>
        <v>100</v>
      </c>
      <c r="V11" s="700" t="s">
        <v>14</v>
      </c>
      <c r="W11" s="701">
        <f t="shared" si="2"/>
        <v>100</v>
      </c>
      <c r="X11" s="702"/>
      <c r="Y11" s="3657"/>
      <c r="Z11" s="52">
        <f t="shared" si="7"/>
        <v>111</v>
      </c>
      <c r="AA11" s="703">
        <f t="shared" si="3"/>
        <v>1</v>
      </c>
      <c r="AB11" s="703">
        <f t="shared" si="4"/>
        <v>1</v>
      </c>
      <c r="AC11" s="703">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745"/>
      <c r="Q12" s="1342">
        <f t="shared" si="6"/>
        <v>111</v>
      </c>
      <c r="R12" s="700" t="s">
        <v>14</v>
      </c>
      <c r="S12" s="701">
        <f t="shared" si="0"/>
        <v>100</v>
      </c>
      <c r="T12" s="700" t="s">
        <v>14</v>
      </c>
      <c r="U12" s="701">
        <f t="shared" si="1"/>
        <v>100</v>
      </c>
      <c r="V12" s="700" t="s">
        <v>14</v>
      </c>
      <c r="W12" s="701">
        <f t="shared" si="2"/>
        <v>100</v>
      </c>
      <c r="X12" s="702"/>
      <c r="Y12" s="3657"/>
      <c r="Z12" s="52">
        <f t="shared" si="7"/>
        <v>111</v>
      </c>
      <c r="AA12" s="703">
        <f>D12/F12</f>
        <v>1</v>
      </c>
      <c r="AB12" s="703">
        <f>D12/H12</f>
        <v>1</v>
      </c>
      <c r="AC12" s="703">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721"/>
      <c r="M13" s="2715"/>
      <c r="N13" s="2715"/>
      <c r="O13" s="2773"/>
      <c r="P13" s="3745"/>
      <c r="Q13" s="1342">
        <f t="shared" si="6"/>
        <v>111</v>
      </c>
      <c r="R13" s="700" t="s">
        <v>14</v>
      </c>
      <c r="S13" s="701">
        <f t="shared" si="0"/>
        <v>100</v>
      </c>
      <c r="T13" s="700" t="s">
        <v>14</v>
      </c>
      <c r="U13" s="701">
        <f t="shared" si="1"/>
        <v>100</v>
      </c>
      <c r="V13" s="700" t="s">
        <v>14</v>
      </c>
      <c r="W13" s="701">
        <f t="shared" si="2"/>
        <v>100</v>
      </c>
      <c r="X13" s="702"/>
      <c r="Y13" s="3657"/>
      <c r="Z13" s="52">
        <f t="shared" si="7"/>
        <v>111</v>
      </c>
      <c r="AA13" s="703">
        <f t="shared" si="3"/>
        <v>1</v>
      </c>
      <c r="AB13" s="703">
        <f t="shared" si="4"/>
        <v>1</v>
      </c>
      <c r="AC13" s="703">
        <f t="shared" si="5"/>
        <v>1</v>
      </c>
    </row>
    <row r="14" spans="1:29" ht="85.5">
      <c r="A14" s="391" t="s">
        <v>1690</v>
      </c>
      <c r="B14" s="61" t="s">
        <v>1833</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747" t="s">
        <v>1691</v>
      </c>
      <c r="Q14" s="1351" t="str">
        <f t="shared" si="6"/>
        <v>交通便捷度</v>
      </c>
      <c r="R14" s="704" t="s">
        <v>14</v>
      </c>
      <c r="S14" s="705">
        <f t="shared" si="0"/>
        <v>100</v>
      </c>
      <c r="T14" s="704" t="s">
        <v>14</v>
      </c>
      <c r="U14" s="705">
        <f t="shared" si="1"/>
        <v>100</v>
      </c>
      <c r="V14" s="704" t="s">
        <v>14</v>
      </c>
      <c r="W14" s="705">
        <f t="shared" si="2"/>
        <v>100</v>
      </c>
      <c r="X14" s="1354"/>
      <c r="Y14" s="3747" t="s">
        <v>1691</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721"/>
      <c r="M15" s="2715"/>
      <c r="N15" s="2715"/>
      <c r="O15" s="2773"/>
      <c r="P15" s="3748"/>
      <c r="Q15" s="1351"/>
      <c r="R15" s="704"/>
      <c r="S15" s="705"/>
      <c r="T15" s="704"/>
      <c r="U15" s="705"/>
      <c r="V15" s="704"/>
      <c r="W15" s="705"/>
      <c r="X15" s="1354"/>
      <c r="Y15" s="3748"/>
      <c r="Z15" s="1355"/>
      <c r="AA15" s="1352">
        <v>1</v>
      </c>
      <c r="AB15" s="1352">
        <v>1</v>
      </c>
      <c r="AC15" s="1352">
        <v>1</v>
      </c>
    </row>
    <row r="16" spans="1:29" ht="42.75">
      <c r="A16" s="379"/>
      <c r="B16" s="402" t="s">
        <v>1812</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748"/>
      <c r="Q16" s="1351" t="str">
        <f>B16</f>
        <v>公共配套设施</v>
      </c>
      <c r="R16" s="704" t="s">
        <v>14</v>
      </c>
      <c r="S16" s="705">
        <f>F16</f>
        <v>100</v>
      </c>
      <c r="T16" s="704" t="s">
        <v>14</v>
      </c>
      <c r="U16" s="705">
        <f>H16</f>
        <v>100</v>
      </c>
      <c r="V16" s="704" t="s">
        <v>14</v>
      </c>
      <c r="W16" s="705">
        <f>J16</f>
        <v>100</v>
      </c>
      <c r="X16" s="1354"/>
      <c r="Y16" s="3748"/>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721"/>
      <c r="M17" s="2715"/>
      <c r="N17" s="2715"/>
      <c r="O17" s="2773"/>
      <c r="P17" s="3748"/>
      <c r="Q17" s="1351"/>
      <c r="R17" s="704"/>
      <c r="S17" s="705"/>
      <c r="T17" s="704"/>
      <c r="U17" s="705"/>
      <c r="V17" s="704"/>
      <c r="W17" s="705"/>
      <c r="X17" s="1354"/>
      <c r="Y17" s="3748"/>
      <c r="Z17" s="1355"/>
      <c r="AA17" s="1352">
        <v>1</v>
      </c>
      <c r="AB17" s="1352">
        <v>1</v>
      </c>
      <c r="AC17" s="1352">
        <v>1</v>
      </c>
    </row>
    <row r="18" spans="1:29" ht="28.5">
      <c r="A18" s="379"/>
      <c r="B18" s="1130" t="s">
        <v>1813</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748"/>
      <c r="Q18" s="1351" t="str">
        <f>B18</f>
        <v>基础设施水平</v>
      </c>
      <c r="R18" s="704" t="s">
        <v>14</v>
      </c>
      <c r="S18" s="705">
        <f>F18</f>
        <v>100</v>
      </c>
      <c r="T18" s="704" t="s">
        <v>14</v>
      </c>
      <c r="U18" s="705">
        <f>H18</f>
        <v>100</v>
      </c>
      <c r="V18" s="704" t="s">
        <v>14</v>
      </c>
      <c r="W18" s="705">
        <f>J18</f>
        <v>100</v>
      </c>
      <c r="X18" s="1354"/>
      <c r="Y18" s="3748"/>
      <c r="Z18" s="1355" t="str">
        <f>Q18</f>
        <v>基础设施水平</v>
      </c>
      <c r="AA18" s="1352">
        <f t="shared" ref="AA18" si="8">D18/F18</f>
        <v>1</v>
      </c>
      <c r="AB18" s="1352">
        <f t="shared" ref="AB18" si="9">D18/H18</f>
        <v>1</v>
      </c>
      <c r="AC18" s="1352">
        <f t="shared" ref="AC18" si="10">D18/J18</f>
        <v>1</v>
      </c>
    </row>
    <row r="19" spans="1:29" ht="15">
      <c r="A19" s="379"/>
      <c r="B19" s="1130"/>
      <c r="C19" s="1900"/>
      <c r="D19" s="401"/>
      <c r="E19" s="1900"/>
      <c r="F19" s="404"/>
      <c r="G19" s="1900"/>
      <c r="H19" s="399"/>
      <c r="I19" s="398"/>
      <c r="J19" s="399"/>
      <c r="K19" s="1129"/>
      <c r="L19" s="2721"/>
      <c r="M19" s="2715"/>
      <c r="N19" s="2715"/>
      <c r="O19" s="2773"/>
      <c r="P19" s="3748"/>
      <c r="Q19" s="1351"/>
      <c r="R19" s="704"/>
      <c r="S19" s="705"/>
      <c r="T19" s="704"/>
      <c r="U19" s="705"/>
      <c r="V19" s="704"/>
      <c r="W19" s="705"/>
      <c r="X19" s="1354"/>
      <c r="Y19" s="3748"/>
      <c r="Z19" s="1355"/>
      <c r="AA19" s="1352">
        <v>1</v>
      </c>
      <c r="AB19" s="1352">
        <v>1</v>
      </c>
      <c r="AC19" s="1352">
        <v>1</v>
      </c>
    </row>
    <row r="20" spans="1:29" ht="57">
      <c r="A20" s="379"/>
      <c r="B20" s="402" t="s">
        <v>1834</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748"/>
      <c r="Q20" s="1351" t="str">
        <f>B20</f>
        <v>自然及人文环境</v>
      </c>
      <c r="R20" s="704" t="s">
        <v>14</v>
      </c>
      <c r="S20" s="705">
        <f>F20</f>
        <v>100</v>
      </c>
      <c r="T20" s="704" t="s">
        <v>14</v>
      </c>
      <c r="U20" s="705">
        <f>H20</f>
        <v>100</v>
      </c>
      <c r="V20" s="704" t="s">
        <v>14</v>
      </c>
      <c r="W20" s="705">
        <f>J20</f>
        <v>100</v>
      </c>
      <c r="X20" s="1354"/>
      <c r="Y20" s="3748"/>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721"/>
      <c r="M21" s="2715"/>
      <c r="N21" s="2715"/>
      <c r="O21" s="2773"/>
      <c r="P21" s="3748"/>
      <c r="Q21" s="1351"/>
      <c r="R21" s="704"/>
      <c r="S21" s="705"/>
      <c r="T21" s="704"/>
      <c r="U21" s="705"/>
      <c r="V21" s="704"/>
      <c r="W21" s="705"/>
      <c r="X21" s="1354"/>
      <c r="Y21" s="3748"/>
      <c r="Z21" s="1355"/>
      <c r="AA21" s="1352">
        <v>1</v>
      </c>
      <c r="AB21" s="1352">
        <v>1</v>
      </c>
      <c r="AC21" s="1352">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748"/>
      <c r="Q22" s="1351" t="str">
        <f>B22</f>
        <v>楼层</v>
      </c>
      <c r="R22" s="704" t="s">
        <v>14</v>
      </c>
      <c r="S22" s="705">
        <f>F22</f>
        <v>100</v>
      </c>
      <c r="T22" s="704" t="s">
        <v>14</v>
      </c>
      <c r="U22" s="705">
        <f>H22</f>
        <v>100</v>
      </c>
      <c r="V22" s="704" t="s">
        <v>14</v>
      </c>
      <c r="W22" s="705">
        <f>J22</f>
        <v>100</v>
      </c>
      <c r="X22" s="1354"/>
      <c r="Y22" s="3748"/>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748"/>
      <c r="Q23" s="1351">
        <f>B23</f>
        <v>111</v>
      </c>
      <c r="R23" s="704" t="s">
        <v>14</v>
      </c>
      <c r="S23" s="705">
        <f>F23</f>
        <v>100</v>
      </c>
      <c r="T23" s="704" t="s">
        <v>14</v>
      </c>
      <c r="U23" s="705">
        <f>H23</f>
        <v>100</v>
      </c>
      <c r="V23" s="704" t="s">
        <v>14</v>
      </c>
      <c r="W23" s="705">
        <f>J23</f>
        <v>100</v>
      </c>
      <c r="X23" s="1354"/>
      <c r="Y23" s="3748"/>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748"/>
      <c r="Q24" s="1351">
        <f t="shared" ref="Q24:Q34" si="11">B24</f>
        <v>111</v>
      </c>
      <c r="R24" s="704" t="s">
        <v>14</v>
      </c>
      <c r="S24" s="705">
        <f>F24</f>
        <v>100</v>
      </c>
      <c r="T24" s="704" t="s">
        <v>14</v>
      </c>
      <c r="U24" s="705">
        <f>H24</f>
        <v>100</v>
      </c>
      <c r="V24" s="704" t="s">
        <v>14</v>
      </c>
      <c r="W24" s="705">
        <f>J24</f>
        <v>100</v>
      </c>
      <c r="X24" s="1354"/>
      <c r="Y24" s="3748"/>
      <c r="Z24" s="1355">
        <f>Q24</f>
        <v>111</v>
      </c>
      <c r="AA24" s="1352">
        <f t="shared" si="3"/>
        <v>1</v>
      </c>
      <c r="AB24" s="1352">
        <f t="shared" si="4"/>
        <v>1</v>
      </c>
      <c r="AC24" s="1352">
        <f t="shared" si="5"/>
        <v>1</v>
      </c>
    </row>
    <row r="25" spans="1:29" s="108" customFormat="1" ht="15.75" thickBot="1">
      <c r="A25" s="382"/>
      <c r="B25" s="1892">
        <v>111</v>
      </c>
      <c r="C25" s="1975"/>
      <c r="D25" s="612">
        <v>100</v>
      </c>
      <c r="E25" s="1975"/>
      <c r="F25" s="613">
        <f>SUMIF(75:75,E25,76:76)-SUMIF(75:75,C25,76:76)+100</f>
        <v>100</v>
      </c>
      <c r="G25" s="1975"/>
      <c r="H25" s="612">
        <f>SUMIF(75:75,G25,76:76)-SUMIF(75:75,C25,76:76)+100</f>
        <v>100</v>
      </c>
      <c r="I25" s="1975"/>
      <c r="J25" s="612">
        <f>SUMIF(75:75,I25,76:76)-SUMIF(75:75,C25,76:76)+100</f>
        <v>100</v>
      </c>
      <c r="K25" s="562"/>
      <c r="L25" s="2716"/>
      <c r="M25" s="2717"/>
      <c r="N25" s="2717"/>
      <c r="O25" s="2771"/>
      <c r="P25" s="3748"/>
      <c r="Q25" s="1342">
        <f t="shared" si="11"/>
        <v>111</v>
      </c>
      <c r="R25" s="700" t="s">
        <v>14</v>
      </c>
      <c r="S25" s="701">
        <f>F25</f>
        <v>100</v>
      </c>
      <c r="T25" s="700" t="s">
        <v>14</v>
      </c>
      <c r="U25" s="701">
        <f>H25</f>
        <v>100</v>
      </c>
      <c r="V25" s="700" t="s">
        <v>14</v>
      </c>
      <c r="W25" s="701">
        <f>J25</f>
        <v>100</v>
      </c>
      <c r="X25" s="702"/>
      <c r="Y25" s="3748"/>
      <c r="Z25" s="52">
        <f>Q25</f>
        <v>111</v>
      </c>
      <c r="AA25" s="1352">
        <f>D25/F25</f>
        <v>1</v>
      </c>
      <c r="AB25" s="1352">
        <f>D25/H25</f>
        <v>1</v>
      </c>
      <c r="AC25" s="1352">
        <f>D25/J25</f>
        <v>1</v>
      </c>
    </row>
    <row r="26" spans="1:29" ht="28.5">
      <c r="A26" s="417" t="s">
        <v>1694</v>
      </c>
      <c r="B26" s="63" t="s">
        <v>1838</v>
      </c>
      <c r="C26" s="1966"/>
      <c r="D26" s="418">
        <v>100</v>
      </c>
      <c r="E26" s="1966"/>
      <c r="F26" s="614">
        <f>SUMIF(77:77,E26,78:78)-SUMIF(77:77,C26,78:78)+100</f>
        <v>100</v>
      </c>
      <c r="G26" s="1966"/>
      <c r="H26" s="418">
        <f>SUMIF(77:77,G26,78:78)-SUMIF(77:77,C26,78:78)+100</f>
        <v>100</v>
      </c>
      <c r="I26" s="1966"/>
      <c r="J26" s="418">
        <f>SUMIF(77:77,I26,78:78)-SUMIF(77:77,C26,78:78)+100</f>
        <v>100</v>
      </c>
      <c r="K26" s="561"/>
      <c r="L26" s="2721"/>
      <c r="M26" s="2715"/>
      <c r="N26" s="2715"/>
      <c r="O26" s="2773"/>
      <c r="P26" s="3771" t="s">
        <v>1696</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3752" t="s">
        <v>1696</v>
      </c>
      <c r="Z26" s="1355" t="str">
        <f t="shared" ref="Z26:Z34" si="15">Q26</f>
        <v>公共部分装修</v>
      </c>
      <c r="AA26" s="1352">
        <f t="shared" si="3"/>
        <v>1</v>
      </c>
      <c r="AB26" s="1352">
        <f t="shared" si="4"/>
        <v>1</v>
      </c>
      <c r="AC26" s="1352">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752"/>
      <c r="Q27" s="706" t="str">
        <f t="shared" si="11"/>
        <v>成新率</v>
      </c>
      <c r="R27" s="707" t="s">
        <v>14</v>
      </c>
      <c r="S27" s="708" t="e">
        <f t="shared" si="12"/>
        <v>#N/A</v>
      </c>
      <c r="T27" s="707" t="s">
        <v>14</v>
      </c>
      <c r="U27" s="708" t="e">
        <f t="shared" si="13"/>
        <v>#N/A</v>
      </c>
      <c r="V27" s="707" t="s">
        <v>14</v>
      </c>
      <c r="W27" s="708" t="e">
        <f t="shared" si="14"/>
        <v>#N/A</v>
      </c>
      <c r="X27" s="709"/>
      <c r="Y27" s="3752"/>
      <c r="Z27" s="710" t="str">
        <f t="shared" si="15"/>
        <v>成新率</v>
      </c>
      <c r="AA27" s="1352" t="e">
        <f t="shared" si="3"/>
        <v>#N/A</v>
      </c>
      <c r="AB27" s="1352" t="e">
        <f t="shared" si="4"/>
        <v>#N/A</v>
      </c>
      <c r="AC27" s="1352"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752"/>
      <c r="Q28" s="1351" t="str">
        <f t="shared" si="11"/>
        <v>物业等级</v>
      </c>
      <c r="R28" s="704" t="s">
        <v>14</v>
      </c>
      <c r="S28" s="705">
        <f t="shared" si="12"/>
        <v>100</v>
      </c>
      <c r="T28" s="704" t="s">
        <v>14</v>
      </c>
      <c r="U28" s="705">
        <f t="shared" si="13"/>
        <v>100</v>
      </c>
      <c r="V28" s="704" t="s">
        <v>14</v>
      </c>
      <c r="W28" s="705">
        <f t="shared" si="14"/>
        <v>100</v>
      </c>
      <c r="X28" s="1354"/>
      <c r="Y28" s="3752"/>
      <c r="Z28" s="1355" t="str">
        <f t="shared" si="15"/>
        <v>物业等级</v>
      </c>
      <c r="AA28" s="1352">
        <f t="shared" si="3"/>
        <v>1</v>
      </c>
      <c r="AB28" s="1352">
        <f t="shared" si="4"/>
        <v>1</v>
      </c>
      <c r="AC28" s="1352">
        <f t="shared" si="5"/>
        <v>1</v>
      </c>
    </row>
    <row r="29" spans="1:29" ht="15">
      <c r="A29" s="423"/>
      <c r="B29" s="375" t="s">
        <v>1860</v>
      </c>
      <c r="C29" s="604"/>
      <c r="D29" s="386">
        <v>100</v>
      </c>
      <c r="E29" s="604"/>
      <c r="F29" s="412">
        <f>SUMIF(84:84,E29,85:85)-SUMIF(84:84,C29,85:85)+100</f>
        <v>100</v>
      </c>
      <c r="G29" s="604"/>
      <c r="H29" s="386">
        <f>SUMIF(84:84,G29,85:85)-SUMIF(84:84,C29,85:85)+100</f>
        <v>100</v>
      </c>
      <c r="I29" s="604"/>
      <c r="J29" s="386">
        <f>SUMIF(84:84,I29,85:85)-SUMIF(84:84,C29,85:85)+100</f>
        <v>100</v>
      </c>
      <c r="K29" s="561"/>
      <c r="L29" s="2721"/>
      <c r="M29" s="2715"/>
      <c r="N29" s="2715"/>
      <c r="O29" s="2773"/>
      <c r="P29" s="3752"/>
      <c r="Q29" s="1351" t="str">
        <f t="shared" si="11"/>
        <v>有无电梯</v>
      </c>
      <c r="R29" s="704" t="s">
        <v>14</v>
      </c>
      <c r="S29" s="705">
        <f t="shared" si="12"/>
        <v>100</v>
      </c>
      <c r="T29" s="704" t="s">
        <v>14</v>
      </c>
      <c r="U29" s="705">
        <f t="shared" si="13"/>
        <v>100</v>
      </c>
      <c r="V29" s="704" t="s">
        <v>14</v>
      </c>
      <c r="W29" s="705">
        <f t="shared" si="14"/>
        <v>100</v>
      </c>
      <c r="X29" s="1354"/>
      <c r="Y29" s="3752"/>
      <c r="Z29" s="1355" t="str">
        <f t="shared" si="15"/>
        <v>有无电梯</v>
      </c>
      <c r="AA29" s="1352">
        <f t="shared" si="3"/>
        <v>1</v>
      </c>
      <c r="AB29" s="1352">
        <f t="shared" si="4"/>
        <v>1</v>
      </c>
      <c r="AC29" s="1352">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752"/>
      <c r="Q30" s="1351" t="str">
        <f t="shared" si="11"/>
        <v>建筑面积</v>
      </c>
      <c r="R30" s="704" t="s">
        <v>14</v>
      </c>
      <c r="S30" s="705" t="e">
        <f t="shared" si="12"/>
        <v>#N/A</v>
      </c>
      <c r="T30" s="704" t="s">
        <v>14</v>
      </c>
      <c r="U30" s="705" t="e">
        <f t="shared" si="13"/>
        <v>#N/A</v>
      </c>
      <c r="V30" s="704" t="s">
        <v>14</v>
      </c>
      <c r="W30" s="705" t="e">
        <f t="shared" si="14"/>
        <v>#N/A</v>
      </c>
      <c r="X30" s="1354"/>
      <c r="Y30" s="3752"/>
      <c r="Z30" s="1355" t="str">
        <f t="shared" si="15"/>
        <v>建筑面积</v>
      </c>
      <c r="AA30" s="1352" t="e">
        <f t="shared" si="3"/>
        <v>#N/A</v>
      </c>
      <c r="AB30" s="1352" t="e">
        <f t="shared" si="4"/>
        <v>#N/A</v>
      </c>
      <c r="AC30" s="1352" t="e">
        <f t="shared" si="5"/>
        <v>#N/A</v>
      </c>
    </row>
    <row r="31" spans="1:29" s="108" customFormat="1" ht="15">
      <c r="A31" s="424"/>
      <c r="B31" s="375" t="s">
        <v>1862</v>
      </c>
      <c r="C31" s="604"/>
      <c r="D31" s="127">
        <v>100</v>
      </c>
      <c r="E31" s="604"/>
      <c r="F31" s="412">
        <f>SUMIF(89:89,E31,90:90)-SUMIF(89:89,C31,90:90)+100</f>
        <v>100</v>
      </c>
      <c r="G31" s="604"/>
      <c r="H31" s="386">
        <f>SUMIF(89:89,G31,90:90)-SUMIF(89:89,C31,90:90)+100</f>
        <v>100</v>
      </c>
      <c r="I31" s="604"/>
      <c r="J31" s="386">
        <f>SUMIF(89:89,I31,90:90)-SUMIF(89:89,C31,90:90)+100</f>
        <v>100</v>
      </c>
      <c r="K31" s="561"/>
      <c r="L31" s="2716"/>
      <c r="M31" s="2717"/>
      <c r="N31" s="2717"/>
      <c r="O31" s="2771"/>
      <c r="P31" s="3752"/>
      <c r="Q31" s="1342" t="str">
        <f t="shared" si="11"/>
        <v>是否封闭</v>
      </c>
      <c r="R31" s="700" t="s">
        <v>14</v>
      </c>
      <c r="S31" s="701">
        <f t="shared" si="12"/>
        <v>100</v>
      </c>
      <c r="T31" s="700" t="s">
        <v>14</v>
      </c>
      <c r="U31" s="701">
        <f t="shared" si="13"/>
        <v>100</v>
      </c>
      <c r="V31" s="700" t="s">
        <v>14</v>
      </c>
      <c r="W31" s="701">
        <f t="shared" si="14"/>
        <v>100</v>
      </c>
      <c r="X31" s="702"/>
      <c r="Y31" s="3752"/>
      <c r="Z31" s="52" t="str">
        <f t="shared" si="15"/>
        <v>是否封闭</v>
      </c>
      <c r="AA31" s="703">
        <f t="shared" si="3"/>
        <v>1</v>
      </c>
      <c r="AB31" s="703">
        <f t="shared" si="4"/>
        <v>1</v>
      </c>
      <c r="AC31" s="703">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752" t="s">
        <v>1696</v>
      </c>
      <c r="Q32" s="1351">
        <f t="shared" si="11"/>
        <v>111</v>
      </c>
      <c r="R32" s="704" t="s">
        <v>14</v>
      </c>
      <c r="S32" s="705">
        <f t="shared" si="12"/>
        <v>100</v>
      </c>
      <c r="T32" s="704" t="s">
        <v>14</v>
      </c>
      <c r="U32" s="705">
        <f t="shared" si="13"/>
        <v>100</v>
      </c>
      <c r="V32" s="704" t="s">
        <v>14</v>
      </c>
      <c r="W32" s="705">
        <f t="shared" si="14"/>
        <v>100</v>
      </c>
      <c r="X32" s="1354"/>
      <c r="Y32" s="3752" t="s">
        <v>1696</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752"/>
      <c r="Q33" s="1351">
        <f t="shared" si="11"/>
        <v>111</v>
      </c>
      <c r="R33" s="704" t="s">
        <v>14</v>
      </c>
      <c r="S33" s="705">
        <f t="shared" si="12"/>
        <v>100</v>
      </c>
      <c r="T33" s="704" t="s">
        <v>14</v>
      </c>
      <c r="U33" s="705">
        <f t="shared" si="13"/>
        <v>100</v>
      </c>
      <c r="V33" s="704" t="s">
        <v>14</v>
      </c>
      <c r="W33" s="705">
        <f t="shared" si="14"/>
        <v>100</v>
      </c>
      <c r="X33" s="1354"/>
      <c r="Y33" s="3752"/>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721"/>
      <c r="M34" s="2715"/>
      <c r="N34" s="2715"/>
      <c r="O34" s="2773"/>
      <c r="P34" s="3752"/>
      <c r="Q34" s="1351">
        <f t="shared" si="11"/>
        <v>111</v>
      </c>
      <c r="R34" s="704" t="s">
        <v>14</v>
      </c>
      <c r="S34" s="705">
        <f t="shared" si="12"/>
        <v>100</v>
      </c>
      <c r="T34" s="704" t="s">
        <v>14</v>
      </c>
      <c r="U34" s="705">
        <f t="shared" si="13"/>
        <v>100</v>
      </c>
      <c r="V34" s="704" t="s">
        <v>14</v>
      </c>
      <c r="W34" s="705">
        <f t="shared" si="14"/>
        <v>100</v>
      </c>
      <c r="X34" s="1354"/>
      <c r="Y34" s="3752"/>
      <c r="Z34" s="1355">
        <f t="shared" si="15"/>
        <v>111</v>
      </c>
      <c r="AA34" s="1352">
        <f t="shared" si="3"/>
        <v>1</v>
      </c>
      <c r="AB34" s="1352">
        <f t="shared" si="4"/>
        <v>1</v>
      </c>
      <c r="AC34" s="1352">
        <f t="shared" si="5"/>
        <v>1</v>
      </c>
    </row>
    <row r="35" spans="1:30" ht="15">
      <c r="A35" s="430" t="s">
        <v>1708</v>
      </c>
      <c r="B35" s="431"/>
      <c r="C35" s="1153" t="s">
        <v>0</v>
      </c>
      <c r="D35" s="1154"/>
      <c r="E35" s="1155"/>
      <c r="F35" s="1156"/>
      <c r="G35" s="1157"/>
      <c r="H35" s="1158"/>
      <c r="I35" s="1155"/>
      <c r="J35" s="1158"/>
      <c r="K35" s="713"/>
      <c r="L35" s="2723"/>
      <c r="M35" s="2724"/>
      <c r="N35" s="2715"/>
      <c r="O35" s="2724"/>
      <c r="P35" s="3745" t="str">
        <f>A35</f>
        <v>成交单价（元/平方米）</v>
      </c>
      <c r="Q35" s="3745"/>
      <c r="R35" s="3746">
        <f>E35</f>
        <v>0</v>
      </c>
      <c r="S35" s="3746"/>
      <c r="T35" s="3746">
        <f>G35</f>
        <v>0</v>
      </c>
      <c r="U35" s="3746"/>
      <c r="V35" s="3746">
        <f>I35</f>
        <v>0</v>
      </c>
      <c r="W35" s="3746"/>
      <c r="X35" s="689"/>
      <c r="Y35" s="711"/>
      <c r="Z35" s="689"/>
      <c r="AA35" s="689"/>
      <c r="AB35" s="689"/>
      <c r="AC35" s="689"/>
    </row>
    <row r="36" spans="1:30" ht="15.75" thickBot="1">
      <c r="A36" s="437" t="s">
        <v>1793</v>
      </c>
      <c r="B36" s="438"/>
      <c r="C36" s="1159" t="e">
        <f>R37</f>
        <v>#DIV/0!</v>
      </c>
      <c r="D36" s="2316" t="s">
        <v>2138</v>
      </c>
      <c r="E36" s="1160" t="e">
        <f>R36</f>
        <v>#DIV/0!</v>
      </c>
      <c r="F36" s="2317"/>
      <c r="G36" s="1159" t="e">
        <f>T36</f>
        <v>#DIV/0!</v>
      </c>
      <c r="H36" s="2317"/>
      <c r="I36" s="1160" t="e">
        <f>V36</f>
        <v>#DIV/0!</v>
      </c>
      <c r="J36" s="2317"/>
      <c r="K36" s="2319">
        <f>F36+H36+J36</f>
        <v>0</v>
      </c>
      <c r="L36" s="2723"/>
      <c r="M36" s="2724"/>
      <c r="N36" s="2715"/>
      <c r="O36" s="2724"/>
      <c r="P36" s="3745" t="str">
        <f>A36</f>
        <v>比较价值（元/平方米）</v>
      </c>
      <c r="Q36" s="3745"/>
      <c r="R36" s="3746" t="e">
        <f>IF(F1="售价",ROUND(PRODUCT(R35,AA7:AA34),0),ROUND(PRODUCT(R35,AA7:AA34),1))</f>
        <v>#DIV/0!</v>
      </c>
      <c r="S36" s="3746"/>
      <c r="T36" s="3746" t="e">
        <f>IF(F1="售价",ROUND(PRODUCT(T35,AB7:AB34),0),ROUND(PRODUCT(T35,AB7:AB34),1))</f>
        <v>#DIV/0!</v>
      </c>
      <c r="U36" s="3746"/>
      <c r="V36" s="3746" t="e">
        <f>IF(F1="售价",ROUND(PRODUCT(V35,AC7:AC34),0),ROUND(PRODUCT(V35,AC7:AC34),1))</f>
        <v>#DIV/0!</v>
      </c>
      <c r="W36" s="3746"/>
      <c r="X36" s="689"/>
      <c r="Y36" s="689"/>
      <c r="Z36" s="689"/>
      <c r="AA36" s="689"/>
      <c r="AB36" s="689"/>
      <c r="AC36" s="689"/>
    </row>
    <row r="37" spans="1:30" ht="15.75" thickBot="1">
      <c r="A37" s="441" t="s">
        <v>1794</v>
      </c>
      <c r="B37" s="442"/>
      <c r="C37" s="1162" t="e">
        <f>R37</f>
        <v>#DIV/0!</v>
      </c>
      <c r="D37" s="1162"/>
      <c r="E37" s="1162"/>
      <c r="F37" s="1162"/>
      <c r="G37" s="1162"/>
      <c r="H37" s="1162"/>
      <c r="I37" s="1162"/>
      <c r="J37" s="1162"/>
      <c r="K37" s="714"/>
      <c r="L37" s="2723"/>
      <c r="M37" s="2724"/>
      <c r="N37" s="2724"/>
      <c r="O37" s="2724"/>
      <c r="P37" s="3742" t="str">
        <f>A37</f>
        <v>估价对象XX用房的比较价值（楼面单价，元/平方米）</v>
      </c>
      <c r="Q37" s="3743"/>
      <c r="R37" s="3772" t="e">
        <f>IF(F1="售价",ROUND(IF(D36="简单平均",AVERAGE(R36:W36),R36*F36+T36*H36+V36*J36),0),ROUND(IF(D36="简单平均",AVERAGE(R36:V36),R36*F36+T36*H36+V36*J36),1))</f>
        <v>#DIV/0!</v>
      </c>
      <c r="S37" s="3772"/>
      <c r="T37" s="3772"/>
      <c r="U37" s="3772"/>
      <c r="V37" s="3772"/>
      <c r="W37" s="3772"/>
      <c r="X37" s="689"/>
      <c r="Y37" s="689"/>
      <c r="Z37" s="689"/>
      <c r="AA37" s="689"/>
      <c r="AB37" s="689"/>
      <c r="AC37" s="689"/>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3" t="s">
        <v>1798</v>
      </c>
      <c r="B45" s="689"/>
      <c r="C45" s="694"/>
      <c r="D45" s="694"/>
      <c r="E45" s="694"/>
      <c r="F45" s="695"/>
      <c r="G45" s="695"/>
      <c r="H45" s="694"/>
      <c r="I45" s="694"/>
      <c r="J45" s="694"/>
      <c r="K45" s="696"/>
      <c r="L45" s="697"/>
      <c r="M45" s="694"/>
      <c r="N45" s="2768"/>
      <c r="O45" s="2768"/>
      <c r="P45" s="2768"/>
      <c r="Q45" s="2738"/>
      <c r="R45" s="2724"/>
      <c r="S45" s="2724"/>
      <c r="T45" s="2724"/>
      <c r="U45" s="2724"/>
      <c r="V45" s="2724"/>
      <c r="W45" s="2724"/>
      <c r="X45" s="2724"/>
      <c r="Y45" s="2724"/>
      <c r="Z45" s="2724"/>
      <c r="AA45" s="2724"/>
      <c r="AB45" s="2724"/>
      <c r="AC45" s="2724"/>
      <c r="AD45" s="2724"/>
    </row>
    <row r="46" spans="1:30" s="457" customFormat="1" ht="15">
      <c r="A46" s="454" t="s">
        <v>1679</v>
      </c>
      <c r="B46" s="455"/>
      <c r="C46" s="1183" t="str">
        <f>YEAR(C7)&amp;"-"&amp;MONTH(C7)</f>
        <v>2025-5</v>
      </c>
      <c r="D46" s="1184">
        <f>EDATE(C46,-1)</f>
        <v>45748</v>
      </c>
      <c r="E46" s="1184">
        <f t="shared" ref="E46:O46" si="16">EDATE(D46,-1)</f>
        <v>45717</v>
      </c>
      <c r="F46" s="1184">
        <f t="shared" si="16"/>
        <v>45689</v>
      </c>
      <c r="G46" s="1184">
        <f t="shared" si="16"/>
        <v>45658</v>
      </c>
      <c r="H46" s="1184">
        <f t="shared" si="16"/>
        <v>45627</v>
      </c>
      <c r="I46" s="1184">
        <f t="shared" si="16"/>
        <v>45597</v>
      </c>
      <c r="J46" s="1184">
        <f t="shared" si="16"/>
        <v>45566</v>
      </c>
      <c r="K46" s="1184">
        <f t="shared" si="16"/>
        <v>45536</v>
      </c>
      <c r="L46" s="1184">
        <f t="shared" si="16"/>
        <v>45505</v>
      </c>
      <c r="M46" s="1184">
        <f t="shared" si="16"/>
        <v>45474</v>
      </c>
      <c r="N46" s="1184">
        <f t="shared" si="16"/>
        <v>45444</v>
      </c>
      <c r="O46" s="1184">
        <f t="shared" si="16"/>
        <v>45413</v>
      </c>
      <c r="P46" s="2775"/>
      <c r="Q46" s="2740"/>
      <c r="R46" s="2740"/>
      <c r="S46" s="2740"/>
      <c r="T46" s="2740"/>
      <c r="U46" s="2740"/>
      <c r="V46" s="2740"/>
      <c r="W46" s="2740"/>
      <c r="X46" s="2740"/>
      <c r="Y46" s="2740"/>
      <c r="Z46" s="2740"/>
      <c r="AA46" s="2740"/>
      <c r="AB46" s="2740"/>
      <c r="AC46" s="2740"/>
      <c r="AD46" s="2740"/>
    </row>
    <row r="47" spans="1:30" s="108" customFormat="1" ht="15">
      <c r="A47" s="458"/>
      <c r="B47" s="459"/>
      <c r="C47" s="1182">
        <v>100</v>
      </c>
      <c r="D47" s="461"/>
      <c r="E47" s="461"/>
      <c r="F47" s="461"/>
      <c r="G47" s="461"/>
      <c r="H47" s="461"/>
      <c r="I47" s="461"/>
      <c r="J47" s="461"/>
      <c r="K47" s="461"/>
      <c r="L47" s="461"/>
      <c r="M47" s="462"/>
      <c r="N47" s="461"/>
      <c r="O47" s="463"/>
      <c r="P47" s="2738"/>
      <c r="Q47" s="2660"/>
      <c r="R47" s="2660"/>
      <c r="S47" s="2660"/>
      <c r="T47" s="2660"/>
      <c r="U47" s="2660"/>
      <c r="V47" s="2660"/>
      <c r="W47" s="2660"/>
      <c r="X47" s="2660"/>
      <c r="Y47" s="2660"/>
      <c r="Z47" s="2660"/>
      <c r="AA47" s="2660"/>
      <c r="AB47" s="2660"/>
      <c r="AC47" s="2660"/>
      <c r="AD47" s="2660"/>
    </row>
    <row r="48" spans="1:30" s="108" customFormat="1" ht="15.75" thickBot="1">
      <c r="A48" s="464" t="s">
        <v>1716</v>
      </c>
      <c r="B48" s="465"/>
      <c r="C48" s="466"/>
      <c r="D48" s="467"/>
      <c r="E48" s="467"/>
      <c r="F48" s="467"/>
      <c r="G48" s="467"/>
      <c r="H48" s="467"/>
      <c r="I48" s="467"/>
      <c r="J48" s="467"/>
      <c r="K48" s="467"/>
      <c r="L48" s="467"/>
      <c r="M48" s="468"/>
      <c r="N48" s="467"/>
      <c r="O48" s="469"/>
      <c r="P48" s="2738"/>
      <c r="Q48" s="2738"/>
      <c r="R48" s="2660"/>
      <c r="S48" s="2660"/>
      <c r="T48" s="2660"/>
      <c r="U48" s="2660"/>
      <c r="V48" s="2660"/>
      <c r="W48" s="2660"/>
      <c r="X48" s="2660"/>
      <c r="Y48" s="2660"/>
      <c r="Z48" s="2660"/>
      <c r="AA48" s="2660"/>
      <c r="AB48" s="2660"/>
      <c r="AC48" s="2660"/>
      <c r="AD48" s="2660"/>
    </row>
    <row r="49" spans="1:30" s="108" customFormat="1" ht="15">
      <c r="A49" s="470" t="s">
        <v>1681</v>
      </c>
      <c r="B49" s="459"/>
      <c r="C49" s="471" t="s">
        <v>1776</v>
      </c>
      <c r="D49" s="472"/>
      <c r="E49" s="472"/>
      <c r="F49" s="472"/>
      <c r="G49" s="472"/>
      <c r="H49" s="472"/>
      <c r="I49" s="472"/>
      <c r="J49" s="472"/>
      <c r="K49" s="472"/>
      <c r="L49" s="473"/>
      <c r="M49" s="474"/>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70"/>
      <c r="B50" s="459"/>
      <c r="C50" s="586">
        <v>100</v>
      </c>
      <c r="D50" s="461"/>
      <c r="E50" s="461"/>
      <c r="F50" s="461"/>
      <c r="G50" s="461"/>
      <c r="H50" s="461"/>
      <c r="I50" s="461"/>
      <c r="J50" s="461"/>
      <c r="K50" s="461"/>
      <c r="L50" s="461"/>
      <c r="M50" s="463"/>
      <c r="N50" s="2751"/>
      <c r="O50" s="2751"/>
      <c r="P50" s="2738"/>
      <c r="Q50" s="2738"/>
      <c r="R50" s="2660"/>
      <c r="S50" s="2660"/>
      <c r="T50" s="2660"/>
      <c r="U50" s="2660"/>
      <c r="V50" s="2660"/>
      <c r="W50" s="2660"/>
      <c r="X50" s="2660"/>
      <c r="Y50" s="2660"/>
      <c r="Z50" s="2660"/>
      <c r="AA50" s="2660"/>
      <c r="AB50" s="2660"/>
      <c r="AC50" s="2660"/>
      <c r="AD50" s="2660"/>
    </row>
    <row r="51" spans="1:30">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5.75"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7.75"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5.75"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5.75" thickTop="1">
      <c r="A55" s="483"/>
      <c r="B55" s="607">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5.75"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5.75"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5.75"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5.75"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5.75"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7.75"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75" thickTop="1">
      <c r="A65" s="483"/>
      <c r="B65" s="495" t="s">
        <v>1813</v>
      </c>
      <c r="C65" s="607" t="s">
        <v>1799</v>
      </c>
      <c r="D65" s="607" t="s">
        <v>1800</v>
      </c>
      <c r="E65" s="607" t="s">
        <v>1801</v>
      </c>
      <c r="F65" s="607" t="s">
        <v>1802</v>
      </c>
      <c r="G65" s="607" t="s">
        <v>1803</v>
      </c>
      <c r="H65" s="488"/>
      <c r="I65" s="488"/>
      <c r="J65" s="488"/>
      <c r="K65" s="488"/>
      <c r="L65" s="488"/>
      <c r="M65" s="1128"/>
      <c r="N65" s="2753"/>
      <c r="O65" s="2753"/>
      <c r="P65" s="2777"/>
      <c r="Q65" s="2738"/>
      <c r="R65" s="2724"/>
      <c r="S65" s="2724"/>
      <c r="T65" s="2724"/>
      <c r="U65" s="2724"/>
      <c r="V65" s="2724"/>
      <c r="W65" s="2724"/>
      <c r="X65" s="2724"/>
      <c r="Y65" s="2724"/>
      <c r="Z65" s="2724"/>
      <c r="AA65" s="2724"/>
      <c r="AB65" s="2724"/>
      <c r="AC65" s="2724"/>
      <c r="AD65" s="2724"/>
    </row>
    <row r="66" spans="1:30" ht="15.75" thickBot="1">
      <c r="A66" s="483"/>
      <c r="B66" s="495"/>
      <c r="C66" s="493">
        <v>100</v>
      </c>
      <c r="D66" s="493">
        <f>C66-$K18</f>
        <v>100</v>
      </c>
      <c r="E66" s="493">
        <f>D66-$K18</f>
        <v>100</v>
      </c>
      <c r="F66" s="493">
        <f>E66-$K18</f>
        <v>100</v>
      </c>
      <c r="G66" s="493">
        <f>F66-$K18</f>
        <v>100</v>
      </c>
      <c r="H66" s="607"/>
      <c r="I66" s="607"/>
      <c r="J66" s="607"/>
      <c r="K66" s="607"/>
      <c r="L66" s="607"/>
      <c r="M66" s="401"/>
      <c r="N66" s="2753"/>
      <c r="O66" s="2753"/>
      <c r="P66" s="2777"/>
      <c r="Q66" s="2738"/>
      <c r="R66" s="2724"/>
      <c r="S66" s="2724"/>
      <c r="T66" s="2724"/>
      <c r="U66" s="2724"/>
      <c r="V66" s="2724"/>
      <c r="W66" s="2724"/>
      <c r="X66" s="2724"/>
      <c r="Y66" s="2724"/>
      <c r="Z66" s="2724"/>
      <c r="AA66" s="2724"/>
      <c r="AB66" s="2724"/>
      <c r="AC66" s="2724"/>
      <c r="AD66" s="2724"/>
    </row>
    <row r="67" spans="1:30" ht="15.7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7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5.75"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8"/>
      <c r="B71" s="487">
        <f>B23</f>
        <v>111</v>
      </c>
      <c r="C71" s="498"/>
      <c r="D71" s="498"/>
      <c r="E71" s="498"/>
      <c r="F71" s="498"/>
      <c r="G71" s="503"/>
      <c r="H71" s="503"/>
      <c r="I71" s="503"/>
      <c r="J71" s="503"/>
      <c r="K71" s="503"/>
      <c r="L71" s="529"/>
      <c r="M71" s="530"/>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8"/>
      <c r="B72" s="492"/>
      <c r="C72" s="509"/>
      <c r="D72" s="485"/>
      <c r="E72" s="485"/>
      <c r="F72" s="485"/>
      <c r="G72" s="485"/>
      <c r="H72" s="485"/>
      <c r="I72" s="485"/>
      <c r="J72" s="485"/>
      <c r="K72" s="485"/>
      <c r="L72" s="485"/>
      <c r="M72" s="486"/>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8"/>
      <c r="B73" s="487">
        <f>B24</f>
        <v>111</v>
      </c>
      <c r="C73" s="498"/>
      <c r="D73" s="498"/>
      <c r="E73" s="498"/>
      <c r="F73" s="498"/>
      <c r="G73" s="503"/>
      <c r="H73" s="503"/>
      <c r="I73" s="503"/>
      <c r="J73" s="503"/>
      <c r="K73" s="503"/>
      <c r="L73" s="503"/>
      <c r="M73" s="530"/>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8"/>
      <c r="B74" s="492"/>
      <c r="C74" s="509"/>
      <c r="D74" s="485"/>
      <c r="E74" s="485"/>
      <c r="F74" s="485"/>
      <c r="G74" s="485"/>
      <c r="H74" s="485"/>
      <c r="I74" s="485"/>
      <c r="J74" s="485"/>
      <c r="K74" s="485"/>
      <c r="L74" s="485"/>
      <c r="M74" s="486"/>
      <c r="N74" s="2753"/>
      <c r="O74" s="2753"/>
      <c r="P74" s="2777"/>
      <c r="Q74" s="2738"/>
      <c r="R74" s="2660"/>
      <c r="S74" s="2660"/>
      <c r="T74" s="2660"/>
      <c r="U74" s="2660"/>
      <c r="V74" s="2660"/>
      <c r="W74" s="2660"/>
      <c r="X74" s="2660"/>
      <c r="Y74" s="2660"/>
      <c r="Z74" s="2660"/>
      <c r="AA74" s="2660"/>
      <c r="AB74" s="2660"/>
      <c r="AC74" s="2660"/>
      <c r="AD74" s="2660"/>
    </row>
    <row r="75" spans="1:30" s="422" customFormat="1" ht="15.75"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5.75"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ht="15">
      <c r="A80" s="483"/>
      <c r="B80" s="495"/>
      <c r="C80" s="552">
        <v>0.5</v>
      </c>
      <c r="D80" s="552">
        <v>0.6</v>
      </c>
      <c r="E80" s="552">
        <v>0.7</v>
      </c>
      <c r="F80" s="552">
        <v>0.8</v>
      </c>
      <c r="G80" s="552">
        <v>0.9</v>
      </c>
      <c r="H80" s="552">
        <v>1.0001</v>
      </c>
      <c r="I80" s="607"/>
      <c r="J80" s="607"/>
      <c r="K80" s="615"/>
      <c r="L80" s="616"/>
      <c r="M80" s="617"/>
      <c r="N80" s="2751"/>
      <c r="O80" s="2751"/>
      <c r="P80" s="2777"/>
      <c r="Q80" s="2738"/>
      <c r="R80" s="2724"/>
      <c r="S80" s="2724"/>
      <c r="T80" s="2724"/>
      <c r="U80" s="2724"/>
      <c r="V80" s="2724"/>
      <c r="W80" s="2724"/>
      <c r="X80" s="2724"/>
      <c r="Y80" s="2724"/>
      <c r="Z80" s="2724"/>
      <c r="AA80" s="2724"/>
      <c r="AB80" s="2724"/>
      <c r="AC80" s="2724"/>
      <c r="AD80" s="2724"/>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69"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5.75"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5.75"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5"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5.75"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5"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5.75"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5" thickTop="1">
      <c r="A95" s="548"/>
      <c r="B95" s="583">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5.75"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5"/>
      <c r="B98" s="935"/>
      <c r="C98" s="935"/>
      <c r="D98" s="935"/>
      <c r="E98" s="935"/>
      <c r="F98" s="935"/>
      <c r="G98" s="935"/>
      <c r="H98" s="935"/>
      <c r="I98" s="935"/>
      <c r="J98" s="935"/>
      <c r="K98" s="936"/>
      <c r="L98" s="937"/>
      <c r="M98" s="935"/>
      <c r="N98" s="2724"/>
      <c r="O98" s="2724"/>
      <c r="P98" s="2724"/>
      <c r="Q98" s="2724"/>
      <c r="R98" s="2724"/>
      <c r="S98" s="2724"/>
      <c r="T98" s="2724"/>
      <c r="U98" s="2724"/>
      <c r="V98" s="2724"/>
      <c r="W98" s="2724"/>
      <c r="X98" s="2724"/>
      <c r="Y98" s="2724"/>
      <c r="Z98" s="2724"/>
      <c r="AA98" s="2724"/>
      <c r="AB98" s="2724"/>
      <c r="AC98" s="2724"/>
      <c r="AD98" s="2724"/>
    </row>
    <row r="99" spans="1:30">
      <c r="A99" s="935"/>
      <c r="B99" s="935"/>
      <c r="C99" s="935"/>
      <c r="D99" s="935"/>
      <c r="E99" s="935"/>
      <c r="F99" s="935"/>
      <c r="G99" s="935"/>
      <c r="H99" s="935"/>
      <c r="I99" s="935"/>
      <c r="J99" s="935"/>
      <c r="K99" s="936"/>
      <c r="L99" s="937"/>
      <c r="M99" s="935"/>
      <c r="N99" s="2724"/>
      <c r="O99" s="2724"/>
      <c r="P99" s="2724"/>
      <c r="Q99" s="2724"/>
      <c r="R99" s="2724"/>
      <c r="S99" s="2724"/>
      <c r="T99" s="2724"/>
      <c r="U99" s="2724"/>
      <c r="V99" s="2724"/>
      <c r="W99" s="2724"/>
      <c r="X99" s="2724"/>
      <c r="Y99" s="2724"/>
      <c r="Z99" s="2724"/>
      <c r="AA99" s="2724"/>
      <c r="AB99" s="2724"/>
      <c r="AC99" s="2724"/>
      <c r="AD99" s="2724"/>
    </row>
    <row r="100" spans="1:30">
      <c r="A100" s="935"/>
      <c r="B100" s="935"/>
      <c r="C100" s="935"/>
      <c r="D100" s="935"/>
      <c r="E100" s="935"/>
      <c r="F100" s="935"/>
      <c r="G100" s="935"/>
      <c r="H100" s="935"/>
      <c r="I100" s="935"/>
      <c r="J100" s="935"/>
      <c r="K100" s="936"/>
      <c r="L100" s="937"/>
      <c r="M100" s="935"/>
      <c r="N100" s="2724"/>
      <c r="O100" s="2724"/>
      <c r="P100" s="2724"/>
      <c r="Q100" s="2724"/>
      <c r="R100" s="2724"/>
      <c r="S100" s="2724"/>
      <c r="T100" s="2724"/>
      <c r="U100" s="2724"/>
      <c r="V100" s="2724"/>
      <c r="W100" s="2724"/>
      <c r="X100" s="2724"/>
      <c r="Y100" s="2724"/>
      <c r="Z100" s="2724"/>
      <c r="AA100" s="2724"/>
      <c r="AB100" s="2724"/>
      <c r="AC100" s="2724"/>
      <c r="AD100" s="2724"/>
    </row>
    <row r="101" spans="1:30">
      <c r="A101" s="935"/>
      <c r="B101" s="935"/>
      <c r="C101" s="935"/>
      <c r="D101" s="935"/>
      <c r="E101" s="935"/>
      <c r="F101" s="935"/>
      <c r="G101" s="935"/>
      <c r="H101" s="935"/>
      <c r="I101" s="935"/>
      <c r="J101" s="935"/>
      <c r="K101" s="936"/>
      <c r="L101" s="937"/>
      <c r="M101" s="935"/>
      <c r="N101" s="2724"/>
      <c r="O101" s="2724"/>
      <c r="P101" s="2724"/>
      <c r="Q101" s="2724"/>
      <c r="R101" s="2724"/>
      <c r="S101" s="2724"/>
      <c r="T101" s="2724"/>
      <c r="U101" s="2724"/>
      <c r="V101" s="2724"/>
      <c r="W101" s="2724"/>
      <c r="X101" s="2724"/>
      <c r="Y101" s="2724"/>
      <c r="Z101" s="2724"/>
      <c r="AA101" s="2724"/>
      <c r="AB101" s="2724"/>
      <c r="AC101" s="2724"/>
      <c r="AD101" s="2724"/>
    </row>
    <row r="102" spans="1:30">
      <c r="A102" s="935"/>
      <c r="B102" s="935"/>
      <c r="C102" s="935"/>
      <c r="D102" s="935"/>
      <c r="E102" s="935"/>
      <c r="F102" s="935"/>
      <c r="G102" s="935"/>
      <c r="H102" s="935"/>
      <c r="I102" s="935"/>
      <c r="J102" s="935"/>
      <c r="K102" s="936"/>
      <c r="L102" s="937"/>
      <c r="M102" s="935"/>
      <c r="N102" s="2724"/>
      <c r="O102" s="2724"/>
      <c r="P102" s="2724"/>
      <c r="Q102" s="2724"/>
      <c r="R102" s="2724"/>
      <c r="S102" s="2724"/>
      <c r="T102" s="2724"/>
      <c r="U102" s="2724"/>
      <c r="V102" s="2724"/>
      <c r="W102" s="2724"/>
      <c r="X102" s="2724"/>
      <c r="Y102" s="2724"/>
      <c r="Z102" s="2724"/>
      <c r="AA102" s="2724"/>
      <c r="AB102" s="2724"/>
      <c r="AC102" s="2724"/>
      <c r="AD102" s="2724"/>
    </row>
    <row r="103" spans="1:30">
      <c r="A103" s="935"/>
      <c r="B103" s="935"/>
      <c r="C103" s="935"/>
      <c r="D103" s="935"/>
      <c r="E103" s="935"/>
      <c r="F103" s="935"/>
      <c r="G103" s="935"/>
      <c r="H103" s="935"/>
      <c r="I103" s="935"/>
      <c r="J103" s="935"/>
      <c r="K103" s="936"/>
      <c r="L103" s="937"/>
      <c r="M103" s="935"/>
      <c r="N103" s="935"/>
      <c r="O103" s="935"/>
      <c r="P103" s="2724"/>
      <c r="Q103" s="2724"/>
      <c r="R103" s="2724"/>
      <c r="S103" s="2724"/>
      <c r="T103" s="2724"/>
      <c r="U103" s="2724"/>
      <c r="V103" s="2724"/>
      <c r="W103" s="2724"/>
      <c r="X103" s="2724"/>
      <c r="Y103" s="2724"/>
      <c r="Z103" s="2724"/>
      <c r="AA103" s="2724"/>
      <c r="AB103" s="2724"/>
      <c r="AC103" s="2724"/>
      <c r="AD103" s="2724"/>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95" priority="18" stopIfTrue="1" operator="containsText" text="超过">
      <formula>NOT(ISERROR(SEARCH("超过",F40)))</formula>
    </cfRule>
  </conditionalFormatting>
  <conditionalFormatting sqref="J42">
    <cfRule type="containsText" dxfId="94" priority="17" stopIfTrue="1" operator="containsText" text="超过">
      <formula>NOT(ISERROR(SEARCH("超过",J42)))</formula>
    </cfRule>
  </conditionalFormatting>
  <conditionalFormatting sqref="H42">
    <cfRule type="containsText" dxfId="93" priority="16" stopIfTrue="1" operator="containsText" text="超过">
      <formula>NOT(ISERROR(SEARCH("超过",H42)))</formula>
    </cfRule>
  </conditionalFormatting>
  <conditionalFormatting sqref="F42">
    <cfRule type="containsText" dxfId="92" priority="15" stopIfTrue="1" operator="containsText" text="超过">
      <formula>NOT(ISERROR(SEARCH("超过",F42)))</formula>
    </cfRule>
  </conditionalFormatting>
  <conditionalFormatting sqref="F41 H41 J41">
    <cfRule type="containsText" dxfId="91" priority="14" stopIfTrue="1" operator="containsText" text="超过">
      <formula>NOT(ISERROR(SEARCH("超过",F41)))</formula>
    </cfRule>
  </conditionalFormatting>
  <conditionalFormatting sqref="E40">
    <cfRule type="expression" dxfId="90" priority="13" stopIfTrue="1">
      <formula>$F$40="超过30%"</formula>
    </cfRule>
  </conditionalFormatting>
  <conditionalFormatting sqref="G42">
    <cfRule type="expression" dxfId="89" priority="12" stopIfTrue="1">
      <formula>$H$54+$H$42="超过30%"</formula>
    </cfRule>
  </conditionalFormatting>
  <conditionalFormatting sqref="E41">
    <cfRule type="expression" dxfId="88" priority="11" stopIfTrue="1">
      <formula>$F$41="超过20%"</formula>
    </cfRule>
  </conditionalFormatting>
  <conditionalFormatting sqref="E42">
    <cfRule type="expression" dxfId="87" priority="10" stopIfTrue="1">
      <formula>$F$42="超过30%"</formula>
    </cfRule>
  </conditionalFormatting>
  <conditionalFormatting sqref="G40">
    <cfRule type="expression" dxfId="86" priority="9" stopIfTrue="1">
      <formula>$H$52+$H$40="超过30%"</formula>
    </cfRule>
  </conditionalFormatting>
  <conditionalFormatting sqref="G41">
    <cfRule type="expression" dxfId="85" priority="8" stopIfTrue="1">
      <formula>$H$53+$H$41="超过20%"</formula>
    </cfRule>
  </conditionalFormatting>
  <conditionalFormatting sqref="I40">
    <cfRule type="expression" dxfId="84" priority="7" stopIfTrue="1">
      <formula>$J$40="超过30%"</formula>
    </cfRule>
  </conditionalFormatting>
  <conditionalFormatting sqref="I41">
    <cfRule type="expression" dxfId="83" priority="6" stopIfTrue="1">
      <formula>$J$41="超过20%"</formula>
    </cfRule>
  </conditionalFormatting>
  <conditionalFormatting sqref="I42">
    <cfRule type="expression" dxfId="82" priority="5" stopIfTrue="1">
      <formula>$J$42="超过30%"</formula>
    </cfRule>
  </conditionalFormatting>
  <conditionalFormatting sqref="F36">
    <cfRule type="expression" dxfId="81" priority="4">
      <formula>$D$36="简单平均"</formula>
    </cfRule>
  </conditionalFormatting>
  <conditionalFormatting sqref="H36">
    <cfRule type="expression" dxfId="80" priority="3">
      <formula>$D$36="简单平均"</formula>
    </cfRule>
  </conditionalFormatting>
  <conditionalFormatting sqref="J36">
    <cfRule type="expression" dxfId="79" priority="2">
      <formula>$D$36="简单平均"</formula>
    </cfRule>
  </conditionalFormatting>
  <conditionalFormatting sqref="F7:F34 H7:H34 J7:J34">
    <cfRule type="cellIs" dxfId="7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1462</v>
      </c>
      <c r="B2" s="618" t="e">
        <f>F65</f>
        <v>#DIV/0!</v>
      </c>
      <c r="C2" s="906"/>
      <c r="D2" s="906"/>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c r="AD2" s="351"/>
    </row>
    <row r="3" spans="1:30" s="352" customFormat="1" ht="28.5" customHeight="1" thickBot="1">
      <c r="A3" s="203" t="s">
        <v>1464</v>
      </c>
      <c r="B3" s="558" t="e">
        <f>ROUND(IF(D3="",B2*10000/'数据-汇总表'!E3,B2*10000/D3),0)</f>
        <v>#DIV/0!</v>
      </c>
      <c r="C3" s="203"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30" ht="15">
      <c r="A4" s="355" t="s">
        <v>1769</v>
      </c>
      <c r="B4" s="356"/>
      <c r="C4" s="3728" t="s">
        <v>1770</v>
      </c>
      <c r="D4" s="3729"/>
      <c r="E4" s="3730" t="s">
        <v>1771</v>
      </c>
      <c r="F4" s="3731"/>
      <c r="G4" s="3728" t="s">
        <v>1772</v>
      </c>
      <c r="H4" s="3729"/>
      <c r="I4" s="3728" t="s">
        <v>1773</v>
      </c>
      <c r="J4" s="3729"/>
      <c r="K4" s="559" t="s">
        <v>1774</v>
      </c>
      <c r="L4" s="2714"/>
      <c r="M4" s="2715"/>
      <c r="N4" s="2715"/>
      <c r="O4" s="2715"/>
      <c r="P4" s="3732" t="s">
        <v>1775</v>
      </c>
      <c r="Q4" s="3733"/>
      <c r="R4" s="3715" t="s">
        <v>1771</v>
      </c>
      <c r="S4" s="3716"/>
      <c r="T4" s="3715" t="s">
        <v>1772</v>
      </c>
      <c r="U4" s="3716"/>
      <c r="V4" s="3740" t="s">
        <v>1773</v>
      </c>
      <c r="W4" s="3740"/>
      <c r="X4" s="1354"/>
      <c r="Y4" s="3715" t="s">
        <v>1775</v>
      </c>
      <c r="Z4" s="3716"/>
      <c r="AA4" s="3710" t="s">
        <v>1771</v>
      </c>
      <c r="AB4" s="3711" t="s">
        <v>1772</v>
      </c>
      <c r="AC4" s="3710" t="s">
        <v>1773</v>
      </c>
    </row>
    <row r="5" spans="1:30" ht="15">
      <c r="A5" s="358"/>
      <c r="B5" s="359"/>
      <c r="C5" s="3721" t="s">
        <v>1673</v>
      </c>
      <c r="D5" s="3722"/>
      <c r="E5" s="3719" t="s">
        <v>1674</v>
      </c>
      <c r="F5" s="3720"/>
      <c r="G5" s="3721" t="s">
        <v>1675</v>
      </c>
      <c r="H5" s="3722"/>
      <c r="I5" s="3721" t="s">
        <v>1676</v>
      </c>
      <c r="J5" s="3722"/>
      <c r="K5" s="559"/>
      <c r="L5" s="2714"/>
      <c r="M5" s="2715"/>
      <c r="N5" s="2715"/>
      <c r="O5" s="2715"/>
      <c r="P5" s="3734"/>
      <c r="Q5" s="3735"/>
      <c r="R5" s="3717"/>
      <c r="S5" s="3718"/>
      <c r="T5" s="3717"/>
      <c r="U5" s="3718"/>
      <c r="V5" s="3740"/>
      <c r="W5" s="3740"/>
      <c r="X5" s="1354"/>
      <c r="Y5" s="3717"/>
      <c r="Z5" s="3718"/>
      <c r="AA5" s="3711"/>
      <c r="AB5" s="3711"/>
      <c r="AC5" s="3711"/>
    </row>
    <row r="6" spans="1:30" ht="15.75" thickBot="1">
      <c r="A6" s="360"/>
      <c r="B6" s="361"/>
      <c r="C6" s="3723" t="s">
        <v>1677</v>
      </c>
      <c r="D6" s="3724"/>
      <c r="E6" s="3725" t="s">
        <v>1677</v>
      </c>
      <c r="F6" s="3726"/>
      <c r="G6" s="3723" t="s">
        <v>1677</v>
      </c>
      <c r="H6" s="3724"/>
      <c r="I6" s="3723" t="s">
        <v>1677</v>
      </c>
      <c r="J6" s="3724"/>
      <c r="K6" s="559" t="s">
        <v>1678</v>
      </c>
      <c r="L6" s="2714"/>
      <c r="M6" s="2715"/>
      <c r="N6" s="2715"/>
      <c r="O6" s="2715"/>
      <c r="P6" s="3736"/>
      <c r="Q6" s="3737"/>
      <c r="R6" s="3717"/>
      <c r="S6" s="3718"/>
      <c r="T6" s="3738"/>
      <c r="U6" s="3739"/>
      <c r="V6" s="3740"/>
      <c r="W6" s="3740"/>
      <c r="X6" s="1354"/>
      <c r="Y6" s="3738"/>
      <c r="Z6" s="3739"/>
      <c r="AA6" s="3712"/>
      <c r="AB6" s="3712"/>
      <c r="AC6" s="3712"/>
    </row>
    <row r="7" spans="1:30" s="108" customFormat="1" ht="15.75" thickBot="1">
      <c r="A7" s="362" t="s">
        <v>1679</v>
      </c>
      <c r="B7" s="363"/>
      <c r="C7" s="364">
        <f>'数据-取费表'!B2</f>
        <v>45805</v>
      </c>
      <c r="D7" s="365">
        <v>100</v>
      </c>
      <c r="E7" s="366"/>
      <c r="F7" s="367">
        <f>SUMIF(69:69,YEAR(E7)&amp;"-"&amp;INT((MONTH(E7)+2)/3),70:70)</f>
        <v>0</v>
      </c>
      <c r="G7" s="1973"/>
      <c r="H7" s="365">
        <f>SUMIF(69:69,YEAR(G7)&amp;"-"&amp;INT((MONTH(G7)+2)/3),70:70)</f>
        <v>0</v>
      </c>
      <c r="I7" s="1973"/>
      <c r="J7" s="365">
        <f>SUMIF(69:69,YEAR(I7)&amp;"-"&amp;INT((MONTH(I7)+2)/3),70:70)</f>
        <v>0</v>
      </c>
      <c r="K7" s="560"/>
      <c r="L7" s="2716"/>
      <c r="M7" s="2717"/>
      <c r="N7" s="2717"/>
      <c r="O7" s="2717"/>
      <c r="P7" s="3713" t="s">
        <v>1680</v>
      </c>
      <c r="Q7" s="3741"/>
      <c r="R7" s="700" t="s">
        <v>14</v>
      </c>
      <c r="S7" s="701">
        <f t="shared" ref="S7:S15" si="0">F7</f>
        <v>0</v>
      </c>
      <c r="T7" s="700" t="s">
        <v>14</v>
      </c>
      <c r="U7" s="701">
        <f t="shared" ref="U7:U15" si="1">H7</f>
        <v>0</v>
      </c>
      <c r="V7" s="700" t="s">
        <v>14</v>
      </c>
      <c r="W7" s="701">
        <f t="shared" ref="W7:W15" si="2">J7</f>
        <v>0</v>
      </c>
      <c r="X7" s="702"/>
      <c r="Y7" s="3713" t="s">
        <v>1680</v>
      </c>
      <c r="Z7" s="3714"/>
      <c r="AA7" s="703" t="e">
        <f>D7/F7</f>
        <v>#DIV/0!</v>
      </c>
      <c r="AB7" s="703" t="e">
        <f>D7/H7</f>
        <v>#DIV/0!</v>
      </c>
      <c r="AC7" s="703"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713" t="s">
        <v>1683</v>
      </c>
      <c r="Q8" s="3714"/>
      <c r="R8" s="700" t="s">
        <v>14</v>
      </c>
      <c r="S8" s="701">
        <f t="shared" si="0"/>
        <v>0</v>
      </c>
      <c r="T8" s="700" t="s">
        <v>14</v>
      </c>
      <c r="U8" s="701">
        <f t="shared" si="1"/>
        <v>0</v>
      </c>
      <c r="V8" s="700" t="s">
        <v>14</v>
      </c>
      <c r="W8" s="701">
        <f t="shared" si="2"/>
        <v>0</v>
      </c>
      <c r="X8" s="702"/>
      <c r="Y8" s="3713" t="s">
        <v>1683</v>
      </c>
      <c r="Z8" s="3714"/>
      <c r="AA8" s="703" t="e">
        <f t="shared" ref="AA8:AA45" si="3">D8/F8</f>
        <v>#DIV/0!</v>
      </c>
      <c r="AB8" s="703" t="e">
        <f t="shared" ref="AB8:AB45" si="4">D8/H8</f>
        <v>#DIV/0!</v>
      </c>
      <c r="AC8" s="703" t="e">
        <f t="shared" ref="AC8:AC45" si="5">D8/J8</f>
        <v>#DIV/0!</v>
      </c>
    </row>
    <row r="9" spans="1:30" s="108" customFormat="1">
      <c r="A9" s="369" t="s">
        <v>1684</v>
      </c>
      <c r="B9" s="63" t="s">
        <v>1685</v>
      </c>
      <c r="C9" s="1976"/>
      <c r="D9" s="126">
        <v>100</v>
      </c>
      <c r="E9" s="1976"/>
      <c r="F9" s="126">
        <f>SUMIF(74:74,E9,75:75)-SUMIF(74:74,C9,75:75)+100</f>
        <v>100</v>
      </c>
      <c r="G9" s="1976"/>
      <c r="H9" s="126">
        <f>SUMIF(74:74,G9,75:75)-SUMIF(74:74,C9,75:75)+100</f>
        <v>100</v>
      </c>
      <c r="I9" s="1976"/>
      <c r="J9" s="126">
        <f>SUMIF(74:74,I9,75:75)-SUMIF(74:74,C9,75:75)+100</f>
        <v>100</v>
      </c>
      <c r="K9" s="560"/>
      <c r="L9" s="2716"/>
      <c r="M9" s="2717"/>
      <c r="N9" s="2717"/>
      <c r="O9" s="2771"/>
      <c r="P9" s="3745" t="s">
        <v>1686</v>
      </c>
      <c r="Q9" s="1342" t="str">
        <f t="shared" ref="Q9:Q15" si="6">B9</f>
        <v>用途</v>
      </c>
      <c r="R9" s="700" t="s">
        <v>14</v>
      </c>
      <c r="S9" s="701">
        <f t="shared" si="0"/>
        <v>100</v>
      </c>
      <c r="T9" s="700" t="s">
        <v>14</v>
      </c>
      <c r="U9" s="701">
        <f t="shared" si="1"/>
        <v>100</v>
      </c>
      <c r="V9" s="700" t="s">
        <v>14</v>
      </c>
      <c r="W9" s="701">
        <f t="shared" si="2"/>
        <v>100</v>
      </c>
      <c r="X9" s="702"/>
      <c r="Y9" s="3657" t="s">
        <v>1687</v>
      </c>
      <c r="Z9" s="52" t="str">
        <f t="shared" ref="Z9:Z15" si="7">Q9</f>
        <v>用途</v>
      </c>
      <c r="AA9" s="703">
        <f t="shared" si="3"/>
        <v>1</v>
      </c>
      <c r="AB9" s="703">
        <f t="shared" si="4"/>
        <v>1</v>
      </c>
      <c r="AC9" s="703">
        <f t="shared" si="5"/>
        <v>1</v>
      </c>
    </row>
    <row r="10" spans="1:30" s="378" customFormat="1" ht="27">
      <c r="A10" s="374"/>
      <c r="B10" s="375" t="s">
        <v>1688</v>
      </c>
      <c r="C10" s="383"/>
      <c r="D10" s="127">
        <v>100</v>
      </c>
      <c r="E10" s="416"/>
      <c r="F10" s="127">
        <f>ROUND(100/'数据-取费表'!G16,0)</f>
        <v>113</v>
      </c>
      <c r="G10" s="414"/>
      <c r="H10" s="127">
        <f>ROUND(100/'数据-取费表'!G16,0)</f>
        <v>113</v>
      </c>
      <c r="I10" s="414"/>
      <c r="J10" s="127">
        <f>ROUND(100/'数据-取费表'!G16,0)</f>
        <v>113</v>
      </c>
      <c r="K10" s="619"/>
      <c r="L10" s="2718"/>
      <c r="M10" s="2719"/>
      <c r="N10" s="2719"/>
      <c r="O10" s="2772"/>
      <c r="P10" s="3745"/>
      <c r="Q10" s="1342" t="str">
        <f t="shared" si="6"/>
        <v>土地使用年限（年）</v>
      </c>
      <c r="R10" s="700" t="s">
        <v>14</v>
      </c>
      <c r="S10" s="701">
        <f t="shared" si="0"/>
        <v>113</v>
      </c>
      <c r="T10" s="700" t="s">
        <v>14</v>
      </c>
      <c r="U10" s="701">
        <f t="shared" si="1"/>
        <v>113</v>
      </c>
      <c r="V10" s="700" t="s">
        <v>14</v>
      </c>
      <c r="W10" s="701">
        <f t="shared" si="2"/>
        <v>113</v>
      </c>
      <c r="X10" s="702"/>
      <c r="Y10" s="3657"/>
      <c r="Z10" s="52" t="str">
        <f t="shared" si="7"/>
        <v>土地使用年限（年）</v>
      </c>
      <c r="AA10" s="703">
        <f t="shared" si="3"/>
        <v>0.88495575221238942</v>
      </c>
      <c r="AB10" s="703">
        <f t="shared" si="4"/>
        <v>0.88495575221238942</v>
      </c>
      <c r="AC10" s="703">
        <f t="shared" si="5"/>
        <v>0.88495575221238942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0"/>
      <c r="L11" s="2720"/>
      <c r="M11" s="2715"/>
      <c r="N11" s="2715"/>
      <c r="O11" s="2773"/>
      <c r="P11" s="3745"/>
      <c r="Q11" s="1342" t="str">
        <f t="shared" si="6"/>
        <v>容积率</v>
      </c>
      <c r="R11" s="700" t="s">
        <v>14</v>
      </c>
      <c r="S11" s="701" t="e">
        <f t="shared" si="0"/>
        <v>#N/A</v>
      </c>
      <c r="T11" s="700" t="s">
        <v>14</v>
      </c>
      <c r="U11" s="701" t="e">
        <f t="shared" si="1"/>
        <v>#N/A</v>
      </c>
      <c r="V11" s="700" t="s">
        <v>14</v>
      </c>
      <c r="W11" s="701" t="e">
        <f t="shared" si="2"/>
        <v>#N/A</v>
      </c>
      <c r="X11" s="702"/>
      <c r="Y11" s="3657"/>
      <c r="Z11" s="52" t="str">
        <f t="shared" si="7"/>
        <v>容积率</v>
      </c>
      <c r="AA11" s="703" t="e">
        <f t="shared" si="3"/>
        <v>#N/A</v>
      </c>
      <c r="AB11" s="703" t="e">
        <f t="shared" si="4"/>
        <v>#N/A</v>
      </c>
      <c r="AC11" s="703" t="e">
        <f t="shared" si="5"/>
        <v>#N/A</v>
      </c>
    </row>
    <row r="12" spans="1:30" s="108" customFormat="1" ht="15">
      <c r="A12" s="382"/>
      <c r="B12" s="1892" t="s">
        <v>1870</v>
      </c>
      <c r="C12" s="383"/>
      <c r="D12" s="384">
        <v>100</v>
      </c>
      <c r="E12" s="416"/>
      <c r="F12" s="127">
        <f>SUMIF(81:81,E12,82:82)-SUMIF(81:81,C12,82:82)+100</f>
        <v>100</v>
      </c>
      <c r="G12" s="414"/>
      <c r="H12" s="127">
        <f>SUMIF(81:81,G12,82:82)-SUMIF(81:81,C12,82:82)+100</f>
        <v>100</v>
      </c>
      <c r="I12" s="416"/>
      <c r="J12" s="127">
        <f>SUMIF(81:81,I12,82:82)-SUMIF(81:81,C12,82:82)+100</f>
        <v>100</v>
      </c>
      <c r="K12" s="619"/>
      <c r="L12" s="2716"/>
      <c r="M12" s="2717"/>
      <c r="N12" s="2717"/>
      <c r="O12" s="2771"/>
      <c r="P12" s="3745"/>
      <c r="Q12" s="1342" t="str">
        <f t="shared" si="6"/>
        <v>配建</v>
      </c>
      <c r="R12" s="700" t="s">
        <v>14</v>
      </c>
      <c r="S12" s="701">
        <f t="shared" si="0"/>
        <v>100</v>
      </c>
      <c r="T12" s="700" t="s">
        <v>14</v>
      </c>
      <c r="U12" s="701">
        <f t="shared" si="1"/>
        <v>100</v>
      </c>
      <c r="V12" s="700" t="s">
        <v>14</v>
      </c>
      <c r="W12" s="701">
        <f t="shared" si="2"/>
        <v>100</v>
      </c>
      <c r="X12" s="702"/>
      <c r="Y12" s="3657"/>
      <c r="Z12" s="52" t="str">
        <f t="shared" si="7"/>
        <v>配建</v>
      </c>
      <c r="AA12" s="703">
        <f>D12/F12</f>
        <v>1</v>
      </c>
      <c r="AB12" s="703">
        <f>D12/H12</f>
        <v>1</v>
      </c>
      <c r="AC12" s="703">
        <f>D12/J12</f>
        <v>1</v>
      </c>
    </row>
    <row r="13" spans="1:30" ht="15">
      <c r="A13" s="379"/>
      <c r="B13" s="1892">
        <v>111</v>
      </c>
      <c r="C13" s="385"/>
      <c r="D13" s="386">
        <v>100</v>
      </c>
      <c r="E13" s="498"/>
      <c r="F13" s="127">
        <f>SUMIF(83:83,E13,84:84)-SUMIF(83:83,C13,84:84)+100</f>
        <v>100</v>
      </c>
      <c r="G13" s="621"/>
      <c r="H13" s="386">
        <f>SUMIF(83:83,G13,84:84)-SUMIF(83:83,C13,84:84)+100</f>
        <v>100</v>
      </c>
      <c r="I13" s="621"/>
      <c r="J13" s="386">
        <f>SUMIF(83:83,I13,84:84)-SUMIF(83:83,C13,84:84)+100</f>
        <v>100</v>
      </c>
      <c r="K13" s="619"/>
      <c r="L13" s="2721"/>
      <c r="M13" s="2715"/>
      <c r="N13" s="2715"/>
      <c r="O13" s="2773"/>
      <c r="P13" s="3745"/>
      <c r="Q13" s="1342">
        <f t="shared" si="6"/>
        <v>111</v>
      </c>
      <c r="R13" s="700" t="s">
        <v>14</v>
      </c>
      <c r="S13" s="701">
        <f t="shared" si="0"/>
        <v>100</v>
      </c>
      <c r="T13" s="700" t="s">
        <v>14</v>
      </c>
      <c r="U13" s="701">
        <f t="shared" si="1"/>
        <v>100</v>
      </c>
      <c r="V13" s="700" t="s">
        <v>14</v>
      </c>
      <c r="W13" s="701">
        <f t="shared" si="2"/>
        <v>100</v>
      </c>
      <c r="X13" s="702"/>
      <c r="Y13" s="3657"/>
      <c r="Z13" s="52">
        <f t="shared" si="7"/>
        <v>111</v>
      </c>
      <c r="AA13" s="703">
        <f>D13/F13</f>
        <v>1</v>
      </c>
      <c r="AB13" s="703">
        <f>D13/H13</f>
        <v>1</v>
      </c>
      <c r="AC13" s="703">
        <f>D13/J13</f>
        <v>1</v>
      </c>
    </row>
    <row r="14" spans="1:30" ht="15.75" thickBot="1">
      <c r="A14" s="387"/>
      <c r="B14" s="1894">
        <v>111</v>
      </c>
      <c r="C14" s="388"/>
      <c r="D14" s="389">
        <v>100</v>
      </c>
      <c r="E14" s="498"/>
      <c r="F14" s="389">
        <f>SUMIF(85:85,E14,86:86)-SUMIF(85:85,C14,86:86)+100</f>
        <v>100</v>
      </c>
      <c r="G14" s="621"/>
      <c r="H14" s="389">
        <f>SUMIF(85:85,G14,86:86)-SUMIF(85:85,C14,86:86)+100</f>
        <v>100</v>
      </c>
      <c r="I14" s="621"/>
      <c r="J14" s="389">
        <f>SUMIF(85:85,I14,86:86)-SUMIF(85:85,C14,86:86)+100</f>
        <v>100</v>
      </c>
      <c r="K14" s="619"/>
      <c r="L14" s="2721"/>
      <c r="M14" s="2715"/>
      <c r="N14" s="2715"/>
      <c r="O14" s="2773"/>
      <c r="P14" s="3745"/>
      <c r="Q14" s="1342">
        <f t="shared" si="6"/>
        <v>111</v>
      </c>
      <c r="R14" s="700" t="s">
        <v>14</v>
      </c>
      <c r="S14" s="701">
        <f t="shared" si="0"/>
        <v>100</v>
      </c>
      <c r="T14" s="700" t="s">
        <v>14</v>
      </c>
      <c r="U14" s="701">
        <f t="shared" si="1"/>
        <v>100</v>
      </c>
      <c r="V14" s="700" t="s">
        <v>14</v>
      </c>
      <c r="W14" s="701">
        <f t="shared" si="2"/>
        <v>100</v>
      </c>
      <c r="X14" s="702"/>
      <c r="Y14" s="3657"/>
      <c r="Z14" s="52">
        <f t="shared" si="7"/>
        <v>111</v>
      </c>
      <c r="AA14" s="703">
        <f>D14/F14</f>
        <v>1</v>
      </c>
      <c r="AB14" s="703">
        <f>D14/H14</f>
        <v>1</v>
      </c>
      <c r="AC14" s="703">
        <f>D14/J14</f>
        <v>1</v>
      </c>
    </row>
    <row r="15" spans="1:30" ht="99.75">
      <c r="A15" s="391" t="s">
        <v>1690</v>
      </c>
      <c r="B15" s="61" t="s">
        <v>1257</v>
      </c>
      <c r="C15" s="1895"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0"/>
      <c r="L15" s="2721"/>
      <c r="M15" s="2715"/>
      <c r="N15" s="2715"/>
      <c r="O15" s="2773"/>
      <c r="P15" s="3747" t="s">
        <v>1691</v>
      </c>
      <c r="Q15" s="1351" t="str">
        <f t="shared" si="6"/>
        <v>居住社区成熟度</v>
      </c>
      <c r="R15" s="704" t="s">
        <v>14</v>
      </c>
      <c r="S15" s="705">
        <f t="shared" si="0"/>
        <v>100</v>
      </c>
      <c r="T15" s="704" t="s">
        <v>14</v>
      </c>
      <c r="U15" s="705">
        <f t="shared" si="1"/>
        <v>100</v>
      </c>
      <c r="V15" s="704" t="s">
        <v>14</v>
      </c>
      <c r="W15" s="705">
        <f t="shared" si="2"/>
        <v>100</v>
      </c>
      <c r="X15" s="1354"/>
      <c r="Y15" s="3747" t="s">
        <v>1691</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19"/>
      <c r="L16" s="2721"/>
      <c r="M16" s="2715"/>
      <c r="N16" s="2715"/>
      <c r="O16" s="2773"/>
      <c r="P16" s="3748"/>
      <c r="Q16" s="1351"/>
      <c r="R16" s="704"/>
      <c r="S16" s="705"/>
      <c r="T16" s="704"/>
      <c r="U16" s="705"/>
      <c r="V16" s="704"/>
      <c r="W16" s="705"/>
      <c r="X16" s="1354"/>
      <c r="Y16" s="3748"/>
      <c r="Z16" s="1355"/>
      <c r="AA16" s="1352">
        <v>1</v>
      </c>
      <c r="AB16" s="1352">
        <v>1</v>
      </c>
      <c r="AC16" s="1352">
        <v>1</v>
      </c>
    </row>
    <row r="17" spans="1:29" ht="71.25">
      <c r="A17" s="379"/>
      <c r="B17" s="402" t="s">
        <v>1777</v>
      </c>
      <c r="C17" s="1954"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0"/>
      <c r="L17" s="2721"/>
      <c r="M17" s="2715"/>
      <c r="N17" s="2715"/>
      <c r="O17" s="2773"/>
      <c r="P17" s="3748"/>
      <c r="Q17" s="1351" t="str">
        <f>B17</f>
        <v>商业繁华度</v>
      </c>
      <c r="R17" s="704" t="s">
        <v>14</v>
      </c>
      <c r="S17" s="705">
        <f>F17</f>
        <v>100</v>
      </c>
      <c r="T17" s="704" t="s">
        <v>14</v>
      </c>
      <c r="U17" s="705">
        <f>H17</f>
        <v>100</v>
      </c>
      <c r="V17" s="704" t="s">
        <v>14</v>
      </c>
      <c r="W17" s="705">
        <f>J17</f>
        <v>100</v>
      </c>
      <c r="X17" s="1354"/>
      <c r="Y17" s="3748"/>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19"/>
      <c r="L18" s="2721"/>
      <c r="M18" s="2715"/>
      <c r="N18" s="2715"/>
      <c r="O18" s="2773"/>
      <c r="P18" s="3748"/>
      <c r="Q18" s="1351"/>
      <c r="R18" s="704"/>
      <c r="S18" s="705"/>
      <c r="T18" s="704"/>
      <c r="U18" s="705"/>
      <c r="V18" s="704"/>
      <c r="W18" s="705"/>
      <c r="X18" s="1354"/>
      <c r="Y18" s="3748"/>
      <c r="Z18" s="1355"/>
      <c r="AA18" s="1352">
        <v>1</v>
      </c>
      <c r="AB18" s="1352">
        <v>1</v>
      </c>
      <c r="AC18" s="1352">
        <v>1</v>
      </c>
    </row>
    <row r="19" spans="1:29" ht="71.25">
      <c r="A19" s="379"/>
      <c r="B19" s="402" t="s">
        <v>1811</v>
      </c>
      <c r="C19" s="1954"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0"/>
      <c r="L19" s="2721"/>
      <c r="M19" s="2715"/>
      <c r="N19" s="2715"/>
      <c r="O19" s="2773"/>
      <c r="P19" s="3748"/>
      <c r="Q19" s="1351" t="str">
        <f>B19</f>
        <v>办公集聚程度</v>
      </c>
      <c r="R19" s="704" t="s">
        <v>14</v>
      </c>
      <c r="S19" s="705">
        <f>F19</f>
        <v>100</v>
      </c>
      <c r="T19" s="704" t="s">
        <v>14</v>
      </c>
      <c r="U19" s="705">
        <f>H19</f>
        <v>100</v>
      </c>
      <c r="V19" s="704" t="s">
        <v>14</v>
      </c>
      <c r="W19" s="705">
        <f>J19</f>
        <v>100</v>
      </c>
      <c r="X19" s="1354"/>
      <c r="Y19" s="3748"/>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19"/>
      <c r="L20" s="2721"/>
      <c r="M20" s="2715"/>
      <c r="N20" s="2715"/>
      <c r="O20" s="2773"/>
      <c r="P20" s="3748"/>
      <c r="Q20" s="1351"/>
      <c r="R20" s="704"/>
      <c r="S20" s="705"/>
      <c r="T20" s="704"/>
      <c r="U20" s="705"/>
      <c r="V20" s="704"/>
      <c r="W20" s="705"/>
      <c r="X20" s="1354"/>
      <c r="Y20" s="3748"/>
      <c r="Z20" s="1355"/>
      <c r="AA20" s="1352">
        <v>1</v>
      </c>
      <c r="AB20" s="1352">
        <v>1</v>
      </c>
      <c r="AC20" s="1352">
        <v>1</v>
      </c>
    </row>
    <row r="21" spans="1:29" ht="85.5">
      <c r="A21" s="379"/>
      <c r="B21" s="402" t="s">
        <v>1833</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0"/>
      <c r="L21" s="2721"/>
      <c r="M21" s="2715"/>
      <c r="N21" s="2715"/>
      <c r="O21" s="2773"/>
      <c r="P21" s="3748"/>
      <c r="Q21" s="1351" t="str">
        <f>B21</f>
        <v>交通便捷度</v>
      </c>
      <c r="R21" s="704" t="s">
        <v>14</v>
      </c>
      <c r="S21" s="705">
        <f>F21</f>
        <v>100</v>
      </c>
      <c r="T21" s="704" t="s">
        <v>14</v>
      </c>
      <c r="U21" s="705">
        <f>H21</f>
        <v>100</v>
      </c>
      <c r="V21" s="704" t="s">
        <v>14</v>
      </c>
      <c r="W21" s="705">
        <f>J21</f>
        <v>100</v>
      </c>
      <c r="X21" s="1354"/>
      <c r="Y21" s="3748"/>
      <c r="Z21" s="1355" t="str">
        <f>Q21</f>
        <v>交通便捷度</v>
      </c>
      <c r="AA21" s="1352">
        <f t="shared" si="3"/>
        <v>1</v>
      </c>
      <c r="AB21" s="1352">
        <f t="shared" si="4"/>
        <v>1</v>
      </c>
      <c r="AC21" s="1352">
        <f t="shared" si="5"/>
        <v>1</v>
      </c>
    </row>
    <row r="22" spans="1:29" ht="15">
      <c r="A22" s="379"/>
      <c r="B22" s="1130"/>
      <c r="C22" s="398"/>
      <c r="D22" s="401"/>
      <c r="E22" s="1897"/>
      <c r="F22" s="399"/>
      <c r="G22" s="1897"/>
      <c r="H22" s="399"/>
      <c r="I22" s="1896"/>
      <c r="J22" s="399"/>
      <c r="K22" s="619"/>
      <c r="L22" s="2721"/>
      <c r="M22" s="2715"/>
      <c r="N22" s="2715"/>
      <c r="O22" s="2773"/>
      <c r="P22" s="3748"/>
      <c r="Q22" s="1351"/>
      <c r="R22" s="704"/>
      <c r="S22" s="705"/>
      <c r="T22" s="704"/>
      <c r="U22" s="705"/>
      <c r="V22" s="704"/>
      <c r="W22" s="705"/>
      <c r="X22" s="1354"/>
      <c r="Y22" s="3748"/>
      <c r="Z22" s="1355"/>
      <c r="AA22" s="1352">
        <v>1</v>
      </c>
      <c r="AB22" s="1352">
        <v>1</v>
      </c>
      <c r="AC22" s="1352">
        <v>1</v>
      </c>
    </row>
    <row r="23" spans="1:29" ht="15">
      <c r="A23" s="358"/>
      <c r="B23" s="402" t="s">
        <v>1871</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0"/>
      <c r="L23" s="2721"/>
      <c r="M23" s="2715"/>
      <c r="N23" s="2715"/>
      <c r="O23" s="2773"/>
      <c r="P23" s="3748"/>
      <c r="Q23" s="1351" t="str">
        <f t="shared" ref="Q23:Q37" si="8">B23</f>
        <v>区域土地利用方向</v>
      </c>
      <c r="R23" s="704" t="s">
        <v>14</v>
      </c>
      <c r="S23" s="705">
        <f>F23</f>
        <v>100</v>
      </c>
      <c r="T23" s="704" t="s">
        <v>14</v>
      </c>
      <c r="U23" s="705">
        <f>H23</f>
        <v>100</v>
      </c>
      <c r="V23" s="704" t="s">
        <v>14</v>
      </c>
      <c r="W23" s="705">
        <f>J23</f>
        <v>100</v>
      </c>
      <c r="X23" s="1354"/>
      <c r="Y23" s="3748"/>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39"/>
      <c r="L24" s="2721"/>
      <c r="M24" s="2715"/>
      <c r="N24" s="2715"/>
      <c r="O24" s="2773"/>
      <c r="P24" s="3748"/>
      <c r="Q24" s="1351"/>
      <c r="R24" s="704"/>
      <c r="S24" s="705"/>
      <c r="T24" s="704"/>
      <c r="U24" s="705"/>
      <c r="V24" s="704"/>
      <c r="W24" s="705"/>
      <c r="X24" s="1354"/>
      <c r="Y24" s="3748"/>
      <c r="Z24" s="1355"/>
      <c r="AA24" s="1352"/>
      <c r="AB24" s="1352"/>
      <c r="AC24" s="1352"/>
    </row>
    <row r="25" spans="1:29" ht="57">
      <c r="A25" s="358"/>
      <c r="B25" s="1130" t="s">
        <v>1872</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0"/>
      <c r="L25" s="2721"/>
      <c r="M25" s="2715"/>
      <c r="N25" s="2715"/>
      <c r="O25" s="2773"/>
      <c r="P25" s="3748"/>
      <c r="Q25" s="1351" t="str">
        <f t="shared" si="8"/>
        <v>自然及人文环境状况</v>
      </c>
      <c r="R25" s="704" t="s">
        <v>14</v>
      </c>
      <c r="S25" s="705">
        <f>F25</f>
        <v>100</v>
      </c>
      <c r="T25" s="704" t="s">
        <v>14</v>
      </c>
      <c r="U25" s="705">
        <f>H25</f>
        <v>100</v>
      </c>
      <c r="V25" s="704" t="s">
        <v>14</v>
      </c>
      <c r="W25" s="705">
        <f>J25</f>
        <v>100</v>
      </c>
      <c r="X25" s="1354"/>
      <c r="Y25" s="3748"/>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19"/>
      <c r="L26" s="2721"/>
      <c r="M26" s="2715"/>
      <c r="N26" s="2715"/>
      <c r="O26" s="2773"/>
      <c r="P26" s="3748"/>
      <c r="Q26" s="1351"/>
      <c r="R26" s="704"/>
      <c r="S26" s="705"/>
      <c r="T26" s="704"/>
      <c r="U26" s="705"/>
      <c r="V26" s="704"/>
      <c r="W26" s="705"/>
      <c r="X26" s="1354"/>
      <c r="Y26" s="3748"/>
      <c r="Z26" s="1355"/>
      <c r="AA26" s="1352">
        <v>1</v>
      </c>
      <c r="AB26" s="1352">
        <v>1</v>
      </c>
      <c r="AC26" s="1352">
        <v>1</v>
      </c>
    </row>
    <row r="27" spans="1:29" s="108" customFormat="1" ht="42.75">
      <c r="A27" s="596"/>
      <c r="B27" s="1130" t="s">
        <v>1778</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0"/>
      <c r="L27" s="2716"/>
      <c r="M27" s="2717"/>
      <c r="N27" s="2717"/>
      <c r="O27" s="2771"/>
      <c r="P27" s="3748"/>
      <c r="Q27" s="1342" t="str">
        <f t="shared" si="8"/>
        <v>公共配套设施</v>
      </c>
      <c r="R27" s="700" t="s">
        <v>14</v>
      </c>
      <c r="S27" s="701">
        <f>F27</f>
        <v>100</v>
      </c>
      <c r="T27" s="700" t="s">
        <v>14</v>
      </c>
      <c r="U27" s="701">
        <f>H27</f>
        <v>100</v>
      </c>
      <c r="V27" s="700" t="s">
        <v>14</v>
      </c>
      <c r="W27" s="701">
        <f>J27</f>
        <v>100</v>
      </c>
      <c r="X27" s="702"/>
      <c r="Y27" s="3748"/>
      <c r="Z27" s="52" t="str">
        <f>Q27</f>
        <v>公共配套设施</v>
      </c>
      <c r="AA27" s="1352">
        <f>D27/F27</f>
        <v>1</v>
      </c>
      <c r="AB27" s="1352">
        <f>D27/H27</f>
        <v>1</v>
      </c>
      <c r="AC27" s="1352">
        <f>D27/J27</f>
        <v>1</v>
      </c>
    </row>
    <row r="28" spans="1:29" s="108" customFormat="1" ht="15">
      <c r="A28" s="596"/>
      <c r="B28" s="407"/>
      <c r="C28" s="1977"/>
      <c r="D28" s="399"/>
      <c r="E28" s="1903"/>
      <c r="F28" s="399"/>
      <c r="G28" s="1903"/>
      <c r="H28" s="399"/>
      <c r="I28" s="398"/>
      <c r="J28" s="399"/>
      <c r="K28" s="619"/>
      <c r="L28" s="2716"/>
      <c r="M28" s="2717"/>
      <c r="N28" s="2717"/>
      <c r="O28" s="2771"/>
      <c r="P28" s="3748"/>
      <c r="Q28" s="1342"/>
      <c r="R28" s="700"/>
      <c r="S28" s="701"/>
      <c r="T28" s="700"/>
      <c r="U28" s="701"/>
      <c r="V28" s="700"/>
      <c r="W28" s="701"/>
      <c r="X28" s="702"/>
      <c r="Y28" s="3748"/>
      <c r="Z28" s="52"/>
      <c r="AA28" s="1352">
        <v>1</v>
      </c>
      <c r="AB28" s="1352">
        <v>1</v>
      </c>
      <c r="AC28" s="1352">
        <v>1</v>
      </c>
    </row>
    <row r="29" spans="1:29" s="108" customFormat="1" ht="28.5">
      <c r="A29" s="596"/>
      <c r="B29" s="1130" t="s">
        <v>1779</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0"/>
      <c r="L29" s="2716"/>
      <c r="M29" s="2717"/>
      <c r="N29" s="2717"/>
      <c r="O29" s="2771"/>
      <c r="P29" s="3748"/>
      <c r="Q29" s="1342" t="str">
        <f t="shared" ref="Q29" si="9">B29</f>
        <v>基础设施水平</v>
      </c>
      <c r="R29" s="700" t="s">
        <v>14</v>
      </c>
      <c r="S29" s="701">
        <f>F29</f>
        <v>100</v>
      </c>
      <c r="T29" s="700" t="s">
        <v>14</v>
      </c>
      <c r="U29" s="701">
        <f>H29</f>
        <v>100</v>
      </c>
      <c r="V29" s="700" t="s">
        <v>14</v>
      </c>
      <c r="W29" s="701">
        <f>J29</f>
        <v>100</v>
      </c>
      <c r="X29" s="702"/>
      <c r="Y29" s="3748"/>
      <c r="Z29" s="52" t="str">
        <f>Q29</f>
        <v>基础设施水平</v>
      </c>
      <c r="AA29" s="1352">
        <f>D29/F29</f>
        <v>1</v>
      </c>
      <c r="AB29" s="1352">
        <f>D29/H29</f>
        <v>1</v>
      </c>
      <c r="AC29" s="1352">
        <f>D29/J29</f>
        <v>1</v>
      </c>
    </row>
    <row r="30" spans="1:29" s="108" customFormat="1" ht="15">
      <c r="A30" s="596"/>
      <c r="B30" s="407"/>
      <c r="C30" s="1977"/>
      <c r="D30" s="399"/>
      <c r="E30" s="1978"/>
      <c r="F30" s="399"/>
      <c r="G30" s="1978"/>
      <c r="H30" s="399"/>
      <c r="I30" s="1978"/>
      <c r="J30" s="399"/>
      <c r="K30" s="619"/>
      <c r="L30" s="2716"/>
      <c r="M30" s="2717"/>
      <c r="N30" s="2717"/>
      <c r="O30" s="2771"/>
      <c r="P30" s="3748"/>
      <c r="Q30" s="1342"/>
      <c r="R30" s="700"/>
      <c r="S30" s="701"/>
      <c r="T30" s="700"/>
      <c r="U30" s="701"/>
      <c r="V30" s="700"/>
      <c r="W30" s="701"/>
      <c r="X30" s="702"/>
      <c r="Y30" s="3748"/>
      <c r="Z30" s="52"/>
      <c r="AA30" s="1352">
        <v>1</v>
      </c>
      <c r="AB30" s="1352">
        <v>1</v>
      </c>
      <c r="AC30" s="1352">
        <v>1</v>
      </c>
    </row>
    <row r="31" spans="1:29" ht="15">
      <c r="A31" s="379"/>
      <c r="B31" s="407" t="s">
        <v>1780</v>
      </c>
      <c r="C31" s="565"/>
      <c r="D31" s="386">
        <v>100</v>
      </c>
      <c r="E31" s="581"/>
      <c r="F31" s="386">
        <f>SUMIF(103:103,E31,104:104)-SUMIF(103:103,C31,104:104)+100</f>
        <v>100</v>
      </c>
      <c r="G31" s="581"/>
      <c r="H31" s="386">
        <f>SUMIF(103:103,G31,104:104)-SUMIF(103:103,C31,104:104)+100</f>
        <v>100</v>
      </c>
      <c r="I31" s="581"/>
      <c r="J31" s="386">
        <f>SUMIF(103:103,I31,104:104)-SUMIF(103:103,C31,104:104)+100</f>
        <v>100</v>
      </c>
      <c r="K31" s="620"/>
      <c r="L31" s="2721"/>
      <c r="M31" s="2715"/>
      <c r="N31" s="2715"/>
      <c r="O31" s="2773"/>
      <c r="P31" s="3748"/>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3748"/>
      <c r="Z31" s="1355" t="str">
        <f t="shared" ref="Z31:Z45" si="13">Q31</f>
        <v>临街状况</v>
      </c>
      <c r="AA31" s="1352">
        <f t="shared" si="3"/>
        <v>1</v>
      </c>
      <c r="AB31" s="1352">
        <f t="shared" si="4"/>
        <v>1</v>
      </c>
      <c r="AC31" s="1352">
        <f t="shared" si="5"/>
        <v>1</v>
      </c>
    </row>
    <row r="32" spans="1:29" ht="27">
      <c r="A32" s="379"/>
      <c r="B32" s="1130"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0"/>
      <c r="L32" s="2721"/>
      <c r="M32" s="2715"/>
      <c r="N32" s="2715"/>
      <c r="O32" s="2773"/>
      <c r="P32" s="3748"/>
      <c r="Q32" s="1351" t="str">
        <f t="shared" si="8"/>
        <v>毗邻道路的类型与等级</v>
      </c>
      <c r="R32" s="704" t="s">
        <v>14</v>
      </c>
      <c r="S32" s="705">
        <f t="shared" si="10"/>
        <v>100</v>
      </c>
      <c r="T32" s="704" t="s">
        <v>14</v>
      </c>
      <c r="U32" s="705">
        <f t="shared" si="11"/>
        <v>100</v>
      </c>
      <c r="V32" s="704" t="s">
        <v>14</v>
      </c>
      <c r="W32" s="705">
        <f t="shared" si="12"/>
        <v>100</v>
      </c>
      <c r="X32" s="1354"/>
      <c r="Y32" s="3748"/>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721"/>
      <c r="M33" s="2715"/>
      <c r="N33" s="2715"/>
      <c r="O33" s="2773"/>
      <c r="P33" s="3748"/>
      <c r="Q33" s="1351"/>
      <c r="R33" s="704"/>
      <c r="S33" s="705"/>
      <c r="T33" s="704"/>
      <c r="U33" s="705"/>
      <c r="V33" s="704"/>
      <c r="W33" s="705"/>
      <c r="X33" s="1354"/>
      <c r="Y33" s="3748"/>
      <c r="Z33" s="1355"/>
      <c r="AA33" s="1352">
        <v>1</v>
      </c>
      <c r="AB33" s="1352">
        <v>1</v>
      </c>
      <c r="AC33" s="1352">
        <v>1</v>
      </c>
    </row>
    <row r="34" spans="1:29" ht="15">
      <c r="A34" s="379"/>
      <c r="B34" s="375" t="s">
        <v>1873</v>
      </c>
      <c r="C34" s="565"/>
      <c r="D34" s="386">
        <v>100</v>
      </c>
      <c r="E34" s="581"/>
      <c r="F34" s="386">
        <f>SUMIF(107:107,E34,108:108)-SUMIF(107:107,C34,108:108)+100</f>
        <v>100</v>
      </c>
      <c r="G34" s="581"/>
      <c r="H34" s="386">
        <f>SUMIF(107:107,G34,108:108)-SUMIF(107:107,C34,108:108)+100</f>
        <v>100</v>
      </c>
      <c r="I34" s="565"/>
      <c r="J34" s="386">
        <f>SUMIF(107:107,I34,108:108)-SUMIF(107:107,C34,108:108)+100</f>
        <v>100</v>
      </c>
      <c r="K34" s="561"/>
      <c r="L34" s="2721"/>
      <c r="M34" s="2715"/>
      <c r="N34" s="2715"/>
      <c r="O34" s="2773"/>
      <c r="P34" s="3748"/>
      <c r="Q34" s="1351" t="str">
        <f t="shared" si="8"/>
        <v>土地级别</v>
      </c>
      <c r="R34" s="704" t="s">
        <v>14</v>
      </c>
      <c r="S34" s="705">
        <f t="shared" si="10"/>
        <v>100</v>
      </c>
      <c r="T34" s="704" t="s">
        <v>14</v>
      </c>
      <c r="U34" s="705">
        <f t="shared" si="11"/>
        <v>100</v>
      </c>
      <c r="V34" s="704" t="s">
        <v>14</v>
      </c>
      <c r="W34" s="705">
        <f t="shared" si="12"/>
        <v>100</v>
      </c>
      <c r="X34" s="1354"/>
      <c r="Y34" s="3748"/>
      <c r="Z34" s="1355" t="str">
        <f t="shared" si="13"/>
        <v>土地级别</v>
      </c>
      <c r="AA34" s="1352">
        <f t="shared" si="3"/>
        <v>1</v>
      </c>
      <c r="AB34" s="1352">
        <f t="shared" si="4"/>
        <v>1</v>
      </c>
      <c r="AC34" s="1352">
        <f t="shared" si="5"/>
        <v>1</v>
      </c>
    </row>
    <row r="35" spans="1:29" ht="15">
      <c r="A35" s="358"/>
      <c r="B35" s="1132">
        <v>111</v>
      </c>
      <c r="C35" s="621"/>
      <c r="D35" s="386">
        <v>100</v>
      </c>
      <c r="E35" s="428"/>
      <c r="F35" s="386">
        <f>SUMIF(109:109,E35,110:110)-SUMIF(109:109,C35,110:110)+100</f>
        <v>100</v>
      </c>
      <c r="G35" s="428"/>
      <c r="H35" s="386">
        <f>SUMIF(109:109,G35,110:110)-SUMIF(109:109,C35,110:110)+100</f>
        <v>100</v>
      </c>
      <c r="I35" s="621"/>
      <c r="J35" s="386">
        <f>SUMIF(109:109,I35,110:110)-SUMIF(109:109,C35,110:110)+100</f>
        <v>100</v>
      </c>
      <c r="K35" s="562"/>
      <c r="L35" s="2721"/>
      <c r="M35" s="2715"/>
      <c r="N35" s="2715"/>
      <c r="O35" s="2773"/>
      <c r="P35" s="3748"/>
      <c r="Q35" s="1351">
        <f t="shared" si="8"/>
        <v>111</v>
      </c>
      <c r="R35" s="704" t="s">
        <v>14</v>
      </c>
      <c r="S35" s="705">
        <f t="shared" si="10"/>
        <v>100</v>
      </c>
      <c r="T35" s="704" t="s">
        <v>14</v>
      </c>
      <c r="U35" s="705">
        <f t="shared" si="11"/>
        <v>100</v>
      </c>
      <c r="V35" s="704" t="s">
        <v>14</v>
      </c>
      <c r="W35" s="705">
        <f t="shared" si="12"/>
        <v>100</v>
      </c>
      <c r="X35" s="1354"/>
      <c r="Y35" s="3748"/>
      <c r="Z35" s="1355">
        <f t="shared" si="13"/>
        <v>111</v>
      </c>
      <c r="AA35" s="1352">
        <f t="shared" si="3"/>
        <v>1</v>
      </c>
      <c r="AB35" s="1352">
        <f t="shared" si="4"/>
        <v>1</v>
      </c>
      <c r="AC35" s="1352">
        <f t="shared" si="5"/>
        <v>1</v>
      </c>
    </row>
    <row r="36" spans="1:29" ht="15">
      <c r="A36" s="622"/>
      <c r="B36" s="1133">
        <v>111</v>
      </c>
      <c r="C36" s="621"/>
      <c r="D36" s="386">
        <v>100</v>
      </c>
      <c r="E36" s="428"/>
      <c r="F36" s="386">
        <f>SUMIF(111:111,E37,112:112)-SUMIF(111:111,C37,112:112)+100</f>
        <v>100</v>
      </c>
      <c r="G36" s="428"/>
      <c r="H36" s="386">
        <f>SUMIF(111:111,G36,112:112)-SUMIF(111:111,C36,112:112)+100</f>
        <v>100</v>
      </c>
      <c r="I36" s="621"/>
      <c r="J36" s="386">
        <f>SUMIF(111:111,I36,112:112)-SUMIF(111:111,C36,112:112)+100</f>
        <v>100</v>
      </c>
      <c r="K36" s="562"/>
      <c r="L36" s="2721"/>
      <c r="M36" s="2715"/>
      <c r="N36" s="2715"/>
      <c r="O36" s="2773"/>
      <c r="P36" s="3771" t="s">
        <v>1696</v>
      </c>
      <c r="Q36" s="1351">
        <f t="shared" si="8"/>
        <v>111</v>
      </c>
      <c r="R36" s="704" t="s">
        <v>14</v>
      </c>
      <c r="S36" s="705">
        <f t="shared" si="10"/>
        <v>100</v>
      </c>
      <c r="T36" s="704" t="s">
        <v>14</v>
      </c>
      <c r="U36" s="705">
        <f t="shared" si="11"/>
        <v>100</v>
      </c>
      <c r="V36" s="704" t="s">
        <v>14</v>
      </c>
      <c r="W36" s="705">
        <f t="shared" si="12"/>
        <v>100</v>
      </c>
      <c r="X36" s="1354"/>
      <c r="Y36" s="3752" t="s">
        <v>1696</v>
      </c>
      <c r="Z36" s="1355">
        <f t="shared" si="13"/>
        <v>111</v>
      </c>
      <c r="AA36" s="1352">
        <f t="shared" si="3"/>
        <v>1</v>
      </c>
      <c r="AB36" s="1352">
        <f t="shared" si="4"/>
        <v>1</v>
      </c>
      <c r="AC36" s="1352">
        <f t="shared" si="5"/>
        <v>1</v>
      </c>
    </row>
    <row r="37" spans="1:29" s="422" customFormat="1" ht="15.75" thickBot="1">
      <c r="A37" s="623"/>
      <c r="B37" s="1134">
        <v>111</v>
      </c>
      <c r="C37" s="625"/>
      <c r="D37" s="128">
        <v>100</v>
      </c>
      <c r="E37" s="648"/>
      <c r="F37" s="389">
        <f>SUMIF(113:113,E37,114:114)-SUMIF(113:113,C37,114:114)+100</f>
        <v>100</v>
      </c>
      <c r="G37" s="648"/>
      <c r="H37" s="389">
        <f>SUMIF(113:113,G37,114:114)-SUMIF(113:113,C37,114:114)+100</f>
        <v>100</v>
      </c>
      <c r="I37" s="625"/>
      <c r="J37" s="389">
        <f>SUMIF(113:113,I37,114:114)-SUMIF(113:113,C37,114:114)+100</f>
        <v>100</v>
      </c>
      <c r="K37" s="562"/>
      <c r="L37" s="2720"/>
      <c r="M37" s="2722"/>
      <c r="N37" s="2722"/>
      <c r="O37" s="2774"/>
      <c r="P37" s="3752"/>
      <c r="Q37" s="1351">
        <f t="shared" si="8"/>
        <v>111</v>
      </c>
      <c r="R37" s="707" t="s">
        <v>14</v>
      </c>
      <c r="S37" s="708">
        <f t="shared" si="10"/>
        <v>100</v>
      </c>
      <c r="T37" s="707" t="s">
        <v>14</v>
      </c>
      <c r="U37" s="708">
        <f t="shared" si="11"/>
        <v>100</v>
      </c>
      <c r="V37" s="707" t="s">
        <v>14</v>
      </c>
      <c r="W37" s="708">
        <f t="shared" si="12"/>
        <v>100</v>
      </c>
      <c r="X37" s="709"/>
      <c r="Y37" s="3752"/>
      <c r="Z37" s="710">
        <f t="shared" si="13"/>
        <v>111</v>
      </c>
      <c r="AA37" s="1352">
        <f t="shared" si="3"/>
        <v>1</v>
      </c>
      <c r="AB37" s="1352">
        <f t="shared" si="4"/>
        <v>1</v>
      </c>
      <c r="AC37" s="1352">
        <f t="shared" si="5"/>
        <v>1</v>
      </c>
    </row>
    <row r="38" spans="1:29" ht="15">
      <c r="A38" s="423" t="s">
        <v>1694</v>
      </c>
      <c r="B38" s="407" t="s">
        <v>1874</v>
      </c>
      <c r="C38" s="626"/>
      <c r="D38" s="418">
        <v>100</v>
      </c>
      <c r="E38" s="626"/>
      <c r="F38" s="418" t="e">
        <f>LOOKUP(E38,116:116,117:117)-LOOKUP(C38,116:116,117:117)+100</f>
        <v>#N/A</v>
      </c>
      <c r="G38" s="626"/>
      <c r="H38" s="418" t="e">
        <f>LOOKUP(G38,116:116,117:117)-LOOKUP(C38,116:116,117:117)+100</f>
        <v>#N/A</v>
      </c>
      <c r="I38" s="479"/>
      <c r="J38" s="418" t="e">
        <f>LOOKUP(I38,116:116,117:117)-LOOKUP(C38,116:116,117:117)+100</f>
        <v>#N/A</v>
      </c>
      <c r="K38" s="562"/>
      <c r="L38" s="2721"/>
      <c r="M38" s="2715"/>
      <c r="N38" s="2715"/>
      <c r="O38" s="2773"/>
      <c r="P38" s="3752"/>
      <c r="Q38" s="1351" t="str">
        <f>B38</f>
        <v>宗地面积</v>
      </c>
      <c r="R38" s="704" t="s">
        <v>14</v>
      </c>
      <c r="S38" s="705" t="e">
        <f t="shared" si="10"/>
        <v>#N/A</v>
      </c>
      <c r="T38" s="704" t="s">
        <v>14</v>
      </c>
      <c r="U38" s="705" t="e">
        <f t="shared" si="11"/>
        <v>#N/A</v>
      </c>
      <c r="V38" s="704" t="s">
        <v>14</v>
      </c>
      <c r="W38" s="705" t="e">
        <f t="shared" si="12"/>
        <v>#N/A</v>
      </c>
      <c r="X38" s="1354"/>
      <c r="Y38" s="3752"/>
      <c r="Z38" s="1355" t="str">
        <f t="shared" si="13"/>
        <v>宗地面积</v>
      </c>
      <c r="AA38" s="1352" t="e">
        <f t="shared" si="3"/>
        <v>#N/A</v>
      </c>
      <c r="AB38" s="1352" t="e">
        <f t="shared" si="4"/>
        <v>#N/A</v>
      </c>
      <c r="AC38" s="1352" t="e">
        <f t="shared" si="5"/>
        <v>#N/A</v>
      </c>
    </row>
    <row r="39" spans="1:29" ht="15">
      <c r="A39" s="423"/>
      <c r="B39" s="375" t="s">
        <v>1875</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721"/>
      <c r="M39" s="2715"/>
      <c r="N39" s="2715"/>
      <c r="O39" s="2773"/>
      <c r="P39" s="3752"/>
      <c r="Q39" s="1351" t="str">
        <f t="shared" ref="Q39:Q45" si="14">B39</f>
        <v>宗地形状</v>
      </c>
      <c r="R39" s="704" t="s">
        <v>14</v>
      </c>
      <c r="S39" s="705">
        <f t="shared" si="10"/>
        <v>100</v>
      </c>
      <c r="T39" s="704" t="s">
        <v>14</v>
      </c>
      <c r="U39" s="705">
        <f t="shared" si="11"/>
        <v>100</v>
      </c>
      <c r="V39" s="704" t="s">
        <v>14</v>
      </c>
      <c r="W39" s="705">
        <f t="shared" si="12"/>
        <v>100</v>
      </c>
      <c r="X39" s="1354"/>
      <c r="Y39" s="3752"/>
      <c r="Z39" s="1355" t="str">
        <f t="shared" si="13"/>
        <v>宗地形状</v>
      </c>
      <c r="AA39" s="1352">
        <f t="shared" si="3"/>
        <v>1</v>
      </c>
      <c r="AB39" s="1352">
        <f t="shared" si="4"/>
        <v>1</v>
      </c>
      <c r="AC39" s="1352">
        <f t="shared" si="5"/>
        <v>1</v>
      </c>
    </row>
    <row r="40" spans="1:29" ht="15">
      <c r="A40" s="423"/>
      <c r="B40" s="375" t="s">
        <v>1876</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721"/>
      <c r="M40" s="2715"/>
      <c r="N40" s="2715"/>
      <c r="O40" s="2773"/>
      <c r="P40" s="3752"/>
      <c r="Q40" s="1351" t="str">
        <f t="shared" si="14"/>
        <v>临街宽度及深度</v>
      </c>
      <c r="R40" s="704" t="s">
        <v>14</v>
      </c>
      <c r="S40" s="705">
        <f t="shared" si="10"/>
        <v>100</v>
      </c>
      <c r="T40" s="704" t="s">
        <v>14</v>
      </c>
      <c r="U40" s="705">
        <f t="shared" si="11"/>
        <v>100</v>
      </c>
      <c r="V40" s="704" t="s">
        <v>14</v>
      </c>
      <c r="W40" s="705">
        <f t="shared" si="12"/>
        <v>100</v>
      </c>
      <c r="X40" s="1354"/>
      <c r="Y40" s="3752"/>
      <c r="Z40" s="1355" t="str">
        <f t="shared" si="13"/>
        <v>临街宽度及深度</v>
      </c>
      <c r="AA40" s="1352">
        <f t="shared" si="3"/>
        <v>1</v>
      </c>
      <c r="AB40" s="1352">
        <f t="shared" si="4"/>
        <v>1</v>
      </c>
      <c r="AC40" s="1352">
        <f t="shared" si="5"/>
        <v>1</v>
      </c>
    </row>
    <row r="41" spans="1:29" s="108" customFormat="1" ht="15">
      <c r="A41" s="424"/>
      <c r="B41" s="375" t="s">
        <v>1877</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716"/>
      <c r="M41" s="2717"/>
      <c r="N41" s="2717"/>
      <c r="O41" s="2771"/>
      <c r="P41" s="3752"/>
      <c r="Q41" s="1351" t="str">
        <f t="shared" si="14"/>
        <v>宗地开发程度</v>
      </c>
      <c r="R41" s="700" t="s">
        <v>14</v>
      </c>
      <c r="S41" s="701">
        <f t="shared" si="10"/>
        <v>100</v>
      </c>
      <c r="T41" s="700" t="s">
        <v>14</v>
      </c>
      <c r="U41" s="701">
        <f t="shared" si="11"/>
        <v>100</v>
      </c>
      <c r="V41" s="700" t="s">
        <v>14</v>
      </c>
      <c r="W41" s="701">
        <f t="shared" si="12"/>
        <v>100</v>
      </c>
      <c r="X41" s="702"/>
      <c r="Y41" s="3752"/>
      <c r="Z41" s="52" t="str">
        <f t="shared" si="13"/>
        <v>宗地开发程度</v>
      </c>
      <c r="AA41" s="703">
        <f t="shared" si="3"/>
        <v>1</v>
      </c>
      <c r="AB41" s="703">
        <f t="shared" si="4"/>
        <v>1</v>
      </c>
      <c r="AC41" s="703">
        <f t="shared" si="5"/>
        <v>1</v>
      </c>
    </row>
    <row r="42" spans="1:29" ht="15">
      <c r="A42" s="423"/>
      <c r="B42" s="375" t="s">
        <v>1878</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721"/>
      <c r="M42" s="2715"/>
      <c r="N42" s="2715"/>
      <c r="O42" s="2773"/>
      <c r="P42" s="3752" t="s">
        <v>1696</v>
      </c>
      <c r="Q42" s="1351" t="str">
        <f t="shared" si="14"/>
        <v>工程地质条件</v>
      </c>
      <c r="R42" s="704" t="s">
        <v>14</v>
      </c>
      <c r="S42" s="705">
        <f t="shared" si="10"/>
        <v>100</v>
      </c>
      <c r="T42" s="704" t="s">
        <v>14</v>
      </c>
      <c r="U42" s="705">
        <f t="shared" si="11"/>
        <v>100</v>
      </c>
      <c r="V42" s="704" t="s">
        <v>14</v>
      </c>
      <c r="W42" s="705">
        <f t="shared" si="12"/>
        <v>100</v>
      </c>
      <c r="X42" s="1354"/>
      <c r="Y42" s="3752" t="s">
        <v>1696</v>
      </c>
      <c r="Z42" s="1355" t="str">
        <f t="shared" si="13"/>
        <v>工程地质条件</v>
      </c>
      <c r="AA42" s="1352">
        <f t="shared" si="3"/>
        <v>1</v>
      </c>
      <c r="AB42" s="1352">
        <f t="shared" si="4"/>
        <v>1</v>
      </c>
      <c r="AC42" s="1352">
        <f t="shared" si="5"/>
        <v>1</v>
      </c>
    </row>
    <row r="43" spans="1:29" ht="15">
      <c r="A43" s="423"/>
      <c r="B43" s="1133">
        <v>111</v>
      </c>
      <c r="C43" s="621"/>
      <c r="D43" s="386">
        <v>100</v>
      </c>
      <c r="E43" s="621"/>
      <c r="F43" s="386">
        <f>SUMIF(126:126,E43,127:127)-SUMIF(126:126,C43,127:127)+100</f>
        <v>100</v>
      </c>
      <c r="G43" s="621"/>
      <c r="H43" s="386">
        <f>SUMIF(126:126,G43,127:127)-SUMIF(126:126,C43,127:127)+100</f>
        <v>100</v>
      </c>
      <c r="I43" s="498"/>
      <c r="J43" s="386">
        <f>SUMIF(126:126,I43,127:127)-SUMIF(126:126,C43,127:127)+100</f>
        <v>100</v>
      </c>
      <c r="K43" s="562"/>
      <c r="L43" s="2721"/>
      <c r="M43" s="2715"/>
      <c r="N43" s="2715"/>
      <c r="O43" s="2773"/>
      <c r="P43" s="3752"/>
      <c r="Q43" s="1351">
        <f t="shared" si="14"/>
        <v>111</v>
      </c>
      <c r="R43" s="704" t="s">
        <v>14</v>
      </c>
      <c r="S43" s="705">
        <f t="shared" si="10"/>
        <v>100</v>
      </c>
      <c r="T43" s="704" t="s">
        <v>14</v>
      </c>
      <c r="U43" s="705">
        <f t="shared" si="11"/>
        <v>100</v>
      </c>
      <c r="V43" s="704" t="s">
        <v>14</v>
      </c>
      <c r="W43" s="705">
        <f t="shared" si="12"/>
        <v>100</v>
      </c>
      <c r="X43" s="1354"/>
      <c r="Y43" s="3752"/>
      <c r="Z43" s="1355">
        <f t="shared" si="13"/>
        <v>111</v>
      </c>
      <c r="AA43" s="1352">
        <f t="shared" si="3"/>
        <v>1</v>
      </c>
      <c r="AB43" s="1352">
        <f t="shared" si="4"/>
        <v>1</v>
      </c>
      <c r="AC43" s="1352">
        <f t="shared" si="5"/>
        <v>1</v>
      </c>
    </row>
    <row r="44" spans="1:29" ht="15">
      <c r="A44" s="423"/>
      <c r="B44" s="1133">
        <v>111</v>
      </c>
      <c r="C44" s="621"/>
      <c r="D44" s="386">
        <v>100</v>
      </c>
      <c r="E44" s="621"/>
      <c r="F44" s="386">
        <f>SUMIF(128:128,E44,129:129)-SUMIF(128:128,C44,129:129)+100</f>
        <v>100</v>
      </c>
      <c r="G44" s="621"/>
      <c r="H44" s="386">
        <f>SUMIF(128:128,G44,129:129)-SUMIF(128:128,C44,129:129)+100</f>
        <v>100</v>
      </c>
      <c r="I44" s="498"/>
      <c r="J44" s="386">
        <f>SUMIF(128:128,I44,129:129)-SUMIF(128:128,C44,129:129)+100</f>
        <v>100</v>
      </c>
      <c r="K44" s="562"/>
      <c r="L44" s="2721"/>
      <c r="M44" s="2715"/>
      <c r="N44" s="2715"/>
      <c r="O44" s="2773"/>
      <c r="P44" s="3752"/>
      <c r="Q44" s="1351">
        <f t="shared" si="14"/>
        <v>111</v>
      </c>
      <c r="R44" s="704" t="s">
        <v>14</v>
      </c>
      <c r="S44" s="705">
        <f t="shared" si="10"/>
        <v>100</v>
      </c>
      <c r="T44" s="704" t="s">
        <v>14</v>
      </c>
      <c r="U44" s="705">
        <f t="shared" si="11"/>
        <v>100</v>
      </c>
      <c r="V44" s="704" t="s">
        <v>14</v>
      </c>
      <c r="W44" s="705">
        <f t="shared" si="12"/>
        <v>100</v>
      </c>
      <c r="X44" s="1354"/>
      <c r="Y44" s="3752"/>
      <c r="Z44" s="1355">
        <f t="shared" si="13"/>
        <v>111</v>
      </c>
      <c r="AA44" s="1352">
        <f t="shared" si="3"/>
        <v>1</v>
      </c>
      <c r="AB44" s="1352">
        <f t="shared" si="4"/>
        <v>1</v>
      </c>
      <c r="AC44" s="1352">
        <f t="shared" si="5"/>
        <v>1</v>
      </c>
    </row>
    <row r="45" spans="1:29" s="422" customFormat="1" ht="15.75" thickBot="1">
      <c r="A45" s="419"/>
      <c r="B45" s="1133">
        <v>111</v>
      </c>
      <c r="C45" s="1980"/>
      <c r="D45" s="627">
        <v>100</v>
      </c>
      <c r="E45" s="621"/>
      <c r="F45" s="389">
        <f>SUMIF(130:130,E45,131:131)-SUMIF(130:130,C45,131:131)+100</f>
        <v>100</v>
      </c>
      <c r="G45" s="621"/>
      <c r="H45" s="389">
        <f>SUMIF(130:130,G45,131:131)-SUMIF(130:130,C45,131:131)+100</f>
        <v>100</v>
      </c>
      <c r="I45" s="621"/>
      <c r="J45" s="389">
        <f>SUMIF(130:130,I45,131:131)-SUMIF(130:130,C45,131:131)+100</f>
        <v>100</v>
      </c>
      <c r="K45" s="628"/>
      <c r="L45" s="2720"/>
      <c r="M45" s="2722"/>
      <c r="N45" s="2722"/>
      <c r="O45" s="2774"/>
      <c r="P45" s="3752"/>
      <c r="Q45" s="1351">
        <f t="shared" si="14"/>
        <v>111</v>
      </c>
      <c r="R45" s="707" t="s">
        <v>14</v>
      </c>
      <c r="S45" s="708">
        <f t="shared" si="10"/>
        <v>100</v>
      </c>
      <c r="T45" s="707" t="s">
        <v>14</v>
      </c>
      <c r="U45" s="708">
        <f t="shared" si="11"/>
        <v>100</v>
      </c>
      <c r="V45" s="707" t="s">
        <v>14</v>
      </c>
      <c r="W45" s="708">
        <f t="shared" si="12"/>
        <v>100</v>
      </c>
      <c r="X45" s="709"/>
      <c r="Y45" s="3752"/>
      <c r="Z45" s="710">
        <f t="shared" si="13"/>
        <v>111</v>
      </c>
      <c r="AA45" s="1352">
        <f t="shared" si="3"/>
        <v>1</v>
      </c>
      <c r="AB45" s="1352">
        <f t="shared" si="4"/>
        <v>1</v>
      </c>
      <c r="AC45" s="1352">
        <f t="shared" si="5"/>
        <v>1</v>
      </c>
    </row>
    <row r="46" spans="1:29" ht="15">
      <c r="A46" s="430" t="s">
        <v>1844</v>
      </c>
      <c r="B46" s="1981" t="s">
        <v>1879</v>
      </c>
      <c r="C46" s="629" t="s">
        <v>0</v>
      </c>
      <c r="D46" s="432"/>
      <c r="E46" s="433"/>
      <c r="F46" s="434"/>
      <c r="G46" s="435"/>
      <c r="H46" s="436"/>
      <c r="I46" s="433"/>
      <c r="J46" s="436"/>
      <c r="K46" s="713"/>
      <c r="L46" s="2723"/>
      <c r="M46" s="2724"/>
      <c r="N46" s="2715"/>
      <c r="O46" s="2724"/>
      <c r="P46" s="3745" t="str">
        <f>A46</f>
        <v>成交单价</v>
      </c>
      <c r="Q46" s="3745"/>
      <c r="R46" s="3740">
        <f>E46</f>
        <v>0</v>
      </c>
      <c r="S46" s="3740"/>
      <c r="T46" s="3740">
        <f>G46</f>
        <v>0</v>
      </c>
      <c r="U46" s="3740"/>
      <c r="V46" s="3740">
        <f>I46</f>
        <v>0</v>
      </c>
      <c r="W46" s="3740"/>
      <c r="X46" s="689"/>
      <c r="Y46" s="711"/>
      <c r="Z46" s="689"/>
      <c r="AA46" s="689"/>
      <c r="AB46" s="689"/>
      <c r="AC46" s="689"/>
    </row>
    <row r="47" spans="1:29" ht="15.75" thickBot="1">
      <c r="A47" s="437" t="s">
        <v>1793</v>
      </c>
      <c r="B47" s="630"/>
      <c r="C47" s="440" t="e">
        <f>R48</f>
        <v>#DIV/0!</v>
      </c>
      <c r="D47" s="2316" t="s">
        <v>2138</v>
      </c>
      <c r="E47" s="440" t="e">
        <f>R47</f>
        <v>#DIV/0!</v>
      </c>
      <c r="F47" s="2317"/>
      <c r="G47" s="439" t="e">
        <f>T47</f>
        <v>#DIV/0!</v>
      </c>
      <c r="H47" s="2317"/>
      <c r="I47" s="440" t="e">
        <f>V47</f>
        <v>#DIV/0!</v>
      </c>
      <c r="J47" s="2317"/>
      <c r="K47" s="2319">
        <f>F47+H47+J47</f>
        <v>0</v>
      </c>
      <c r="L47" s="2723"/>
      <c r="M47" s="2724"/>
      <c r="N47" s="2724"/>
      <c r="O47" s="2724"/>
      <c r="P47" s="3745" t="str">
        <f>A47</f>
        <v>比较价值（元/平方米）</v>
      </c>
      <c r="Q47" s="3745"/>
      <c r="R47" s="3773" t="e">
        <f>ROUND(PRODUCT(R46,AA7:AA45),0)</f>
        <v>#DIV/0!</v>
      </c>
      <c r="S47" s="3773"/>
      <c r="T47" s="3773" t="e">
        <f>ROUND(PRODUCT(T46,AB7:AB45),0)</f>
        <v>#DIV/0!</v>
      </c>
      <c r="U47" s="3773"/>
      <c r="V47" s="3773" t="e">
        <f>ROUND(PRODUCT(V46,AC7:AC45),0)</f>
        <v>#DIV/0!</v>
      </c>
      <c r="W47" s="3773"/>
      <c r="X47" s="689"/>
      <c r="Y47" s="689"/>
      <c r="Z47" s="689"/>
      <c r="AA47" s="689"/>
      <c r="AB47" s="689"/>
      <c r="AC47" s="689"/>
    </row>
    <row r="48" spans="1:29" ht="15.75" thickBot="1">
      <c r="A48" s="441" t="s">
        <v>1880</v>
      </c>
      <c r="B48" s="442"/>
      <c r="C48" s="443" t="e">
        <f>R48</f>
        <v>#DIV/0!</v>
      </c>
      <c r="D48" s="443"/>
      <c r="E48" s="443"/>
      <c r="F48" s="443"/>
      <c r="G48" s="443"/>
      <c r="H48" s="443"/>
      <c r="I48" s="443"/>
      <c r="J48" s="443"/>
      <c r="K48" s="714"/>
      <c r="L48" s="2723"/>
      <c r="M48" s="2724"/>
      <c r="N48" s="2724"/>
      <c r="O48" s="2724"/>
      <c r="P48" s="3742" t="str">
        <f>A48</f>
        <v>估价对象XX用房的比较价值（楼面单价，元/平方米）</v>
      </c>
      <c r="Q48" s="3743"/>
      <c r="R48" s="3774" t="e">
        <f>ROUND(IF(D47="简单平均",AVERAGE(R47:W47),R47*F47+T47*H47+V47*J47),0)</f>
        <v>#DIV/0!</v>
      </c>
      <c r="S48" s="3774"/>
      <c r="T48" s="3774"/>
      <c r="U48" s="3774"/>
      <c r="V48" s="3774"/>
      <c r="W48" s="3774"/>
      <c r="X48" s="689"/>
      <c r="Y48" s="689"/>
      <c r="Z48" s="689"/>
      <c r="AA48" s="689"/>
      <c r="AB48" s="689"/>
      <c r="AC48" s="689"/>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5" thickBot="1">
      <c r="A54" s="2727"/>
      <c r="B54" s="2730"/>
      <c r="C54" s="692"/>
      <c r="D54" s="690"/>
      <c r="E54" s="690"/>
      <c r="F54" s="690"/>
      <c r="G54" s="690"/>
      <c r="H54" s="690"/>
      <c r="I54" s="690"/>
      <c r="J54" s="690"/>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1" t="s">
        <v>1881</v>
      </c>
      <c r="B55" s="632" t="s">
        <v>1882</v>
      </c>
      <c r="C55" s="1982" t="s">
        <v>1883</v>
      </c>
      <c r="D55" s="1983" t="s">
        <v>1884</v>
      </c>
      <c r="E55" s="633" t="s">
        <v>1885</v>
      </c>
      <c r="F55" s="889" t="s">
        <v>1886</v>
      </c>
      <c r="G55" s="3728" t="s">
        <v>1887</v>
      </c>
      <c r="H55" s="3775"/>
      <c r="I55" s="135" t="s">
        <v>1888</v>
      </c>
      <c r="J55" s="1984">
        <f>项目基本情况!F35</f>
        <v>0</v>
      </c>
      <c r="K55" s="1985" t="s">
        <v>1889</v>
      </c>
      <c r="L55" s="2725"/>
      <c r="M55" s="2724"/>
      <c r="N55" s="2724"/>
      <c r="O55" s="2724"/>
      <c r="P55" s="2724"/>
      <c r="Q55" s="2724"/>
      <c r="R55" s="2724"/>
      <c r="S55" s="2724"/>
      <c r="T55" s="2724"/>
      <c r="U55" s="2724"/>
      <c r="V55" s="2724"/>
      <c r="W55" s="2724"/>
      <c r="X55" s="2724"/>
      <c r="Y55" s="2724"/>
      <c r="Z55" s="2724"/>
      <c r="AA55" s="2724"/>
      <c r="AB55" s="2724"/>
      <c r="AC55" s="2724"/>
    </row>
    <row r="56" spans="1:29" s="639" customFormat="1">
      <c r="A56" s="635" t="s">
        <v>1890</v>
      </c>
      <c r="B56" s="636" t="e">
        <f>C48</f>
        <v>#DIV/0!</v>
      </c>
      <c r="C56" s="637">
        <v>1</v>
      </c>
      <c r="D56" s="943">
        <v>1</v>
      </c>
      <c r="E56" s="637">
        <f>'数据-汇总表'!E8+'数据-汇总表'!E9</f>
        <v>557.98</v>
      </c>
      <c r="F56" s="885" t="e">
        <f t="shared" ref="F56:F64" si="15">ROUND(B56*E56/10000,0)</f>
        <v>#DIV/0!</v>
      </c>
      <c r="G56" s="3727"/>
      <c r="H56" s="3745"/>
      <c r="I56" s="890">
        <v>1</v>
      </c>
      <c r="J56" s="893">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39" customFormat="1">
      <c r="A57" s="640" t="s">
        <v>1891</v>
      </c>
      <c r="B57" s="218" t="e">
        <f>ROUND($C$48*C57*D57,0)</f>
        <v>#DIV/0!</v>
      </c>
      <c r="C57" s="171">
        <f t="shared" ref="C57:C64" si="16">IF($C$55="北京市系数",I57,J57)</f>
        <v>0.6</v>
      </c>
      <c r="D57" s="944">
        <v>0.25</v>
      </c>
      <c r="E57" s="641"/>
      <c r="F57" s="885" t="e">
        <f t="shared" si="15"/>
        <v>#DIV/0!</v>
      </c>
      <c r="G57" s="3005" t="s">
        <v>1892</v>
      </c>
      <c r="H57" s="886" t="str">
        <f>项目基本情况!B37</f>
        <v>四级</v>
      </c>
      <c r="I57" s="890">
        <f>SUMIF(修正!A57:A68,H57,修正!B57:B68)</f>
        <v>0.6</v>
      </c>
      <c r="J57" s="894"/>
      <c r="K57" s="2724"/>
      <c r="L57" s="2781"/>
      <c r="M57" s="2781"/>
      <c r="N57" s="2781"/>
      <c r="O57" s="2781"/>
      <c r="P57" s="2781"/>
      <c r="Q57" s="2781"/>
      <c r="R57" s="2781"/>
      <c r="S57" s="2781"/>
      <c r="T57" s="2781"/>
      <c r="U57" s="2781"/>
      <c r="V57" s="2781"/>
      <c r="W57" s="2781"/>
      <c r="X57" s="2781"/>
      <c r="Y57" s="2781"/>
      <c r="Z57" s="2781"/>
      <c r="AA57" s="2781"/>
      <c r="AB57" s="2781"/>
      <c r="AC57" s="2781"/>
    </row>
    <row r="58" spans="1:29" s="639" customFormat="1">
      <c r="A58" s="640" t="s">
        <v>1893</v>
      </c>
      <c r="B58" s="218" t="e">
        <f t="shared" ref="B58:B64" si="17">ROUND($C$48*C58*D58,0)</f>
        <v>#DIV/0!</v>
      </c>
      <c r="C58" s="171">
        <f t="shared" si="16"/>
        <v>0.3</v>
      </c>
      <c r="D58" s="944">
        <v>0.25</v>
      </c>
      <c r="E58" s="641"/>
      <c r="F58" s="885" t="e">
        <f t="shared" si="15"/>
        <v>#DIV/0!</v>
      </c>
      <c r="G58" s="3006"/>
      <c r="H58" s="886" t="str">
        <f>项目基本情况!B37</f>
        <v>四级</v>
      </c>
      <c r="I58" s="890">
        <f>SUMIF(修正!A57:A68,H58,修正!C57:C68)</f>
        <v>0.3</v>
      </c>
      <c r="J58" s="894"/>
      <c r="K58" s="2727"/>
      <c r="L58" s="2781"/>
      <c r="M58" s="2781"/>
      <c r="N58" s="2781"/>
      <c r="O58" s="2781"/>
      <c r="P58" s="2781"/>
      <c r="Q58" s="2781"/>
      <c r="R58" s="2781"/>
      <c r="S58" s="2781"/>
      <c r="T58" s="2781"/>
      <c r="U58" s="2781"/>
      <c r="V58" s="2781"/>
      <c r="W58" s="2781"/>
      <c r="X58" s="2781"/>
      <c r="Y58" s="2781"/>
      <c r="Z58" s="2781"/>
      <c r="AA58" s="2781"/>
      <c r="AB58" s="2781"/>
      <c r="AC58" s="2781"/>
    </row>
    <row r="59" spans="1:29" s="639" customFormat="1">
      <c r="A59" s="640" t="s">
        <v>1894</v>
      </c>
      <c r="B59" s="218" t="e">
        <f t="shared" si="17"/>
        <v>#DIV/0!</v>
      </c>
      <c r="C59" s="171">
        <f t="shared" si="16"/>
        <v>0.25</v>
      </c>
      <c r="D59" s="944">
        <v>0.25</v>
      </c>
      <c r="E59" s="641"/>
      <c r="F59" s="885" t="e">
        <f t="shared" si="15"/>
        <v>#DIV/0!</v>
      </c>
      <c r="G59" s="3006"/>
      <c r="H59" s="886" t="str">
        <f>项目基本情况!B37</f>
        <v>四级</v>
      </c>
      <c r="I59" s="890">
        <f>SUMIF(修正!A57:A68,H59,修正!D57:D68)</f>
        <v>0.25</v>
      </c>
      <c r="J59" s="894"/>
      <c r="K59" s="2724"/>
      <c r="L59" s="2781"/>
      <c r="M59" s="2781"/>
      <c r="N59" s="2781"/>
      <c r="O59" s="2781"/>
      <c r="P59" s="2781"/>
      <c r="Q59" s="2781"/>
      <c r="R59" s="2781"/>
      <c r="S59" s="2781"/>
      <c r="T59" s="2781"/>
      <c r="U59" s="2781"/>
      <c r="V59" s="2781"/>
      <c r="W59" s="2781"/>
      <c r="X59" s="2781"/>
      <c r="Y59" s="2781"/>
      <c r="Z59" s="2781"/>
      <c r="AA59" s="2781"/>
      <c r="AB59" s="2781"/>
      <c r="AC59" s="2781"/>
    </row>
    <row r="60" spans="1:29" s="639" customFormat="1">
      <c r="A60" s="640" t="s">
        <v>1895</v>
      </c>
      <c r="B60" s="218" t="e">
        <f t="shared" si="17"/>
        <v>#DIV/0!</v>
      </c>
      <c r="C60" s="171">
        <f t="shared" si="16"/>
        <v>0</v>
      </c>
      <c r="D60" s="944">
        <v>0.25</v>
      </c>
      <c r="E60" s="217">
        <f>'数据-汇总表'!E11</f>
        <v>0</v>
      </c>
      <c r="F60" s="885" t="e">
        <f t="shared" si="15"/>
        <v>#DIV/0!</v>
      </c>
      <c r="G60" s="1986" t="s">
        <v>1896</v>
      </c>
      <c r="H60" s="886">
        <f>项目基本情况!C37</f>
        <v>0</v>
      </c>
      <c r="I60" s="890">
        <f>SUMIF(修正!A57:A68,H60,修正!E57:E68)</f>
        <v>0</v>
      </c>
      <c r="J60" s="894"/>
      <c r="K60" s="2724"/>
      <c r="L60" s="2781"/>
      <c r="M60" s="2781"/>
      <c r="N60" s="2781"/>
      <c r="O60" s="2781"/>
      <c r="P60" s="2781"/>
      <c r="Q60" s="2781"/>
      <c r="R60" s="2781"/>
      <c r="S60" s="2781"/>
      <c r="T60" s="2781"/>
      <c r="U60" s="2781"/>
      <c r="V60" s="2781"/>
      <c r="W60" s="2781"/>
      <c r="X60" s="2781"/>
      <c r="Y60" s="2781"/>
      <c r="Z60" s="2781"/>
      <c r="AA60" s="2781"/>
      <c r="AB60" s="2781"/>
      <c r="AC60" s="2781"/>
    </row>
    <row r="61" spans="1:29" s="639" customFormat="1">
      <c r="A61" s="640" t="s">
        <v>1897</v>
      </c>
      <c r="B61" s="218" t="e">
        <f t="shared" si="17"/>
        <v>#DIV/0!</v>
      </c>
      <c r="C61" s="171">
        <f t="shared" si="16"/>
        <v>0</v>
      </c>
      <c r="D61" s="944">
        <v>0.25</v>
      </c>
      <c r="E61" s="217">
        <f>'数据-汇总表'!E12</f>
        <v>0</v>
      </c>
      <c r="F61" s="885" t="e">
        <f t="shared" si="15"/>
        <v>#DIV/0!</v>
      </c>
      <c r="G61" s="891" t="s">
        <v>1898</v>
      </c>
      <c r="H61" s="886">
        <f>IF(G61="商业",项目基本情况!B37,IF(G61="办公",项目基本情况!C37,IF(G61="住宅",项目基本情况!D37,项目基本情况!E37)))</f>
        <v>0</v>
      </c>
      <c r="I61" s="890">
        <f>SUMIF(修正!A57:A68,H61,修正!F57:F68)</f>
        <v>0</v>
      </c>
      <c r="J61" s="894"/>
      <c r="K61" s="2727"/>
      <c r="L61" s="2781"/>
      <c r="M61" s="2781"/>
      <c r="N61" s="2781"/>
      <c r="O61" s="2781"/>
      <c r="P61" s="2781"/>
      <c r="Q61" s="2781"/>
      <c r="R61" s="2781"/>
      <c r="S61" s="2781"/>
      <c r="T61" s="2781"/>
      <c r="U61" s="2781"/>
      <c r="V61" s="2781"/>
      <c r="W61" s="2781"/>
      <c r="X61" s="2781"/>
      <c r="Y61" s="2781"/>
      <c r="Z61" s="2781"/>
      <c r="AA61" s="2781"/>
      <c r="AB61" s="2781"/>
      <c r="AC61" s="2781"/>
    </row>
    <row r="62" spans="1:29" s="639" customFormat="1">
      <c r="A62" s="640" t="s">
        <v>1899</v>
      </c>
      <c r="B62" s="218" t="e">
        <f t="shared" si="17"/>
        <v>#DIV/0!</v>
      </c>
      <c r="C62" s="171">
        <f t="shared" si="16"/>
        <v>0</v>
      </c>
      <c r="D62" s="944">
        <v>0.25</v>
      </c>
      <c r="E62" s="217">
        <f>'数据-汇总表'!E13</f>
        <v>0</v>
      </c>
      <c r="F62" s="885" t="e">
        <f t="shared" si="15"/>
        <v>#DIV/0!</v>
      </c>
      <c r="G62" s="891" t="s">
        <v>1900</v>
      </c>
      <c r="H62" s="886">
        <f>IF(G62="商业",项目基本情况!B37,IF(G62="办公",项目基本情况!C37,IF(G62="住宅",项目基本情况!D37,项目基本情况!E37)))</f>
        <v>0</v>
      </c>
      <c r="I62" s="890">
        <f>SUMIF(修正!A57:A68,H62,修正!G57:G68)</f>
        <v>0</v>
      </c>
      <c r="J62" s="894"/>
      <c r="K62" s="2724"/>
      <c r="L62" s="2781"/>
      <c r="M62" s="2781"/>
      <c r="N62" s="2781"/>
      <c r="O62" s="2781"/>
      <c r="P62" s="2781"/>
      <c r="Q62" s="2781"/>
      <c r="R62" s="2781"/>
      <c r="S62" s="2781"/>
      <c r="T62" s="2781"/>
      <c r="U62" s="2781"/>
      <c r="V62" s="2781"/>
      <c r="W62" s="2781"/>
      <c r="X62" s="2781"/>
      <c r="Y62" s="2781"/>
      <c r="Z62" s="2781"/>
      <c r="AA62" s="2781"/>
      <c r="AB62" s="2781"/>
      <c r="AC62" s="2781"/>
    </row>
    <row r="63" spans="1:29" s="639" customFormat="1">
      <c r="A63" s="640" t="s">
        <v>1901</v>
      </c>
      <c r="B63" s="218" t="e">
        <f t="shared" si="17"/>
        <v>#DIV/0!</v>
      </c>
      <c r="C63" s="171">
        <f t="shared" si="16"/>
        <v>0.15</v>
      </c>
      <c r="D63" s="944">
        <v>0.25</v>
      </c>
      <c r="E63" s="217">
        <f>'数据-汇总表'!E14</f>
        <v>0</v>
      </c>
      <c r="F63" s="885" t="e">
        <f t="shared" si="15"/>
        <v>#DIV/0!</v>
      </c>
      <c r="G63" s="1986" t="s">
        <v>1892</v>
      </c>
      <c r="H63" s="886" t="str">
        <f>项目基本情况!B37</f>
        <v>四级</v>
      </c>
      <c r="I63" s="890">
        <f>SUMIF(修正!A57:A68,H63,修正!G57:G68)</f>
        <v>0.15</v>
      </c>
      <c r="J63" s="894"/>
      <c r="K63" s="2727"/>
      <c r="L63" s="2781"/>
      <c r="M63" s="2781"/>
      <c r="N63" s="2781"/>
      <c r="O63" s="2781"/>
      <c r="P63" s="2781"/>
      <c r="Q63" s="2781"/>
      <c r="R63" s="2781"/>
      <c r="S63" s="2781"/>
      <c r="T63" s="2781"/>
      <c r="U63" s="2781"/>
      <c r="V63" s="2781"/>
      <c r="W63" s="2781"/>
      <c r="X63" s="2781"/>
      <c r="Y63" s="2781"/>
      <c r="Z63" s="2781"/>
      <c r="AA63" s="2781"/>
      <c r="AB63" s="2781"/>
      <c r="AC63" s="2781"/>
    </row>
    <row r="64" spans="1:29" s="639" customFormat="1" ht="15" thickBot="1">
      <c r="A64" s="640" t="s">
        <v>1902</v>
      </c>
      <c r="B64" s="218" t="e">
        <f t="shared" si="17"/>
        <v>#DIV/0!</v>
      </c>
      <c r="C64" s="171">
        <f t="shared" si="16"/>
        <v>0</v>
      </c>
      <c r="D64" s="944">
        <v>0.25</v>
      </c>
      <c r="E64" s="217">
        <f>'数据-汇总表'!E15</f>
        <v>0</v>
      </c>
      <c r="F64" s="885" t="e">
        <f t="shared" si="15"/>
        <v>#DIV/0!</v>
      </c>
      <c r="G64" s="1987" t="s">
        <v>1896</v>
      </c>
      <c r="H64" s="896">
        <f>项目基本情况!C37</f>
        <v>0</v>
      </c>
      <c r="I64" s="892">
        <f>SUMIF(修正!A57:A68,H64,修正!G57:G68)</f>
        <v>0</v>
      </c>
      <c r="J64" s="895"/>
      <c r="K64" s="2724"/>
      <c r="L64" s="2781"/>
      <c r="M64" s="2781"/>
      <c r="N64" s="2781"/>
      <c r="O64" s="2781"/>
      <c r="P64" s="2781"/>
      <c r="Q64" s="2781"/>
      <c r="R64" s="2781"/>
      <c r="S64" s="2781"/>
      <c r="T64" s="2781"/>
      <c r="U64" s="2781"/>
      <c r="V64" s="2781"/>
      <c r="W64" s="2781"/>
      <c r="X64" s="2781"/>
      <c r="Y64" s="2781"/>
      <c r="Z64" s="2781"/>
      <c r="AA64" s="2781"/>
      <c r="AB64" s="2781"/>
      <c r="AC64" s="2781"/>
    </row>
    <row r="65" spans="1:29" s="639" customFormat="1" ht="13.5" thickBot="1">
      <c r="A65" s="642" t="s">
        <v>1903</v>
      </c>
      <c r="B65" s="643" t="s">
        <v>22</v>
      </c>
      <c r="C65" s="643" t="s">
        <v>23</v>
      </c>
      <c r="D65" s="643" t="s">
        <v>392</v>
      </c>
      <c r="E65" s="643">
        <f>IF(B46="楼面地价",SUM(E56:E64),'数据-汇总表'!D3)</f>
        <v>557.98</v>
      </c>
      <c r="F65" s="644" t="e">
        <f>IF(B46="楼面地价",SUM(F56:F64),ROUND(C48*E65/10000,0))</f>
        <v>#DIV/0!</v>
      </c>
      <c r="G65" s="716"/>
      <c r="H65" s="716"/>
      <c r="I65" s="716"/>
      <c r="J65" s="716"/>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89"/>
      <c r="B66" s="691"/>
      <c r="C66" s="692"/>
      <c r="D66" s="689"/>
      <c r="E66" s="689"/>
      <c r="F66" s="689"/>
      <c r="G66" s="689"/>
      <c r="H66" s="689"/>
      <c r="I66" s="689"/>
      <c r="J66" s="926"/>
      <c r="K66" s="887"/>
      <c r="L66" s="888"/>
      <c r="M66" s="926"/>
      <c r="N66" s="926"/>
      <c r="O66" s="926"/>
      <c r="P66" s="2724"/>
      <c r="Q66" s="2724"/>
      <c r="R66" s="2724"/>
      <c r="S66" s="2724"/>
      <c r="T66" s="2724"/>
      <c r="U66" s="2724"/>
      <c r="V66" s="2724"/>
      <c r="W66" s="2724"/>
      <c r="X66" s="2724"/>
      <c r="Y66" s="2724"/>
      <c r="Z66" s="2724"/>
      <c r="AA66" s="2724"/>
      <c r="AB66" s="2724"/>
      <c r="AC66" s="2724"/>
    </row>
    <row r="67" spans="1:29">
      <c r="A67" s="689"/>
      <c r="B67" s="691"/>
      <c r="C67" s="691" t="str">
        <f>YEAR(C7)&amp;"-"&amp;MONTH(C7)&amp;"-1"</f>
        <v>2025-5-1</v>
      </c>
      <c r="D67" s="691">
        <f>EDATE(C67,-3)</f>
        <v>45689</v>
      </c>
      <c r="E67" s="691">
        <f>EDATE(D67,-3)</f>
        <v>45597</v>
      </c>
      <c r="F67" s="691">
        <f t="shared" ref="F67:O67" si="18">EDATE(E67,-3)</f>
        <v>45505</v>
      </c>
      <c r="G67" s="691">
        <f t="shared" si="18"/>
        <v>45413</v>
      </c>
      <c r="H67" s="691">
        <f t="shared" si="18"/>
        <v>45323</v>
      </c>
      <c r="I67" s="691">
        <f t="shared" si="18"/>
        <v>45231</v>
      </c>
      <c r="J67" s="691">
        <f t="shared" si="18"/>
        <v>45139</v>
      </c>
      <c r="K67" s="691">
        <f t="shared" si="18"/>
        <v>45047</v>
      </c>
      <c r="L67" s="691">
        <f t="shared" si="18"/>
        <v>44958</v>
      </c>
      <c r="M67" s="691">
        <f t="shared" si="18"/>
        <v>44866</v>
      </c>
      <c r="N67" s="691">
        <f t="shared" si="18"/>
        <v>44774</v>
      </c>
      <c r="O67" s="691">
        <f t="shared" si="18"/>
        <v>44682</v>
      </c>
      <c r="P67" s="2724"/>
      <c r="Q67" s="2724"/>
      <c r="R67" s="2724"/>
      <c r="S67" s="2724"/>
      <c r="T67" s="2724"/>
      <c r="U67" s="2724"/>
      <c r="V67" s="2724"/>
      <c r="W67" s="2724"/>
      <c r="X67" s="2724"/>
      <c r="Y67" s="2724"/>
      <c r="Z67" s="2724"/>
      <c r="AA67" s="2724"/>
      <c r="AB67" s="2724"/>
      <c r="AC67" s="2724"/>
    </row>
    <row r="68" spans="1:29" ht="21.75" thickBot="1">
      <c r="A68" s="693" t="s">
        <v>1798</v>
      </c>
      <c r="B68" s="689"/>
      <c r="C68" s="694"/>
      <c r="D68" s="694"/>
      <c r="E68" s="694"/>
      <c r="F68" s="695"/>
      <c r="G68" s="695"/>
      <c r="H68" s="694"/>
      <c r="I68" s="694"/>
      <c r="J68" s="939"/>
      <c r="K68" s="940"/>
      <c r="L68" s="941"/>
      <c r="M68" s="939"/>
      <c r="N68" s="2768"/>
      <c r="O68" s="2768"/>
      <c r="P68" s="2768"/>
      <c r="Q68" s="2738"/>
      <c r="R68" s="2724"/>
      <c r="S68" s="2724"/>
      <c r="T68" s="2724"/>
      <c r="U68" s="2724"/>
      <c r="V68" s="2724"/>
      <c r="W68" s="2724"/>
      <c r="X68" s="2724"/>
      <c r="Y68" s="2724"/>
      <c r="Z68" s="2724"/>
      <c r="AA68" s="2724"/>
      <c r="AB68" s="2724"/>
      <c r="AC68" s="2724"/>
    </row>
    <row r="69" spans="1:29" s="457" customFormat="1" ht="15">
      <c r="A69" s="1988" t="s">
        <v>1904</v>
      </c>
      <c r="B69" s="1108"/>
      <c r="C69" s="1181" t="str">
        <f>YEAR(C67)&amp;"-"&amp;ROUNDUP(MONTH(C67)/3,0)</f>
        <v>2025-2</v>
      </c>
      <c r="D69" s="1181" t="str">
        <f>YEAR(D67)&amp;"-"&amp;ROUNDUP(MONTH(D67)/3,0)</f>
        <v>2025-1</v>
      </c>
      <c r="E69" s="1181" t="str">
        <f t="shared" ref="E69:O69" si="19">YEAR(E67)&amp;"-"&amp;ROUNDUP(MONTH(E67)/3,0)</f>
        <v>2024-4</v>
      </c>
      <c r="F69" s="1181" t="str">
        <f t="shared" si="19"/>
        <v>2024-3</v>
      </c>
      <c r="G69" s="1181" t="str">
        <f t="shared" si="19"/>
        <v>2024-2</v>
      </c>
      <c r="H69" s="1181" t="str">
        <f t="shared" si="19"/>
        <v>2024-1</v>
      </c>
      <c r="I69" s="1181" t="str">
        <f t="shared" si="19"/>
        <v>2023-4</v>
      </c>
      <c r="J69" s="1181" t="str">
        <f t="shared" si="19"/>
        <v>2023-3</v>
      </c>
      <c r="K69" s="1181" t="str">
        <f t="shared" si="19"/>
        <v>2023-2</v>
      </c>
      <c r="L69" s="1181" t="str">
        <f t="shared" si="19"/>
        <v>2023-1</v>
      </c>
      <c r="M69" s="1181" t="str">
        <f t="shared" si="19"/>
        <v>2022-4</v>
      </c>
      <c r="N69" s="1181" t="str">
        <f t="shared" si="19"/>
        <v>2022-3</v>
      </c>
      <c r="O69" s="1181" t="str">
        <f t="shared" si="19"/>
        <v>2022-2</v>
      </c>
      <c r="P69" s="2775"/>
      <c r="Q69" s="2740"/>
      <c r="R69" s="2740"/>
      <c r="S69" s="2740"/>
      <c r="T69" s="2740"/>
      <c r="U69" s="2740"/>
      <c r="V69" s="2740"/>
      <c r="W69" s="2740"/>
      <c r="X69" s="2740"/>
      <c r="Y69" s="2740"/>
      <c r="Z69" s="2740"/>
      <c r="AA69" s="2740"/>
      <c r="AB69" s="2740"/>
      <c r="AC69" s="2740"/>
    </row>
    <row r="70" spans="1:29" s="108" customFormat="1" ht="30" customHeight="1">
      <c r="A70" s="1989"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8"/>
      <c r="Q70" s="2660"/>
      <c r="R70" s="2660"/>
      <c r="S70" s="2660"/>
      <c r="T70" s="2660"/>
      <c r="U70" s="2660"/>
      <c r="V70" s="2660"/>
      <c r="W70" s="2660"/>
      <c r="X70" s="2660"/>
      <c r="Y70" s="2660"/>
      <c r="Z70" s="2660"/>
      <c r="AA70" s="2660"/>
      <c r="AB70" s="2660"/>
      <c r="AC70" s="2660"/>
    </row>
    <row r="71" spans="1:29" s="108" customFormat="1" ht="15.75" thickBot="1">
      <c r="A71" s="464" t="s">
        <v>1716</v>
      </c>
      <c r="B71" s="465"/>
      <c r="C71" s="466"/>
      <c r="D71" s="467"/>
      <c r="E71" s="467"/>
      <c r="F71" s="467"/>
      <c r="G71" s="467"/>
      <c r="H71" s="467"/>
      <c r="I71" s="467"/>
      <c r="J71" s="467"/>
      <c r="K71" s="467"/>
      <c r="L71" s="467"/>
      <c r="M71" s="468"/>
      <c r="N71" s="467"/>
      <c r="O71" s="942"/>
      <c r="P71" s="2738"/>
      <c r="Q71" s="2738"/>
      <c r="R71" s="2660"/>
      <c r="S71" s="2660"/>
      <c r="T71" s="2660"/>
      <c r="U71" s="2660"/>
      <c r="V71" s="2660"/>
      <c r="W71" s="2660"/>
      <c r="X71" s="2660"/>
      <c r="Y71" s="2660"/>
      <c r="Z71" s="2660"/>
      <c r="AA71" s="2660"/>
      <c r="AB71" s="2660"/>
      <c r="AC71" s="2660"/>
    </row>
    <row r="72" spans="1:29" s="108" customFormat="1" ht="15">
      <c r="A72" s="470" t="s">
        <v>1681</v>
      </c>
      <c r="B72" s="459"/>
      <c r="C72" s="471" t="s">
        <v>1776</v>
      </c>
      <c r="D72" s="472"/>
      <c r="E72" s="472"/>
      <c r="F72" s="472"/>
      <c r="G72" s="472"/>
      <c r="H72" s="472"/>
      <c r="I72" s="472"/>
      <c r="J72" s="472"/>
      <c r="K72" s="472"/>
      <c r="L72" s="473"/>
      <c r="M72" s="474"/>
      <c r="N72" s="2751"/>
      <c r="O72" s="2751"/>
      <c r="P72" s="2776"/>
      <c r="Q72" s="2738"/>
      <c r="R72" s="2660"/>
      <c r="S72" s="2660"/>
      <c r="T72" s="2660"/>
      <c r="U72" s="2660"/>
      <c r="V72" s="2660"/>
      <c r="W72" s="2660"/>
      <c r="X72" s="2660"/>
      <c r="Y72" s="2660"/>
      <c r="Z72" s="2660"/>
      <c r="AA72" s="2660"/>
      <c r="AB72" s="2660"/>
      <c r="AC72" s="2660"/>
    </row>
    <row r="73" spans="1:29" s="108" customFormat="1" ht="15.75" thickBot="1">
      <c r="A73" s="470"/>
      <c r="B73" s="459"/>
      <c r="C73" s="586">
        <v>100</v>
      </c>
      <c r="D73" s="461"/>
      <c r="E73" s="461"/>
      <c r="F73" s="461"/>
      <c r="G73" s="461"/>
      <c r="H73" s="461"/>
      <c r="I73" s="461"/>
      <c r="J73" s="461"/>
      <c r="K73" s="461"/>
      <c r="L73" s="461"/>
      <c r="M73" s="463"/>
      <c r="N73" s="2751"/>
      <c r="O73" s="2751"/>
      <c r="P73" s="2738"/>
      <c r="Q73" s="2738"/>
      <c r="R73" s="2660"/>
      <c r="S73" s="2660"/>
      <c r="T73" s="2660"/>
      <c r="U73" s="2660"/>
      <c r="V73" s="2660"/>
      <c r="W73" s="2660"/>
      <c r="X73" s="2660"/>
      <c r="Y73" s="2660"/>
      <c r="Z73" s="2660"/>
      <c r="AA73" s="2660"/>
      <c r="AB73" s="2660"/>
      <c r="AC73" s="2660"/>
    </row>
    <row r="74" spans="1:29">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5.75"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7.75"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5.75"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5.75"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5.75"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5.75"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5.75"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5.75"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5.75"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7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7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7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15.75" thickTop="1">
      <c r="A95" s="528"/>
      <c r="B95" s="487" t="s">
        <v>1907</v>
      </c>
      <c r="C95" s="527" t="s">
        <v>1721</v>
      </c>
      <c r="D95" s="527" t="s">
        <v>1722</v>
      </c>
      <c r="E95" s="527" t="s">
        <v>1723</v>
      </c>
      <c r="F95" s="527" t="s">
        <v>1724</v>
      </c>
      <c r="G95" s="527" t="s">
        <v>1725</v>
      </c>
      <c r="H95" s="527"/>
      <c r="I95" s="527"/>
      <c r="J95" s="527"/>
      <c r="K95" s="527"/>
      <c r="L95" s="645"/>
      <c r="M95" s="569"/>
      <c r="N95" s="2751"/>
      <c r="O95" s="2751"/>
      <c r="P95" s="2777"/>
      <c r="Q95" s="2738"/>
      <c r="R95" s="2660"/>
      <c r="S95" s="2660"/>
      <c r="T95" s="2660"/>
      <c r="U95" s="2660"/>
      <c r="V95" s="2660"/>
      <c r="W95" s="2660"/>
      <c r="X95" s="2660"/>
      <c r="Y95" s="2660"/>
      <c r="Z95" s="2660"/>
      <c r="AA95" s="2660"/>
      <c r="AB95" s="2660"/>
      <c r="AC95" s="2660"/>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0"/>
      <c r="S96" s="2660"/>
      <c r="T96" s="2660"/>
      <c r="U96" s="2660"/>
      <c r="V96" s="2660"/>
      <c r="W96" s="2660"/>
      <c r="X96" s="2660"/>
      <c r="Y96" s="2660"/>
      <c r="Z96" s="2660"/>
      <c r="AA96" s="2660"/>
      <c r="AB96" s="2660"/>
      <c r="AC96" s="2660"/>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69"/>
      <c r="N97" s="2751"/>
      <c r="O97" s="2751"/>
      <c r="P97" s="2777"/>
      <c r="Q97" s="2738"/>
      <c r="R97" s="2660"/>
      <c r="S97" s="2660"/>
      <c r="T97" s="2660"/>
      <c r="U97" s="2660"/>
      <c r="V97" s="2660"/>
      <c r="W97" s="2660"/>
      <c r="X97" s="2660"/>
      <c r="Y97" s="2660"/>
      <c r="Z97" s="2660"/>
      <c r="AA97" s="2660"/>
      <c r="AB97" s="2660"/>
      <c r="AC97" s="2660"/>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0"/>
      <c r="S98" s="2660"/>
      <c r="T98" s="2660"/>
      <c r="U98" s="2660"/>
      <c r="V98" s="2660"/>
      <c r="W98" s="2660"/>
      <c r="X98" s="2660"/>
      <c r="Y98" s="2660"/>
      <c r="Z98" s="2660"/>
      <c r="AA98" s="2660"/>
      <c r="AB98" s="2660"/>
      <c r="AC98" s="2660"/>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75" thickTop="1">
      <c r="A101" s="502"/>
      <c r="B101" s="495" t="s">
        <v>1779</v>
      </c>
      <c r="C101" s="607" t="s">
        <v>1799</v>
      </c>
      <c r="D101" s="607" t="s">
        <v>1800</v>
      </c>
      <c r="E101" s="607" t="s">
        <v>1801</v>
      </c>
      <c r="F101" s="607" t="s">
        <v>1802</v>
      </c>
      <c r="G101" s="607" t="s">
        <v>1803</v>
      </c>
      <c r="H101" s="549"/>
      <c r="I101" s="549"/>
      <c r="J101" s="549"/>
      <c r="K101" s="549"/>
      <c r="L101" s="549"/>
      <c r="M101" s="1131"/>
      <c r="N101" s="2754"/>
      <c r="O101" s="2754"/>
      <c r="P101" s="2778"/>
      <c r="Q101" s="2745"/>
      <c r="R101" s="2746"/>
      <c r="S101" s="2746"/>
      <c r="T101" s="2746"/>
      <c r="U101" s="2746"/>
      <c r="V101" s="2746"/>
      <c r="W101" s="2746"/>
      <c r="X101" s="2746"/>
      <c r="Y101" s="2746"/>
      <c r="Z101" s="2746"/>
      <c r="AA101" s="2746"/>
      <c r="AB101" s="2746"/>
      <c r="AC101" s="2746"/>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1"/>
      <c r="N102" s="2754"/>
      <c r="O102" s="2754"/>
      <c r="P102" s="2778"/>
      <c r="Q102" s="2745"/>
      <c r="R102" s="2746"/>
      <c r="S102" s="2746"/>
      <c r="T102" s="2746"/>
      <c r="U102" s="2746"/>
      <c r="V102" s="2746"/>
      <c r="W102" s="2746"/>
      <c r="X102" s="2746"/>
      <c r="Y102" s="2746"/>
      <c r="Z102" s="2746"/>
      <c r="AA102" s="2746"/>
      <c r="AB102" s="2746"/>
      <c r="AC102" s="2746"/>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5.75"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5" thickTop="1">
      <c r="A111" s="622"/>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5.75"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5"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5.75" thickBot="1">
      <c r="A114" s="502"/>
      <c r="B114" s="495"/>
      <c r="C114" s="461"/>
      <c r="D114" s="624"/>
      <c r="E114" s="624"/>
      <c r="F114" s="624"/>
      <c r="G114" s="624"/>
      <c r="H114" s="624"/>
      <c r="I114" s="624"/>
      <c r="J114" s="624"/>
      <c r="K114" s="624"/>
      <c r="L114" s="624"/>
      <c r="M114" s="646"/>
      <c r="N114" s="2753"/>
      <c r="O114" s="2753"/>
      <c r="P114" s="2778"/>
      <c r="Q114" s="2745"/>
      <c r="R114" s="2746"/>
      <c r="S114" s="2746"/>
      <c r="T114" s="2746"/>
      <c r="U114" s="2746"/>
      <c r="V114" s="2746"/>
      <c r="W114" s="2746"/>
      <c r="X114" s="2746"/>
      <c r="Y114" s="2746"/>
      <c r="Z114" s="2746"/>
      <c r="AA114" s="2746"/>
      <c r="AB114" s="2746"/>
      <c r="AC114" s="2746"/>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5.75"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5.75"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5"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5.75"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5"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5.75" thickBot="1">
      <c r="A131" s="517"/>
      <c r="B131" s="647"/>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77" priority="18" stopIfTrue="1" operator="containsText" text="超过">
      <formula>NOT(ISERROR(SEARCH("超过",F51)))</formula>
    </cfRule>
  </conditionalFormatting>
  <conditionalFormatting sqref="J53">
    <cfRule type="containsText" dxfId="76" priority="17" stopIfTrue="1" operator="containsText" text="超过">
      <formula>NOT(ISERROR(SEARCH("超过",J53)))</formula>
    </cfRule>
  </conditionalFormatting>
  <conditionalFormatting sqref="H53">
    <cfRule type="containsText" dxfId="75" priority="16" stopIfTrue="1" operator="containsText" text="超过">
      <formula>NOT(ISERROR(SEARCH("超过",H53)))</formula>
    </cfRule>
  </conditionalFormatting>
  <conditionalFormatting sqref="F53">
    <cfRule type="containsText" dxfId="74" priority="15" stopIfTrue="1" operator="containsText" text="超过">
      <formula>NOT(ISERROR(SEARCH("超过",F53)))</formula>
    </cfRule>
  </conditionalFormatting>
  <conditionalFormatting sqref="F52 H52 J52">
    <cfRule type="containsText" dxfId="73" priority="14" stopIfTrue="1" operator="containsText" text="超过">
      <formula>NOT(ISERROR(SEARCH("超过",F52)))</formula>
    </cfRule>
  </conditionalFormatting>
  <conditionalFormatting sqref="E51">
    <cfRule type="expression" dxfId="72" priority="13" stopIfTrue="1">
      <formula>$F$51="超过30%"</formula>
    </cfRule>
  </conditionalFormatting>
  <conditionalFormatting sqref="G53">
    <cfRule type="expression" dxfId="71" priority="12" stopIfTrue="1">
      <formula>$H$53="超过30%"</formula>
    </cfRule>
  </conditionalFormatting>
  <conditionalFormatting sqref="E52">
    <cfRule type="expression" dxfId="70" priority="11" stopIfTrue="1">
      <formula>$F$52="超过20%"</formula>
    </cfRule>
  </conditionalFormatting>
  <conditionalFormatting sqref="E53">
    <cfRule type="expression" dxfId="69" priority="10" stopIfTrue="1">
      <formula>$F$53="超过30%"</formula>
    </cfRule>
  </conditionalFormatting>
  <conditionalFormatting sqref="G51">
    <cfRule type="expression" dxfId="68" priority="9" stopIfTrue="1">
      <formula>$H$53+$H$51="超过30%"</formula>
    </cfRule>
  </conditionalFormatting>
  <conditionalFormatting sqref="G52">
    <cfRule type="expression" dxfId="67" priority="8" stopIfTrue="1">
      <formula>$H$52="超过20%"</formula>
    </cfRule>
  </conditionalFormatting>
  <conditionalFormatting sqref="I51">
    <cfRule type="expression" dxfId="66" priority="7" stopIfTrue="1">
      <formula>$J$51="超过30%"</formula>
    </cfRule>
  </conditionalFormatting>
  <conditionalFormatting sqref="I52">
    <cfRule type="expression" dxfId="65" priority="6" stopIfTrue="1">
      <formula>$J$52="超过20%"</formula>
    </cfRule>
  </conditionalFormatting>
  <conditionalFormatting sqref="I53">
    <cfRule type="expression" dxfId="64" priority="5" stopIfTrue="1">
      <formula>$J$53="超过30%"</formula>
    </cfRule>
  </conditionalFormatting>
  <conditionalFormatting sqref="F47">
    <cfRule type="expression" dxfId="63" priority="4">
      <formula>$D$47="简单平均"</formula>
    </cfRule>
  </conditionalFormatting>
  <conditionalFormatting sqref="H47">
    <cfRule type="expression" dxfId="62" priority="3">
      <formula>$D$47="简单平均"</formula>
    </cfRule>
  </conditionalFormatting>
  <conditionalFormatting sqref="J47">
    <cfRule type="expression" dxfId="61" priority="2">
      <formula>$D$47="简单平均"</formula>
    </cfRule>
  </conditionalFormatting>
  <conditionalFormatting sqref="F7:F45 H7:H45 J7:J45">
    <cfRule type="cellIs" dxfId="6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1462</v>
      </c>
      <c r="B2" s="618" t="e">
        <f>F61</f>
        <v>#DIV/0!</v>
      </c>
      <c r="C2" s="907"/>
      <c r="D2" s="907"/>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t="e">
        <f>ROUND(IF(D3="",B2*10000/'数据-汇总表'!E3,B2*10000/D3),0)</f>
        <v>#DIV/0!</v>
      </c>
      <c r="C3" s="203"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5" t="s">
        <v>1769</v>
      </c>
      <c r="B4" s="356"/>
      <c r="C4" s="3728" t="s">
        <v>1770</v>
      </c>
      <c r="D4" s="3729"/>
      <c r="E4" s="3730" t="s">
        <v>1771</v>
      </c>
      <c r="F4" s="3731"/>
      <c r="G4" s="3728" t="s">
        <v>1772</v>
      </c>
      <c r="H4" s="3729"/>
      <c r="I4" s="3728" t="s">
        <v>1773</v>
      </c>
      <c r="J4" s="3729"/>
      <c r="K4" s="559" t="s">
        <v>1774</v>
      </c>
      <c r="L4" s="2714"/>
      <c r="M4" s="2715"/>
      <c r="N4" s="2715"/>
      <c r="O4" s="2715"/>
      <c r="P4" s="3732" t="s">
        <v>1775</v>
      </c>
      <c r="Q4" s="3733"/>
      <c r="R4" s="3715" t="s">
        <v>1771</v>
      </c>
      <c r="S4" s="3716"/>
      <c r="T4" s="3715" t="s">
        <v>1772</v>
      </c>
      <c r="U4" s="3716"/>
      <c r="V4" s="3740" t="s">
        <v>1773</v>
      </c>
      <c r="W4" s="3740"/>
      <c r="X4" s="1354"/>
      <c r="Y4" s="3715" t="s">
        <v>1775</v>
      </c>
      <c r="Z4" s="3716"/>
      <c r="AA4" s="3710" t="s">
        <v>1771</v>
      </c>
      <c r="AB4" s="3711" t="s">
        <v>1772</v>
      </c>
      <c r="AC4" s="3710" t="s">
        <v>1773</v>
      </c>
    </row>
    <row r="5" spans="1:29" ht="15">
      <c r="A5" s="358"/>
      <c r="B5" s="359"/>
      <c r="C5" s="3721" t="s">
        <v>1673</v>
      </c>
      <c r="D5" s="3722"/>
      <c r="E5" s="3719" t="s">
        <v>1674</v>
      </c>
      <c r="F5" s="3720"/>
      <c r="G5" s="3721" t="s">
        <v>1675</v>
      </c>
      <c r="H5" s="3722"/>
      <c r="I5" s="3721" t="s">
        <v>1676</v>
      </c>
      <c r="J5" s="3722"/>
      <c r="K5" s="559"/>
      <c r="L5" s="2714"/>
      <c r="M5" s="2715"/>
      <c r="N5" s="2715"/>
      <c r="O5" s="2715"/>
      <c r="P5" s="3734"/>
      <c r="Q5" s="3735"/>
      <c r="R5" s="3717"/>
      <c r="S5" s="3718"/>
      <c r="T5" s="3717"/>
      <c r="U5" s="3718"/>
      <c r="V5" s="3740"/>
      <c r="W5" s="3740"/>
      <c r="X5" s="1354"/>
      <c r="Y5" s="3717"/>
      <c r="Z5" s="3718"/>
      <c r="AA5" s="3711"/>
      <c r="AB5" s="3711"/>
      <c r="AC5" s="3711"/>
    </row>
    <row r="6" spans="1:29" ht="15.75" thickBot="1">
      <c r="A6" s="360"/>
      <c r="B6" s="361"/>
      <c r="C6" s="3776" t="s">
        <v>1919</v>
      </c>
      <c r="D6" s="3777"/>
      <c r="E6" s="3778" t="s">
        <v>1919</v>
      </c>
      <c r="F6" s="3779"/>
      <c r="G6" s="3776" t="s">
        <v>1919</v>
      </c>
      <c r="H6" s="3777"/>
      <c r="I6" s="3776" t="s">
        <v>1919</v>
      </c>
      <c r="J6" s="3777"/>
      <c r="K6" s="559" t="s">
        <v>1678</v>
      </c>
      <c r="L6" s="2714"/>
      <c r="M6" s="2715"/>
      <c r="N6" s="2715"/>
      <c r="O6" s="2715"/>
      <c r="P6" s="3736"/>
      <c r="Q6" s="3737"/>
      <c r="R6" s="3717"/>
      <c r="S6" s="3718"/>
      <c r="T6" s="3738"/>
      <c r="U6" s="3739"/>
      <c r="V6" s="3740"/>
      <c r="W6" s="3740"/>
      <c r="X6" s="1354"/>
      <c r="Y6" s="3738"/>
      <c r="Z6" s="3739"/>
      <c r="AA6" s="3712"/>
      <c r="AB6" s="3712"/>
      <c r="AC6" s="3712"/>
    </row>
    <row r="7" spans="1:29" s="108" customFormat="1" ht="15.75" thickBot="1">
      <c r="A7" s="362" t="s">
        <v>1679</v>
      </c>
      <c r="B7" s="363"/>
      <c r="C7" s="364">
        <f>'数据-取费表'!B2</f>
        <v>45805</v>
      </c>
      <c r="D7" s="365">
        <v>100</v>
      </c>
      <c r="E7" s="366"/>
      <c r="F7" s="367">
        <f>SUMIF(65:65,YEAR(E7)&amp;"-"&amp;INT((MONTH(E7)+2)/3),66:66)</f>
        <v>0</v>
      </c>
      <c r="G7" s="1973"/>
      <c r="H7" s="365">
        <f>SUMIF(65:65,YEAR(G7)&amp;"-"&amp;INT((MONTH(G7)+2)/3),66:66)</f>
        <v>0</v>
      </c>
      <c r="I7" s="1973"/>
      <c r="J7" s="365">
        <f>SUMIF(65:65,YEAR(I7)&amp;"-"&amp;INT((MONTH(I7)+2)/3),66:66)</f>
        <v>0</v>
      </c>
      <c r="K7" s="560"/>
      <c r="L7" s="2716"/>
      <c r="M7" s="2717"/>
      <c r="N7" s="2717"/>
      <c r="O7" s="2717"/>
      <c r="P7" s="3713" t="s">
        <v>1680</v>
      </c>
      <c r="Q7" s="3741"/>
      <c r="R7" s="700" t="s">
        <v>14</v>
      </c>
      <c r="S7" s="701">
        <f t="shared" ref="S7:S15" si="0">F7</f>
        <v>0</v>
      </c>
      <c r="T7" s="700" t="s">
        <v>14</v>
      </c>
      <c r="U7" s="701">
        <f t="shared" ref="U7:U15" si="1">H7</f>
        <v>0</v>
      </c>
      <c r="V7" s="700" t="s">
        <v>14</v>
      </c>
      <c r="W7" s="701">
        <f t="shared" ref="W7:W15" si="2">J7</f>
        <v>0</v>
      </c>
      <c r="X7" s="702"/>
      <c r="Y7" s="3713" t="s">
        <v>1680</v>
      </c>
      <c r="Z7" s="3714"/>
      <c r="AA7" s="703" t="e">
        <f>D7/F7</f>
        <v>#DIV/0!</v>
      </c>
      <c r="AB7" s="703" t="e">
        <f>D7/H7</f>
        <v>#DIV/0!</v>
      </c>
      <c r="AC7" s="703"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713" t="s">
        <v>1683</v>
      </c>
      <c r="Q8" s="3714"/>
      <c r="R8" s="700" t="s">
        <v>14</v>
      </c>
      <c r="S8" s="701">
        <f t="shared" si="0"/>
        <v>0</v>
      </c>
      <c r="T8" s="700" t="s">
        <v>14</v>
      </c>
      <c r="U8" s="701">
        <f t="shared" si="1"/>
        <v>0</v>
      </c>
      <c r="V8" s="700" t="s">
        <v>14</v>
      </c>
      <c r="W8" s="701">
        <f t="shared" si="2"/>
        <v>0</v>
      </c>
      <c r="X8" s="702"/>
      <c r="Y8" s="3713" t="s">
        <v>1683</v>
      </c>
      <c r="Z8" s="3714"/>
      <c r="AA8" s="703" t="e">
        <f t="shared" ref="AA8:AA40" si="3">D8/F8</f>
        <v>#DIV/0!</v>
      </c>
      <c r="AB8" s="703" t="e">
        <f t="shared" ref="AB8:AB40" si="4">D8/H8</f>
        <v>#DIV/0!</v>
      </c>
      <c r="AC8" s="703" t="e">
        <f t="shared" ref="AC8:AC40" si="5">D8/J8</f>
        <v>#DIV/0!</v>
      </c>
    </row>
    <row r="9" spans="1:29" s="108" customFormat="1">
      <c r="A9" s="369" t="s">
        <v>1684</v>
      </c>
      <c r="B9" s="63" t="s">
        <v>1685</v>
      </c>
      <c r="C9" s="1976"/>
      <c r="D9" s="126">
        <v>100</v>
      </c>
      <c r="E9" s="1976"/>
      <c r="F9" s="126">
        <f>SUMIF(70:70,E9,71:71)-SUMIF(70:70,C9,71:71)+100</f>
        <v>100</v>
      </c>
      <c r="G9" s="1976"/>
      <c r="H9" s="126">
        <f>SUMIF(70:70,G9,71:71)-SUMIF(70:70,C9,71:71)+100</f>
        <v>100</v>
      </c>
      <c r="I9" s="1976"/>
      <c r="J9" s="126">
        <f>SUMIF(70:70,I9,71:71)-SUMIF(70:70,C9,71:71)+100</f>
        <v>100</v>
      </c>
      <c r="K9" s="560"/>
      <c r="L9" s="2716"/>
      <c r="M9" s="2717"/>
      <c r="N9" s="2717"/>
      <c r="O9" s="2771"/>
      <c r="P9" s="3745" t="s">
        <v>1686</v>
      </c>
      <c r="Q9" s="1342" t="str">
        <f t="shared" ref="Q9:Q15" si="6">B9</f>
        <v>用途</v>
      </c>
      <c r="R9" s="700" t="s">
        <v>14</v>
      </c>
      <c r="S9" s="701">
        <f t="shared" si="0"/>
        <v>100</v>
      </c>
      <c r="T9" s="700" t="s">
        <v>14</v>
      </c>
      <c r="U9" s="701">
        <f t="shared" si="1"/>
        <v>100</v>
      </c>
      <c r="V9" s="700" t="s">
        <v>14</v>
      </c>
      <c r="W9" s="701">
        <f t="shared" si="2"/>
        <v>100</v>
      </c>
      <c r="X9" s="702"/>
      <c r="Y9" s="3657" t="s">
        <v>1687</v>
      </c>
      <c r="Z9" s="52" t="str">
        <f t="shared" ref="Z9:Z15" si="7">Q9</f>
        <v>用途</v>
      </c>
      <c r="AA9" s="703">
        <f t="shared" si="3"/>
        <v>1</v>
      </c>
      <c r="AB9" s="703">
        <f t="shared" si="4"/>
        <v>1</v>
      </c>
      <c r="AC9" s="703">
        <f t="shared" si="5"/>
        <v>1</v>
      </c>
    </row>
    <row r="10" spans="1:29" s="378" customFormat="1" ht="27">
      <c r="A10" s="374"/>
      <c r="B10" s="375" t="s">
        <v>1688</v>
      </c>
      <c r="C10" s="383"/>
      <c r="D10" s="127">
        <v>100</v>
      </c>
      <c r="E10" s="383"/>
      <c r="F10" s="127">
        <f>ROUND(100/'数据-取费表'!G16,0)</f>
        <v>113</v>
      </c>
      <c r="G10" s="383"/>
      <c r="H10" s="127">
        <f>ROUND(100/'数据-取费表'!G16,0)</f>
        <v>113</v>
      </c>
      <c r="I10" s="383"/>
      <c r="J10" s="127">
        <f>ROUND(100/'数据-取费表'!G16,0)</f>
        <v>113</v>
      </c>
      <c r="K10" s="619"/>
      <c r="L10" s="2718"/>
      <c r="M10" s="2719"/>
      <c r="N10" s="2719"/>
      <c r="O10" s="2772"/>
      <c r="P10" s="3745"/>
      <c r="Q10" s="1342" t="str">
        <f t="shared" si="6"/>
        <v>土地使用年限（年）</v>
      </c>
      <c r="R10" s="700" t="s">
        <v>14</v>
      </c>
      <c r="S10" s="701">
        <f t="shared" si="0"/>
        <v>113</v>
      </c>
      <c r="T10" s="700" t="s">
        <v>14</v>
      </c>
      <c r="U10" s="701">
        <f t="shared" si="1"/>
        <v>113</v>
      </c>
      <c r="V10" s="700" t="s">
        <v>14</v>
      </c>
      <c r="W10" s="701">
        <f t="shared" si="2"/>
        <v>113</v>
      </c>
      <c r="X10" s="702"/>
      <c r="Y10" s="3657"/>
      <c r="Z10" s="52" t="str">
        <f t="shared" si="7"/>
        <v>土地使用年限（年）</v>
      </c>
      <c r="AA10" s="703">
        <f t="shared" si="3"/>
        <v>0.88495575221238942</v>
      </c>
      <c r="AB10" s="703">
        <f t="shared" si="4"/>
        <v>0.88495575221238942</v>
      </c>
      <c r="AC10" s="703">
        <f t="shared" si="5"/>
        <v>0.88495575221238942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0"/>
      <c r="L11" s="2720"/>
      <c r="M11" s="2715"/>
      <c r="N11" s="2715"/>
      <c r="O11" s="2773"/>
      <c r="P11" s="3745"/>
      <c r="Q11" s="1342" t="str">
        <f t="shared" si="6"/>
        <v>容积率</v>
      </c>
      <c r="R11" s="700" t="s">
        <v>14</v>
      </c>
      <c r="S11" s="701" t="e">
        <f t="shared" si="0"/>
        <v>#N/A</v>
      </c>
      <c r="T11" s="700" t="s">
        <v>14</v>
      </c>
      <c r="U11" s="701" t="e">
        <f t="shared" si="1"/>
        <v>#N/A</v>
      </c>
      <c r="V11" s="700" t="s">
        <v>14</v>
      </c>
      <c r="W11" s="701" t="e">
        <f t="shared" si="2"/>
        <v>#N/A</v>
      </c>
      <c r="X11" s="702"/>
      <c r="Y11" s="3657"/>
      <c r="Z11" s="52" t="str">
        <f t="shared" si="7"/>
        <v>容积率</v>
      </c>
      <c r="AA11" s="703" t="e">
        <f t="shared" si="3"/>
        <v>#N/A</v>
      </c>
      <c r="AB11" s="703" t="e">
        <f t="shared" si="4"/>
        <v>#N/A</v>
      </c>
      <c r="AC11" s="703" t="e">
        <f t="shared" si="5"/>
        <v>#N/A</v>
      </c>
    </row>
    <row r="12" spans="1:29" s="108" customFormat="1" ht="15">
      <c r="A12" s="382"/>
      <c r="B12" s="1892">
        <v>111</v>
      </c>
      <c r="C12" s="383"/>
      <c r="D12" s="384">
        <v>100</v>
      </c>
      <c r="E12" s="498"/>
      <c r="F12" s="127">
        <f>SUMIF(77:77,E12,78:78)-SUMIF(77:77,C12,78:78)+100</f>
        <v>100</v>
      </c>
      <c r="G12" s="621"/>
      <c r="H12" s="127">
        <f>SUMIF(77:77,G12,78:78)-SUMIF(77:77,C12,78:78)+100</f>
        <v>100</v>
      </c>
      <c r="I12" s="498"/>
      <c r="J12" s="127">
        <f>SUMIF(77:77,I12,78:78)-SUMIF(77:77,C12,78:78)+100</f>
        <v>100</v>
      </c>
      <c r="K12" s="619"/>
      <c r="L12" s="2716"/>
      <c r="M12" s="2717"/>
      <c r="N12" s="2717"/>
      <c r="O12" s="2771"/>
      <c r="P12" s="3745"/>
      <c r="Q12" s="1342">
        <f t="shared" si="6"/>
        <v>111</v>
      </c>
      <c r="R12" s="700" t="s">
        <v>14</v>
      </c>
      <c r="S12" s="701">
        <f t="shared" si="0"/>
        <v>100</v>
      </c>
      <c r="T12" s="700" t="s">
        <v>14</v>
      </c>
      <c r="U12" s="701">
        <f t="shared" si="1"/>
        <v>100</v>
      </c>
      <c r="V12" s="700" t="s">
        <v>14</v>
      </c>
      <c r="W12" s="701">
        <f t="shared" si="2"/>
        <v>100</v>
      </c>
      <c r="X12" s="702"/>
      <c r="Y12" s="3657"/>
      <c r="Z12" s="52">
        <f t="shared" si="7"/>
        <v>111</v>
      </c>
      <c r="AA12" s="703">
        <f>D12/F12</f>
        <v>1</v>
      </c>
      <c r="AB12" s="703">
        <f>D12/H12</f>
        <v>1</v>
      </c>
      <c r="AC12" s="703">
        <f>D12/J12</f>
        <v>1</v>
      </c>
    </row>
    <row r="13" spans="1:29" ht="15">
      <c r="A13" s="379"/>
      <c r="B13" s="1892">
        <v>111</v>
      </c>
      <c r="C13" s="385"/>
      <c r="D13" s="386">
        <v>100</v>
      </c>
      <c r="E13" s="498"/>
      <c r="F13" s="127">
        <f>SUMIF(79:79,E13,80:80)-SUMIF(79:79,C13,80:80)+100</f>
        <v>100</v>
      </c>
      <c r="G13" s="621"/>
      <c r="H13" s="386">
        <f>SUMIF(79:79,G13,80:80)-SUMIF(79:79,C13,80:80)+100</f>
        <v>100</v>
      </c>
      <c r="I13" s="498"/>
      <c r="J13" s="386">
        <f>SUMIF(79:79,I13,80:80)-SUMIF(79:79,C13,80:80)+100</f>
        <v>100</v>
      </c>
      <c r="K13" s="619"/>
      <c r="L13" s="2721"/>
      <c r="M13" s="2715"/>
      <c r="N13" s="2715"/>
      <c r="O13" s="2773"/>
      <c r="P13" s="3745"/>
      <c r="Q13" s="1342">
        <f t="shared" si="6"/>
        <v>111</v>
      </c>
      <c r="R13" s="700" t="s">
        <v>14</v>
      </c>
      <c r="S13" s="701">
        <f t="shared" si="0"/>
        <v>100</v>
      </c>
      <c r="T13" s="700" t="s">
        <v>14</v>
      </c>
      <c r="U13" s="701">
        <f t="shared" si="1"/>
        <v>100</v>
      </c>
      <c r="V13" s="700" t="s">
        <v>14</v>
      </c>
      <c r="W13" s="701">
        <f t="shared" si="2"/>
        <v>100</v>
      </c>
      <c r="X13" s="702"/>
      <c r="Y13" s="3657"/>
      <c r="Z13" s="52">
        <f t="shared" si="7"/>
        <v>111</v>
      </c>
      <c r="AA13" s="703">
        <f t="shared" si="3"/>
        <v>1</v>
      </c>
      <c r="AB13" s="703">
        <f t="shared" si="4"/>
        <v>1</v>
      </c>
      <c r="AC13" s="703">
        <f t="shared" si="5"/>
        <v>1</v>
      </c>
    </row>
    <row r="14" spans="1:29" ht="15.75" thickBot="1">
      <c r="A14" s="387"/>
      <c r="B14" s="1894">
        <v>111</v>
      </c>
      <c r="C14" s="388"/>
      <c r="D14" s="389">
        <v>100</v>
      </c>
      <c r="E14" s="498"/>
      <c r="F14" s="389">
        <f>SUMIF(81:81,E14,82:82)-SUMIF(81:81,C14,82:82)+100</f>
        <v>100</v>
      </c>
      <c r="G14" s="621"/>
      <c r="H14" s="389">
        <f>SUMIF(81:81,G14,82:82)-SUMIF(81:81,C14,82:82)+100</f>
        <v>100</v>
      </c>
      <c r="I14" s="498"/>
      <c r="J14" s="389">
        <f>SUMIF(81:81,I14,82:82)-SUMIF(81:81,C14,82:82)+100</f>
        <v>100</v>
      </c>
      <c r="K14" s="619"/>
      <c r="L14" s="2721"/>
      <c r="M14" s="2715"/>
      <c r="N14" s="2715"/>
      <c r="O14" s="2773"/>
      <c r="P14" s="3745"/>
      <c r="Q14" s="1342">
        <f t="shared" si="6"/>
        <v>111</v>
      </c>
      <c r="R14" s="700" t="s">
        <v>14</v>
      </c>
      <c r="S14" s="701">
        <f t="shared" si="0"/>
        <v>100</v>
      </c>
      <c r="T14" s="700" t="s">
        <v>14</v>
      </c>
      <c r="U14" s="701">
        <f t="shared" si="1"/>
        <v>100</v>
      </c>
      <c r="V14" s="700" t="s">
        <v>14</v>
      </c>
      <c r="W14" s="701">
        <f t="shared" si="2"/>
        <v>100</v>
      </c>
      <c r="X14" s="702"/>
      <c r="Y14" s="3657"/>
      <c r="Z14" s="52">
        <f t="shared" si="7"/>
        <v>111</v>
      </c>
      <c r="AA14" s="703">
        <f t="shared" si="3"/>
        <v>1</v>
      </c>
      <c r="AB14" s="703">
        <f t="shared" si="4"/>
        <v>1</v>
      </c>
      <c r="AC14" s="703">
        <f t="shared" si="5"/>
        <v>1</v>
      </c>
    </row>
    <row r="15" spans="1:29" ht="57">
      <c r="A15" s="391" t="s">
        <v>1690</v>
      </c>
      <c r="B15" s="576" t="s">
        <v>1920</v>
      </c>
      <c r="C15" s="1970"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0"/>
      <c r="L15" s="2721"/>
      <c r="M15" s="2715"/>
      <c r="N15" s="2715"/>
      <c r="O15" s="2773"/>
      <c r="P15" s="3747" t="s">
        <v>1691</v>
      </c>
      <c r="Q15" s="1351" t="str">
        <f t="shared" si="6"/>
        <v>产业集聚程度</v>
      </c>
      <c r="R15" s="704" t="s">
        <v>14</v>
      </c>
      <c r="S15" s="705">
        <f t="shared" si="0"/>
        <v>100</v>
      </c>
      <c r="T15" s="704" t="s">
        <v>14</v>
      </c>
      <c r="U15" s="705">
        <f t="shared" si="1"/>
        <v>100</v>
      </c>
      <c r="V15" s="704" t="s">
        <v>14</v>
      </c>
      <c r="W15" s="705">
        <f t="shared" si="2"/>
        <v>100</v>
      </c>
      <c r="X15" s="1354"/>
      <c r="Y15" s="3747" t="s">
        <v>1691</v>
      </c>
      <c r="Z15" s="1355" t="str">
        <f t="shared" si="7"/>
        <v>产业集聚程度</v>
      </c>
      <c r="AA15" s="1352">
        <f t="shared" si="3"/>
        <v>1</v>
      </c>
      <c r="AB15" s="1352">
        <f t="shared" si="4"/>
        <v>1</v>
      </c>
      <c r="AC15" s="1352">
        <f t="shared" si="5"/>
        <v>1</v>
      </c>
    </row>
    <row r="16" spans="1:29" ht="15">
      <c r="A16" s="379"/>
      <c r="B16" s="577"/>
      <c r="C16" s="398"/>
      <c r="D16" s="399"/>
      <c r="E16" s="1903"/>
      <c r="F16" s="399"/>
      <c r="G16" s="1903"/>
      <c r="H16" s="401"/>
      <c r="I16" s="1903"/>
      <c r="J16" s="399"/>
      <c r="K16" s="619"/>
      <c r="L16" s="2721"/>
      <c r="M16" s="2715"/>
      <c r="N16" s="2715"/>
      <c r="O16" s="2773"/>
      <c r="P16" s="3748"/>
      <c r="Q16" s="1351"/>
      <c r="R16" s="704"/>
      <c r="S16" s="705"/>
      <c r="T16" s="704"/>
      <c r="U16" s="705"/>
      <c r="V16" s="704"/>
      <c r="W16" s="705"/>
      <c r="X16" s="1354"/>
      <c r="Y16" s="3748"/>
      <c r="Z16" s="1355"/>
      <c r="AA16" s="1352">
        <v>1</v>
      </c>
      <c r="AB16" s="1352">
        <v>1</v>
      </c>
      <c r="AC16" s="1352">
        <v>1</v>
      </c>
    </row>
    <row r="17" spans="1:29" ht="85.5">
      <c r="A17" s="379"/>
      <c r="B17" s="578" t="s">
        <v>1833</v>
      </c>
      <c r="C17" s="1899"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0"/>
      <c r="L17" s="2721"/>
      <c r="M17" s="2715"/>
      <c r="N17" s="2715"/>
      <c r="O17" s="2773"/>
      <c r="P17" s="3748"/>
      <c r="Q17" s="1351" t="str">
        <f>B17</f>
        <v>交通便捷度</v>
      </c>
      <c r="R17" s="704" t="s">
        <v>14</v>
      </c>
      <c r="S17" s="705">
        <f>F17</f>
        <v>100</v>
      </c>
      <c r="T17" s="704" t="s">
        <v>14</v>
      </c>
      <c r="U17" s="705">
        <f>H17</f>
        <v>100</v>
      </c>
      <c r="V17" s="704" t="s">
        <v>14</v>
      </c>
      <c r="W17" s="705">
        <f>J17</f>
        <v>100</v>
      </c>
      <c r="X17" s="1354"/>
      <c r="Y17" s="3748"/>
      <c r="Z17" s="1355" t="str">
        <f>Q17</f>
        <v>交通便捷度</v>
      </c>
      <c r="AA17" s="1352">
        <f t="shared" si="3"/>
        <v>1</v>
      </c>
      <c r="AB17" s="1352">
        <f t="shared" si="4"/>
        <v>1</v>
      </c>
      <c r="AC17" s="1352">
        <f t="shared" si="5"/>
        <v>1</v>
      </c>
    </row>
    <row r="18" spans="1:29" ht="15">
      <c r="A18" s="379"/>
      <c r="B18" s="579"/>
      <c r="C18" s="398"/>
      <c r="D18" s="399"/>
      <c r="E18" s="1897"/>
      <c r="F18" s="399"/>
      <c r="G18" s="1897"/>
      <c r="H18" s="399"/>
      <c r="I18" s="1896"/>
      <c r="J18" s="399"/>
      <c r="K18" s="619"/>
      <c r="L18" s="2721"/>
      <c r="M18" s="2715"/>
      <c r="N18" s="2715"/>
      <c r="O18" s="2773"/>
      <c r="P18" s="3748"/>
      <c r="Q18" s="1351"/>
      <c r="R18" s="704"/>
      <c r="S18" s="705"/>
      <c r="T18" s="704"/>
      <c r="U18" s="705"/>
      <c r="V18" s="704"/>
      <c r="W18" s="705"/>
      <c r="X18" s="1354"/>
      <c r="Y18" s="3748"/>
      <c r="Z18" s="1355"/>
      <c r="AA18" s="1352">
        <v>1</v>
      </c>
      <c r="AB18" s="1352">
        <v>1</v>
      </c>
      <c r="AC18" s="1352">
        <v>1</v>
      </c>
    </row>
    <row r="19" spans="1:29" ht="15">
      <c r="A19" s="379"/>
      <c r="B19" s="578" t="s">
        <v>1871</v>
      </c>
      <c r="C19" s="1899">
        <f>估价对象房地状况!G17</f>
        <v>0</v>
      </c>
      <c r="D19" s="401">
        <v>100</v>
      </c>
      <c r="E19" s="403"/>
      <c r="F19" s="406">
        <f>SUMIF(87:87,E20,88:88)-SUMIF(87:87,C20,88:88)+100</f>
        <v>100</v>
      </c>
      <c r="G19" s="403"/>
      <c r="H19" s="406">
        <f>SUMIF(87:87,G20,88:88)-SUMIF(87:87,C20,88:88)+100</f>
        <v>100</v>
      </c>
      <c r="I19" s="403"/>
      <c r="J19" s="406">
        <f>SUMIF(87:87,I20,88:88)-SUMIF(87:87,C20,88:88)+100</f>
        <v>100</v>
      </c>
      <c r="K19" s="620"/>
      <c r="L19" s="2721"/>
      <c r="M19" s="2715"/>
      <c r="N19" s="2715"/>
      <c r="O19" s="2773"/>
      <c r="P19" s="3748"/>
      <c r="Q19" s="1351" t="str">
        <f t="shared" ref="Q19:Q33" si="8">B19</f>
        <v>区域土地利用方向</v>
      </c>
      <c r="R19" s="704" t="s">
        <v>14</v>
      </c>
      <c r="S19" s="705">
        <f>F19</f>
        <v>100</v>
      </c>
      <c r="T19" s="704" t="s">
        <v>14</v>
      </c>
      <c r="U19" s="705">
        <f>H19</f>
        <v>100</v>
      </c>
      <c r="V19" s="704" t="s">
        <v>14</v>
      </c>
      <c r="W19" s="705">
        <f>J19</f>
        <v>100</v>
      </c>
      <c r="X19" s="1354"/>
      <c r="Y19" s="3748"/>
      <c r="Z19" s="1355" t="str">
        <f>Q19</f>
        <v>区域土地利用方向</v>
      </c>
      <c r="AA19" s="1352">
        <f t="shared" si="3"/>
        <v>1</v>
      </c>
      <c r="AB19" s="1352">
        <f t="shared" si="4"/>
        <v>1</v>
      </c>
      <c r="AC19" s="1352">
        <f t="shared" si="5"/>
        <v>1</v>
      </c>
    </row>
    <row r="20" spans="1:29" ht="15">
      <c r="A20" s="358"/>
      <c r="B20" s="579"/>
      <c r="C20" s="398"/>
      <c r="D20" s="399"/>
      <c r="E20" s="1897"/>
      <c r="F20" s="399"/>
      <c r="G20" s="1897"/>
      <c r="H20" s="399"/>
      <c r="I20" s="1897"/>
      <c r="J20" s="399"/>
      <c r="K20" s="739"/>
      <c r="L20" s="2721"/>
      <c r="M20" s="2715"/>
      <c r="N20" s="2715"/>
      <c r="O20" s="2773"/>
      <c r="P20" s="3748"/>
      <c r="Q20" s="1351"/>
      <c r="R20" s="704"/>
      <c r="S20" s="705"/>
      <c r="T20" s="704"/>
      <c r="U20" s="705"/>
      <c r="V20" s="704"/>
      <c r="W20" s="705"/>
      <c r="X20" s="1354"/>
      <c r="Y20" s="3748"/>
      <c r="Z20" s="1355"/>
      <c r="AA20" s="1352"/>
      <c r="AB20" s="1352"/>
      <c r="AC20" s="1352"/>
    </row>
    <row r="21" spans="1:29" ht="71.25">
      <c r="A21" s="358"/>
      <c r="B21" s="578" t="s">
        <v>1921</v>
      </c>
      <c r="C21" s="1899"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0"/>
      <c r="L21" s="2721"/>
      <c r="M21" s="2715"/>
      <c r="N21" s="2715"/>
      <c r="O21" s="2773"/>
      <c r="P21" s="3748"/>
      <c r="Q21" s="1351" t="str">
        <f t="shared" si="8"/>
        <v>环境状况</v>
      </c>
      <c r="R21" s="704" t="s">
        <v>14</v>
      </c>
      <c r="S21" s="705">
        <f>F21</f>
        <v>100</v>
      </c>
      <c r="T21" s="704" t="s">
        <v>14</v>
      </c>
      <c r="U21" s="705">
        <f>H21</f>
        <v>100</v>
      </c>
      <c r="V21" s="704" t="s">
        <v>14</v>
      </c>
      <c r="W21" s="705">
        <f>J21</f>
        <v>100</v>
      </c>
      <c r="X21" s="1354"/>
      <c r="Y21" s="3748"/>
      <c r="Z21" s="1355" t="str">
        <f>Q21</f>
        <v>环境状况</v>
      </c>
      <c r="AA21" s="1352">
        <f t="shared" si="3"/>
        <v>1</v>
      </c>
      <c r="AB21" s="1352">
        <f t="shared" si="4"/>
        <v>1</v>
      </c>
      <c r="AC21" s="1352">
        <f t="shared" si="5"/>
        <v>1</v>
      </c>
    </row>
    <row r="22" spans="1:29" ht="15">
      <c r="A22" s="358"/>
      <c r="B22" s="579"/>
      <c r="C22" s="398"/>
      <c r="D22" s="399"/>
      <c r="E22" s="1903"/>
      <c r="F22" s="399"/>
      <c r="G22" s="1903"/>
      <c r="H22" s="399"/>
      <c r="I22" s="398"/>
      <c r="J22" s="399"/>
      <c r="K22" s="619"/>
      <c r="L22" s="2721"/>
      <c r="M22" s="2715"/>
      <c r="N22" s="2715"/>
      <c r="O22" s="2773"/>
      <c r="P22" s="3748"/>
      <c r="Q22" s="1351"/>
      <c r="R22" s="704"/>
      <c r="S22" s="705"/>
      <c r="T22" s="704"/>
      <c r="U22" s="705"/>
      <c r="V22" s="704"/>
      <c r="W22" s="705"/>
      <c r="X22" s="1354"/>
      <c r="Y22" s="3748"/>
      <c r="Z22" s="1355"/>
      <c r="AA22" s="1352">
        <v>1</v>
      </c>
      <c r="AB22" s="1352">
        <v>1</v>
      </c>
      <c r="AC22" s="1352">
        <v>1</v>
      </c>
    </row>
    <row r="23" spans="1:29" s="108" customFormat="1" ht="42.75">
      <c r="A23" s="596"/>
      <c r="B23" s="580" t="s">
        <v>1778</v>
      </c>
      <c r="C23" s="1899"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0"/>
      <c r="L23" s="2716"/>
      <c r="M23" s="2717"/>
      <c r="N23" s="2717"/>
      <c r="O23" s="2771"/>
      <c r="P23" s="3748"/>
      <c r="Q23" s="1342" t="str">
        <f t="shared" si="8"/>
        <v>公共配套设施</v>
      </c>
      <c r="R23" s="700" t="s">
        <v>14</v>
      </c>
      <c r="S23" s="701">
        <f>F23</f>
        <v>100</v>
      </c>
      <c r="T23" s="700" t="s">
        <v>14</v>
      </c>
      <c r="U23" s="701">
        <f>H23</f>
        <v>100</v>
      </c>
      <c r="V23" s="700" t="s">
        <v>14</v>
      </c>
      <c r="W23" s="701">
        <f>J23</f>
        <v>100</v>
      </c>
      <c r="X23" s="702"/>
      <c r="Y23" s="3748"/>
      <c r="Z23" s="52" t="str">
        <f>Q23</f>
        <v>公共配套设施</v>
      </c>
      <c r="AA23" s="1352">
        <f>D23/F23</f>
        <v>1</v>
      </c>
      <c r="AB23" s="1352">
        <f>D23/H23</f>
        <v>1</v>
      </c>
      <c r="AC23" s="1352">
        <f>D23/J23</f>
        <v>1</v>
      </c>
    </row>
    <row r="24" spans="1:29" s="108" customFormat="1" ht="15">
      <c r="A24" s="596"/>
      <c r="B24" s="579"/>
      <c r="C24" s="1977"/>
      <c r="D24" s="399"/>
      <c r="E24" s="1903"/>
      <c r="F24" s="399"/>
      <c r="G24" s="1903"/>
      <c r="H24" s="399"/>
      <c r="I24" s="398"/>
      <c r="J24" s="399"/>
      <c r="K24" s="619"/>
      <c r="L24" s="2716"/>
      <c r="M24" s="2717"/>
      <c r="N24" s="2717"/>
      <c r="O24" s="2771"/>
      <c r="P24" s="3748"/>
      <c r="Q24" s="1342"/>
      <c r="R24" s="700"/>
      <c r="S24" s="701"/>
      <c r="T24" s="700"/>
      <c r="U24" s="701"/>
      <c r="V24" s="700"/>
      <c r="W24" s="701"/>
      <c r="X24" s="702"/>
      <c r="Y24" s="3748"/>
      <c r="Z24" s="52"/>
      <c r="AA24" s="703">
        <v>1</v>
      </c>
      <c r="AB24" s="703">
        <v>1</v>
      </c>
      <c r="AC24" s="703">
        <v>1</v>
      </c>
    </row>
    <row r="25" spans="1:29" s="108" customFormat="1" ht="28.5">
      <c r="A25" s="596"/>
      <c r="B25" s="580" t="s">
        <v>1779</v>
      </c>
      <c r="C25" s="1899"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0"/>
      <c r="L25" s="2716"/>
      <c r="M25" s="2717"/>
      <c r="N25" s="2717"/>
      <c r="O25" s="2771"/>
      <c r="P25" s="3748"/>
      <c r="Q25" s="1342" t="str">
        <f t="shared" ref="Q25" si="9">B25</f>
        <v>基础设施水平</v>
      </c>
      <c r="R25" s="700" t="s">
        <v>14</v>
      </c>
      <c r="S25" s="701">
        <f>F25</f>
        <v>100</v>
      </c>
      <c r="T25" s="700" t="s">
        <v>14</v>
      </c>
      <c r="U25" s="701">
        <f>H25</f>
        <v>100</v>
      </c>
      <c r="V25" s="700" t="s">
        <v>14</v>
      </c>
      <c r="W25" s="701">
        <f>J25</f>
        <v>100</v>
      </c>
      <c r="X25" s="702"/>
      <c r="Y25" s="3748"/>
      <c r="Z25" s="52" t="str">
        <f>Q25</f>
        <v>基础设施水平</v>
      </c>
      <c r="AA25" s="1352">
        <f>D25/F25</f>
        <v>1</v>
      </c>
      <c r="AB25" s="1352">
        <f>D25/H25</f>
        <v>1</v>
      </c>
      <c r="AC25" s="1352">
        <f>D25/J25</f>
        <v>1</v>
      </c>
    </row>
    <row r="26" spans="1:29" s="108" customFormat="1" ht="15">
      <c r="A26" s="596"/>
      <c r="B26" s="579"/>
      <c r="C26" s="1977"/>
      <c r="D26" s="399"/>
      <c r="E26" s="1978"/>
      <c r="F26" s="399"/>
      <c r="G26" s="1978"/>
      <c r="H26" s="399"/>
      <c r="I26" s="1978"/>
      <c r="J26" s="399"/>
      <c r="K26" s="619"/>
      <c r="L26" s="2716"/>
      <c r="M26" s="2717"/>
      <c r="N26" s="2717"/>
      <c r="O26" s="2771"/>
      <c r="P26" s="3748"/>
      <c r="Q26" s="1342"/>
      <c r="R26" s="700"/>
      <c r="S26" s="701"/>
      <c r="T26" s="700"/>
      <c r="U26" s="701"/>
      <c r="V26" s="700"/>
      <c r="W26" s="701"/>
      <c r="X26" s="702"/>
      <c r="Y26" s="3748"/>
      <c r="Z26" s="52"/>
      <c r="AA26" s="703">
        <v>1</v>
      </c>
      <c r="AB26" s="703">
        <v>1</v>
      </c>
      <c r="AC26" s="703">
        <v>1</v>
      </c>
    </row>
    <row r="27" spans="1:29" ht="15">
      <c r="A27" s="379"/>
      <c r="B27" s="579" t="s">
        <v>1780</v>
      </c>
      <c r="C27" s="565"/>
      <c r="D27" s="386">
        <v>100</v>
      </c>
      <c r="E27" s="581"/>
      <c r="F27" s="386">
        <f>SUMIF(95:95,E27,96:96)-SUMIF(95:95,C27,96:96)+100</f>
        <v>100</v>
      </c>
      <c r="G27" s="581"/>
      <c r="H27" s="386">
        <f>SUMIF(95:95,G27,96:96)-SUMIF(95:95,C27,96:96)+100</f>
        <v>100</v>
      </c>
      <c r="I27" s="581"/>
      <c r="J27" s="386">
        <f>SUMIF(95:95,I27,96:96)-SUMIF(95:95,C27,96:96)+100</f>
        <v>100</v>
      </c>
      <c r="K27" s="620"/>
      <c r="L27" s="2721"/>
      <c r="M27" s="2715"/>
      <c r="N27" s="2715"/>
      <c r="O27" s="2773"/>
      <c r="P27" s="3748"/>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3748"/>
      <c r="Z27" s="1355" t="str">
        <f t="shared" ref="Z27:Z40" si="13">Q27</f>
        <v>临街状况</v>
      </c>
      <c r="AA27" s="1352">
        <f t="shared" si="3"/>
        <v>1</v>
      </c>
      <c r="AB27" s="1352">
        <f t="shared" si="4"/>
        <v>1</v>
      </c>
      <c r="AC27" s="1352">
        <f t="shared" si="5"/>
        <v>1</v>
      </c>
    </row>
    <row r="28" spans="1:29" ht="27">
      <c r="A28" s="379"/>
      <c r="B28" s="580" t="s">
        <v>1815</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0"/>
      <c r="L28" s="2721"/>
      <c r="M28" s="2715"/>
      <c r="N28" s="2715"/>
      <c r="O28" s="2773"/>
      <c r="P28" s="3748"/>
      <c r="Q28" s="1351" t="str">
        <f t="shared" si="8"/>
        <v>毗邻道路的类型与等级</v>
      </c>
      <c r="R28" s="704" t="s">
        <v>14</v>
      </c>
      <c r="S28" s="705">
        <f t="shared" si="10"/>
        <v>100</v>
      </c>
      <c r="T28" s="704" t="s">
        <v>14</v>
      </c>
      <c r="U28" s="705">
        <f t="shared" si="11"/>
        <v>100</v>
      </c>
      <c r="V28" s="704" t="s">
        <v>14</v>
      </c>
      <c r="W28" s="705">
        <f t="shared" si="12"/>
        <v>100</v>
      </c>
      <c r="X28" s="1354"/>
      <c r="Y28" s="3748"/>
      <c r="Z28" s="1355" t="str">
        <f t="shared" si="13"/>
        <v>毗邻道路的类型与等级</v>
      </c>
      <c r="AA28" s="1352">
        <f t="shared" si="3"/>
        <v>1</v>
      </c>
      <c r="AB28" s="1352">
        <f t="shared" si="4"/>
        <v>1</v>
      </c>
      <c r="AC28" s="1352">
        <f t="shared" si="5"/>
        <v>1</v>
      </c>
    </row>
    <row r="29" spans="1:29" ht="15">
      <c r="A29" s="379"/>
      <c r="B29" s="579"/>
      <c r="C29" s="398"/>
      <c r="D29" s="399"/>
      <c r="E29" s="1903"/>
      <c r="F29" s="399"/>
      <c r="G29" s="1903"/>
      <c r="H29" s="399"/>
      <c r="I29" s="1903"/>
      <c r="J29" s="399"/>
      <c r="K29" s="562"/>
      <c r="L29" s="2721"/>
      <c r="M29" s="2715"/>
      <c r="N29" s="2715"/>
      <c r="O29" s="2773"/>
      <c r="P29" s="3748"/>
      <c r="Q29" s="1351"/>
      <c r="R29" s="704"/>
      <c r="S29" s="705"/>
      <c r="T29" s="704"/>
      <c r="U29" s="705"/>
      <c r="V29" s="704"/>
      <c r="W29" s="705"/>
      <c r="X29" s="1354"/>
      <c r="Y29" s="3748"/>
      <c r="Z29" s="1355"/>
      <c r="AA29" s="1352">
        <v>1</v>
      </c>
      <c r="AB29" s="1352">
        <v>1</v>
      </c>
      <c r="AC29" s="1352">
        <v>1</v>
      </c>
    </row>
    <row r="30" spans="1:29" ht="15">
      <c r="A30" s="379"/>
      <c r="B30" s="601" t="s">
        <v>1873</v>
      </c>
      <c r="C30" s="1135">
        <f>估价对象房地状况!G23</f>
        <v>0</v>
      </c>
      <c r="D30" s="386">
        <v>100</v>
      </c>
      <c r="E30" s="581"/>
      <c r="F30" s="386">
        <f>SUMIF(99:99,E30,100:100)-SUMIF(99:99,C30,100:100)+100</f>
        <v>100</v>
      </c>
      <c r="G30" s="581"/>
      <c r="H30" s="386">
        <f>SUMIF(99:99,G30,100:100)-SUMIF(99:99,C30,100:100)+100</f>
        <v>100</v>
      </c>
      <c r="I30" s="581"/>
      <c r="J30" s="386">
        <f>SUMIF(99:99,I30,100:100)-SUMIF(99:99,C30,100:100)+100</f>
        <v>100</v>
      </c>
      <c r="K30" s="561"/>
      <c r="L30" s="2721"/>
      <c r="M30" s="2715"/>
      <c r="N30" s="2715"/>
      <c r="O30" s="2773"/>
      <c r="P30" s="3748"/>
      <c r="Q30" s="1351" t="str">
        <f t="shared" si="8"/>
        <v>土地级别</v>
      </c>
      <c r="R30" s="704" t="s">
        <v>14</v>
      </c>
      <c r="S30" s="705">
        <f t="shared" si="10"/>
        <v>100</v>
      </c>
      <c r="T30" s="704" t="s">
        <v>14</v>
      </c>
      <c r="U30" s="705">
        <f t="shared" si="11"/>
        <v>100</v>
      </c>
      <c r="V30" s="704" t="s">
        <v>14</v>
      </c>
      <c r="W30" s="705">
        <f t="shared" si="12"/>
        <v>100</v>
      </c>
      <c r="X30" s="1354"/>
      <c r="Y30" s="3748"/>
      <c r="Z30" s="1355" t="str">
        <f t="shared" si="13"/>
        <v>土地级别</v>
      </c>
      <c r="AA30" s="1352">
        <f t="shared" si="3"/>
        <v>1</v>
      </c>
      <c r="AB30" s="1352">
        <f t="shared" si="4"/>
        <v>1</v>
      </c>
      <c r="AC30" s="1352">
        <f t="shared" si="5"/>
        <v>1</v>
      </c>
    </row>
    <row r="31" spans="1:29" ht="15">
      <c r="A31" s="358"/>
      <c r="B31" s="1965">
        <v>111</v>
      </c>
      <c r="C31" s="621"/>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748"/>
      <c r="Q31" s="1351">
        <f t="shared" si="8"/>
        <v>111</v>
      </c>
      <c r="R31" s="704" t="s">
        <v>14</v>
      </c>
      <c r="S31" s="705">
        <f t="shared" si="10"/>
        <v>100</v>
      </c>
      <c r="T31" s="704" t="s">
        <v>14</v>
      </c>
      <c r="U31" s="705">
        <f t="shared" si="11"/>
        <v>100</v>
      </c>
      <c r="V31" s="704" t="s">
        <v>14</v>
      </c>
      <c r="W31" s="705">
        <f t="shared" si="12"/>
        <v>100</v>
      </c>
      <c r="X31" s="1354"/>
      <c r="Y31" s="3748"/>
      <c r="Z31" s="1355">
        <f t="shared" si="13"/>
        <v>111</v>
      </c>
      <c r="AA31" s="1352">
        <f t="shared" si="3"/>
        <v>1</v>
      </c>
      <c r="AB31" s="1352">
        <f t="shared" si="4"/>
        <v>1</v>
      </c>
      <c r="AC31" s="1352">
        <f t="shared" si="5"/>
        <v>1</v>
      </c>
    </row>
    <row r="32" spans="1:29" ht="15">
      <c r="A32" s="622"/>
      <c r="B32" s="1991">
        <v>111</v>
      </c>
      <c r="C32" s="621"/>
      <c r="D32" s="386">
        <v>100</v>
      </c>
      <c r="E32" s="428"/>
      <c r="F32" s="386">
        <f>SUMIF(103:103,E33,104:104)-SUMIF(103:103,C33,104:104)+100</f>
        <v>100</v>
      </c>
      <c r="G32" s="428"/>
      <c r="H32" s="386">
        <f>SUMIF(103:103,G32,104:104)-SUMIF(103:103,C32,104:104)+100</f>
        <v>100</v>
      </c>
      <c r="I32" s="621"/>
      <c r="J32" s="386">
        <f>SUMIF(103:103,I32,104:104)-SUMIF(103:103,C32,104:104)+100</f>
        <v>100</v>
      </c>
      <c r="K32" s="562"/>
      <c r="L32" s="2721"/>
      <c r="M32" s="2715"/>
      <c r="N32" s="2715"/>
      <c r="O32" s="2773"/>
      <c r="P32" s="3771" t="s">
        <v>1696</v>
      </c>
      <c r="Q32" s="1351">
        <f t="shared" si="8"/>
        <v>111</v>
      </c>
      <c r="R32" s="704" t="s">
        <v>14</v>
      </c>
      <c r="S32" s="705">
        <f t="shared" si="10"/>
        <v>100</v>
      </c>
      <c r="T32" s="704" t="s">
        <v>14</v>
      </c>
      <c r="U32" s="705">
        <f t="shared" si="11"/>
        <v>100</v>
      </c>
      <c r="V32" s="704" t="s">
        <v>14</v>
      </c>
      <c r="W32" s="705">
        <f t="shared" si="12"/>
        <v>100</v>
      </c>
      <c r="X32" s="1354"/>
      <c r="Y32" s="3752" t="s">
        <v>1696</v>
      </c>
      <c r="Z32" s="1355">
        <f t="shared" si="13"/>
        <v>111</v>
      </c>
      <c r="AA32" s="1352">
        <f t="shared" si="3"/>
        <v>1</v>
      </c>
      <c r="AB32" s="1352">
        <f t="shared" si="4"/>
        <v>1</v>
      </c>
      <c r="AC32" s="1352">
        <f t="shared" si="5"/>
        <v>1</v>
      </c>
    </row>
    <row r="33" spans="1:31" s="422" customFormat="1" ht="15.75" thickBot="1">
      <c r="A33" s="623"/>
      <c r="B33" s="1992">
        <v>111</v>
      </c>
      <c r="C33" s="625"/>
      <c r="D33" s="128">
        <v>100</v>
      </c>
      <c r="E33" s="648"/>
      <c r="F33" s="389">
        <f>SUMIF(105:105,E33,106:106)-SUMIF(105:105,C33,106:106)+100</f>
        <v>100</v>
      </c>
      <c r="G33" s="648"/>
      <c r="H33" s="389">
        <f>SUMIF(105:105,G33,106:106)-SUMIF(105:105,C33,106:106)+100</f>
        <v>100</v>
      </c>
      <c r="I33" s="625"/>
      <c r="J33" s="389">
        <f>SUMIF(105:105,I33,106:106)-SUMIF(105:105,C33,106:106)+100</f>
        <v>100</v>
      </c>
      <c r="K33" s="562"/>
      <c r="L33" s="2720"/>
      <c r="M33" s="2722"/>
      <c r="N33" s="2722"/>
      <c r="O33" s="2774"/>
      <c r="P33" s="3752"/>
      <c r="Q33" s="1351">
        <f t="shared" si="8"/>
        <v>111</v>
      </c>
      <c r="R33" s="707" t="s">
        <v>14</v>
      </c>
      <c r="S33" s="708">
        <f t="shared" si="10"/>
        <v>100</v>
      </c>
      <c r="T33" s="707" t="s">
        <v>14</v>
      </c>
      <c r="U33" s="708">
        <f t="shared" si="11"/>
        <v>100</v>
      </c>
      <c r="V33" s="707" t="s">
        <v>14</v>
      </c>
      <c r="W33" s="708">
        <f t="shared" si="12"/>
        <v>100</v>
      </c>
      <c r="X33" s="709"/>
      <c r="Y33" s="3752"/>
      <c r="Z33" s="710">
        <f t="shared" si="13"/>
        <v>111</v>
      </c>
      <c r="AA33" s="1352">
        <f t="shared" si="3"/>
        <v>1</v>
      </c>
      <c r="AB33" s="1352">
        <f t="shared" si="4"/>
        <v>1</v>
      </c>
      <c r="AC33" s="1352">
        <f t="shared" si="5"/>
        <v>1</v>
      </c>
    </row>
    <row r="34" spans="1:31" ht="15">
      <c r="A34" s="391" t="s">
        <v>1694</v>
      </c>
      <c r="B34" s="407" t="s">
        <v>1874</v>
      </c>
      <c r="C34" s="626"/>
      <c r="D34" s="418">
        <v>100</v>
      </c>
      <c r="E34" s="626"/>
      <c r="F34" s="418" t="e">
        <f>LOOKUP(E34,108:108,109:109)-LOOKUP(C34,108:108,109:109)+100</f>
        <v>#N/A</v>
      </c>
      <c r="G34" s="626"/>
      <c r="H34" s="418" t="e">
        <f>LOOKUP(G34,108:108,109:109)-LOOKUP(C34,108:108,109:109)+100</f>
        <v>#N/A</v>
      </c>
      <c r="I34" s="479"/>
      <c r="J34" s="418" t="e">
        <f>LOOKUP(I34,108:108,109:109)-LOOKUP(C34,108:108,109:109)+100</f>
        <v>#N/A</v>
      </c>
      <c r="K34" s="562"/>
      <c r="L34" s="2721"/>
      <c r="M34" s="2715"/>
      <c r="N34" s="2715"/>
      <c r="O34" s="2773"/>
      <c r="P34" s="3752"/>
      <c r="Q34" s="1351" t="str">
        <f>B34</f>
        <v>宗地面积</v>
      </c>
      <c r="R34" s="704" t="s">
        <v>14</v>
      </c>
      <c r="S34" s="705" t="e">
        <f t="shared" si="10"/>
        <v>#N/A</v>
      </c>
      <c r="T34" s="704" t="s">
        <v>14</v>
      </c>
      <c r="U34" s="705" t="e">
        <f t="shared" si="11"/>
        <v>#N/A</v>
      </c>
      <c r="V34" s="704" t="s">
        <v>14</v>
      </c>
      <c r="W34" s="705" t="e">
        <f t="shared" si="12"/>
        <v>#N/A</v>
      </c>
      <c r="X34" s="1354"/>
      <c r="Y34" s="3752"/>
      <c r="Z34" s="1355" t="str">
        <f t="shared" si="13"/>
        <v>宗地面积</v>
      </c>
      <c r="AA34" s="1352" t="e">
        <f t="shared" si="3"/>
        <v>#N/A</v>
      </c>
      <c r="AB34" s="1352" t="e">
        <f t="shared" si="4"/>
        <v>#N/A</v>
      </c>
      <c r="AC34" s="1352" t="e">
        <f t="shared" si="5"/>
        <v>#N/A</v>
      </c>
    </row>
    <row r="35" spans="1:31" ht="15">
      <c r="A35" s="423"/>
      <c r="B35" s="375" t="s">
        <v>1875</v>
      </c>
      <c r="C35" s="1905"/>
      <c r="D35" s="386">
        <v>100</v>
      </c>
      <c r="E35" s="1905"/>
      <c r="F35" s="386">
        <f>SUMIF(110:110,E35,111:111)-SUMIF(110:110,C35,111:111)+100</f>
        <v>100</v>
      </c>
      <c r="G35" s="1905"/>
      <c r="H35" s="386">
        <f>SUMIF(110:110,G35,111:111)-SUMIF(110:110,C35,111:111)+100</f>
        <v>100</v>
      </c>
      <c r="I35" s="1905"/>
      <c r="J35" s="386">
        <f>SUMIF(110:110,I35,111:111)-SUMIF(110:110,C35,111:111)+100</f>
        <v>100</v>
      </c>
      <c r="K35" s="561"/>
      <c r="L35" s="2721"/>
      <c r="M35" s="2715"/>
      <c r="N35" s="2715"/>
      <c r="O35" s="2773"/>
      <c r="P35" s="3752"/>
      <c r="Q35" s="1351" t="str">
        <f t="shared" ref="Q35:Q40" si="14">B35</f>
        <v>宗地形状</v>
      </c>
      <c r="R35" s="704" t="s">
        <v>14</v>
      </c>
      <c r="S35" s="705">
        <f t="shared" si="10"/>
        <v>100</v>
      </c>
      <c r="T35" s="704" t="s">
        <v>14</v>
      </c>
      <c r="U35" s="705">
        <f t="shared" si="11"/>
        <v>100</v>
      </c>
      <c r="V35" s="704" t="s">
        <v>14</v>
      </c>
      <c r="W35" s="705">
        <f t="shared" si="12"/>
        <v>100</v>
      </c>
      <c r="X35" s="1354"/>
      <c r="Y35" s="3752"/>
      <c r="Z35" s="1355" t="str">
        <f t="shared" si="13"/>
        <v>宗地形状</v>
      </c>
      <c r="AA35" s="1352">
        <f t="shared" si="3"/>
        <v>1</v>
      </c>
      <c r="AB35" s="1352">
        <f t="shared" si="4"/>
        <v>1</v>
      </c>
      <c r="AC35" s="1352">
        <f t="shared" si="5"/>
        <v>1</v>
      </c>
    </row>
    <row r="36" spans="1:31" s="108" customFormat="1" ht="15">
      <c r="A36" s="424"/>
      <c r="B36" s="375" t="s">
        <v>1877</v>
      </c>
      <c r="C36" s="1979"/>
      <c r="D36" s="127">
        <v>100</v>
      </c>
      <c r="E36" s="1979"/>
      <c r="F36" s="386">
        <f>SUMIF(112:112,E36,113:113)-SUMIF(112:112,C36,113:113)+100</f>
        <v>100</v>
      </c>
      <c r="G36" s="1979"/>
      <c r="H36" s="386">
        <f>SUMIF(112:112,G36,113:113)-SUMIF(112:112,C36,113:113)+100</f>
        <v>100</v>
      </c>
      <c r="I36" s="1979"/>
      <c r="J36" s="386">
        <f>SUMIF(112:112,I36,113:113)-SUMIF(112:112,C36,113:113)+100</f>
        <v>100</v>
      </c>
      <c r="K36" s="561"/>
      <c r="L36" s="2716"/>
      <c r="M36" s="2717"/>
      <c r="N36" s="2717"/>
      <c r="O36" s="2771"/>
      <c r="P36" s="3752"/>
      <c r="Q36" s="1351" t="str">
        <f t="shared" si="14"/>
        <v>宗地开发程度</v>
      </c>
      <c r="R36" s="700" t="s">
        <v>14</v>
      </c>
      <c r="S36" s="701">
        <f t="shared" si="10"/>
        <v>100</v>
      </c>
      <c r="T36" s="700" t="s">
        <v>14</v>
      </c>
      <c r="U36" s="701">
        <f t="shared" si="11"/>
        <v>100</v>
      </c>
      <c r="V36" s="700" t="s">
        <v>14</v>
      </c>
      <c r="W36" s="701">
        <f t="shared" si="12"/>
        <v>100</v>
      </c>
      <c r="X36" s="702"/>
      <c r="Y36" s="3752"/>
      <c r="Z36" s="52" t="str">
        <f t="shared" si="13"/>
        <v>宗地开发程度</v>
      </c>
      <c r="AA36" s="703">
        <f t="shared" si="3"/>
        <v>1</v>
      </c>
      <c r="AB36" s="703">
        <f t="shared" si="4"/>
        <v>1</v>
      </c>
      <c r="AC36" s="703">
        <f t="shared" si="5"/>
        <v>1</v>
      </c>
    </row>
    <row r="37" spans="1:31" ht="15">
      <c r="A37" s="423"/>
      <c r="B37" s="375" t="s">
        <v>1878</v>
      </c>
      <c r="C37" s="1905"/>
      <c r="D37" s="386">
        <v>100</v>
      </c>
      <c r="E37" s="1905"/>
      <c r="F37" s="386">
        <f>SUMIF(114:114,E37,115:115)-SUMIF(114:114,C37,115:115)+100</f>
        <v>100</v>
      </c>
      <c r="G37" s="1905"/>
      <c r="H37" s="386">
        <f>SUMIF(114:114,G37,115:115)-SUMIF(114:114,C37,115:115)+100</f>
        <v>100</v>
      </c>
      <c r="I37" s="1905"/>
      <c r="J37" s="386">
        <f>SUMIF(114:114,I37,115:115)-SUMIF(114:114,C37,115:115)+100</f>
        <v>100</v>
      </c>
      <c r="K37" s="561"/>
      <c r="L37" s="2721"/>
      <c r="M37" s="2715"/>
      <c r="N37" s="2715"/>
      <c r="O37" s="2773"/>
      <c r="P37" s="3752" t="s">
        <v>1696</v>
      </c>
      <c r="Q37" s="1351" t="str">
        <f t="shared" si="14"/>
        <v>工程地质条件</v>
      </c>
      <c r="R37" s="704" t="s">
        <v>14</v>
      </c>
      <c r="S37" s="705">
        <f t="shared" si="10"/>
        <v>100</v>
      </c>
      <c r="T37" s="704" t="s">
        <v>14</v>
      </c>
      <c r="U37" s="705">
        <f t="shared" si="11"/>
        <v>100</v>
      </c>
      <c r="V37" s="704" t="s">
        <v>14</v>
      </c>
      <c r="W37" s="705">
        <f t="shared" si="12"/>
        <v>100</v>
      </c>
      <c r="X37" s="1354"/>
      <c r="Y37" s="3752" t="s">
        <v>1696</v>
      </c>
      <c r="Z37" s="1355" t="str">
        <f t="shared" si="13"/>
        <v>工程地质条件</v>
      </c>
      <c r="AA37" s="1352">
        <f t="shared" si="3"/>
        <v>1</v>
      </c>
      <c r="AB37" s="1352">
        <f t="shared" si="4"/>
        <v>1</v>
      </c>
      <c r="AC37" s="1352">
        <f t="shared" si="5"/>
        <v>1</v>
      </c>
    </row>
    <row r="38" spans="1:31" ht="15">
      <c r="A38" s="423"/>
      <c r="B38" s="1133">
        <v>111</v>
      </c>
      <c r="C38" s="621"/>
      <c r="D38" s="386">
        <v>100</v>
      </c>
      <c r="E38" s="621"/>
      <c r="F38" s="386">
        <f>SUMIF(116:116,E38,117:117)-SUMIF(116:116,C38,117:117)+100</f>
        <v>100</v>
      </c>
      <c r="G38" s="621"/>
      <c r="H38" s="386">
        <f>SUMIF(116:116,G38,117:117)-SUMIF(116:116,C38,117:117)+100</f>
        <v>100</v>
      </c>
      <c r="I38" s="498"/>
      <c r="J38" s="386">
        <f>SUMIF(116:116,I38,117:117)-SUMIF(116:116,C38,117:117)+100</f>
        <v>100</v>
      </c>
      <c r="K38" s="562"/>
      <c r="L38" s="2721"/>
      <c r="M38" s="2715"/>
      <c r="N38" s="2715"/>
      <c r="O38" s="2773"/>
      <c r="P38" s="3752"/>
      <c r="Q38" s="1351">
        <f t="shared" si="14"/>
        <v>111</v>
      </c>
      <c r="R38" s="704" t="s">
        <v>14</v>
      </c>
      <c r="S38" s="705">
        <f t="shared" si="10"/>
        <v>100</v>
      </c>
      <c r="T38" s="704" t="s">
        <v>14</v>
      </c>
      <c r="U38" s="705">
        <f t="shared" si="11"/>
        <v>100</v>
      </c>
      <c r="V38" s="704" t="s">
        <v>14</v>
      </c>
      <c r="W38" s="705">
        <f t="shared" si="12"/>
        <v>100</v>
      </c>
      <c r="X38" s="1354"/>
      <c r="Y38" s="3752"/>
      <c r="Z38" s="1355">
        <f t="shared" si="13"/>
        <v>111</v>
      </c>
      <c r="AA38" s="1352">
        <f t="shared" si="3"/>
        <v>1</v>
      </c>
      <c r="AB38" s="1352">
        <f t="shared" si="4"/>
        <v>1</v>
      </c>
      <c r="AC38" s="1352">
        <f t="shared" si="5"/>
        <v>1</v>
      </c>
    </row>
    <row r="39" spans="1:31" ht="15">
      <c r="A39" s="423"/>
      <c r="B39" s="1133">
        <v>111</v>
      </c>
      <c r="C39" s="621"/>
      <c r="D39" s="386">
        <v>100</v>
      </c>
      <c r="E39" s="621"/>
      <c r="F39" s="386">
        <f>SUMIF(118:118,E39,119:119)-SUMIF(118:118,C39,119:119)+100</f>
        <v>100</v>
      </c>
      <c r="G39" s="621"/>
      <c r="H39" s="386">
        <f>SUMIF(118:118,G39,119:119)-SUMIF(118:118,C39,119:119)+100</f>
        <v>100</v>
      </c>
      <c r="I39" s="498"/>
      <c r="J39" s="386">
        <f>SUMIF(118:118,I39,119:119)-SUMIF(118:118,C39,119:119)+100</f>
        <v>100</v>
      </c>
      <c r="K39" s="562"/>
      <c r="L39" s="2721"/>
      <c r="M39" s="2715"/>
      <c r="N39" s="2715"/>
      <c r="O39" s="2773"/>
      <c r="P39" s="3752"/>
      <c r="Q39" s="1351">
        <f t="shared" si="14"/>
        <v>111</v>
      </c>
      <c r="R39" s="704" t="s">
        <v>14</v>
      </c>
      <c r="S39" s="705">
        <f t="shared" si="10"/>
        <v>100</v>
      </c>
      <c r="T39" s="704" t="s">
        <v>14</v>
      </c>
      <c r="U39" s="705">
        <f t="shared" si="11"/>
        <v>100</v>
      </c>
      <c r="V39" s="704" t="s">
        <v>14</v>
      </c>
      <c r="W39" s="705">
        <f t="shared" si="12"/>
        <v>100</v>
      </c>
      <c r="X39" s="1354"/>
      <c r="Y39" s="3752"/>
      <c r="Z39" s="1355">
        <f t="shared" si="13"/>
        <v>111</v>
      </c>
      <c r="AA39" s="1352">
        <f t="shared" si="3"/>
        <v>1</v>
      </c>
      <c r="AB39" s="1352">
        <f t="shared" si="4"/>
        <v>1</v>
      </c>
      <c r="AC39" s="1352">
        <f t="shared" si="5"/>
        <v>1</v>
      </c>
    </row>
    <row r="40" spans="1:31" s="422" customFormat="1" ht="15.75" thickBot="1">
      <c r="A40" s="419"/>
      <c r="B40" s="1133">
        <v>111</v>
      </c>
      <c r="C40" s="1980"/>
      <c r="D40" s="128">
        <v>100</v>
      </c>
      <c r="E40" s="621"/>
      <c r="F40" s="389">
        <f>SUMIF(120:120,E40,121:121)-SUMIF(120:120,C40,121:121)+100</f>
        <v>100</v>
      </c>
      <c r="G40" s="621"/>
      <c r="H40" s="389">
        <f>SUMIF(120:120,G40,121:121)-SUMIF(120:120,C40,121:121)+100</f>
        <v>100</v>
      </c>
      <c r="I40" s="498"/>
      <c r="J40" s="389">
        <f>SUMIF(120:120,I40,121:121)-SUMIF(120:120,C40,121:121)+100</f>
        <v>100</v>
      </c>
      <c r="K40" s="628"/>
      <c r="L40" s="2720"/>
      <c r="M40" s="2722"/>
      <c r="N40" s="2722"/>
      <c r="O40" s="2774"/>
      <c r="P40" s="3752"/>
      <c r="Q40" s="1351">
        <f t="shared" si="14"/>
        <v>111</v>
      </c>
      <c r="R40" s="707" t="s">
        <v>14</v>
      </c>
      <c r="S40" s="708">
        <f t="shared" si="10"/>
        <v>100</v>
      </c>
      <c r="T40" s="707" t="s">
        <v>14</v>
      </c>
      <c r="U40" s="708">
        <f t="shared" si="11"/>
        <v>100</v>
      </c>
      <c r="V40" s="707" t="s">
        <v>14</v>
      </c>
      <c r="W40" s="708">
        <f t="shared" si="12"/>
        <v>100</v>
      </c>
      <c r="X40" s="709"/>
      <c r="Y40" s="3752"/>
      <c r="Z40" s="710">
        <f t="shared" si="13"/>
        <v>111</v>
      </c>
      <c r="AA40" s="1352">
        <f t="shared" si="3"/>
        <v>1</v>
      </c>
      <c r="AB40" s="1352">
        <f t="shared" si="4"/>
        <v>1</v>
      </c>
      <c r="AC40" s="1352">
        <f t="shared" si="5"/>
        <v>1</v>
      </c>
    </row>
    <row r="41" spans="1:31" ht="15">
      <c r="A41" s="430" t="s">
        <v>1844</v>
      </c>
      <c r="B41" s="1981" t="s">
        <v>1922</v>
      </c>
      <c r="C41" s="629" t="s">
        <v>0</v>
      </c>
      <c r="D41" s="432"/>
      <c r="E41" s="433"/>
      <c r="F41" s="434"/>
      <c r="G41" s="435"/>
      <c r="H41" s="436"/>
      <c r="I41" s="433"/>
      <c r="J41" s="436"/>
      <c r="K41" s="713"/>
      <c r="L41" s="2723"/>
      <c r="M41" s="2715"/>
      <c r="N41" s="2715"/>
      <c r="O41" s="2724"/>
      <c r="P41" s="3745" t="str">
        <f>A41</f>
        <v>成交单价</v>
      </c>
      <c r="Q41" s="3745"/>
      <c r="R41" s="3740">
        <f>E41</f>
        <v>0</v>
      </c>
      <c r="S41" s="3740"/>
      <c r="T41" s="3740">
        <f>G41</f>
        <v>0</v>
      </c>
      <c r="U41" s="3740"/>
      <c r="V41" s="3740">
        <f>I41</f>
        <v>0</v>
      </c>
      <c r="W41" s="3740"/>
      <c r="X41" s="689"/>
      <c r="Y41" s="711"/>
      <c r="Z41" s="689"/>
      <c r="AA41" s="689"/>
      <c r="AB41" s="689"/>
      <c r="AC41" s="689"/>
    </row>
    <row r="42" spans="1:31" ht="15.75" thickBot="1">
      <c r="A42" s="437" t="s">
        <v>1793</v>
      </c>
      <c r="B42" s="630"/>
      <c r="C42" s="440" t="e">
        <f>R43</f>
        <v>#DIV/0!</v>
      </c>
      <c r="D42" s="2316" t="s">
        <v>2138</v>
      </c>
      <c r="E42" s="440" t="e">
        <f>R42</f>
        <v>#DIV/0!</v>
      </c>
      <c r="F42" s="2317"/>
      <c r="G42" s="439" t="e">
        <f>T42</f>
        <v>#DIV/0!</v>
      </c>
      <c r="H42" s="2317"/>
      <c r="I42" s="440" t="e">
        <f>V42</f>
        <v>#DIV/0!</v>
      </c>
      <c r="J42" s="2317"/>
      <c r="K42" s="2319">
        <f>F42+H42+J42</f>
        <v>0</v>
      </c>
      <c r="L42" s="2723"/>
      <c r="M42" s="2715"/>
      <c r="N42" s="2715"/>
      <c r="O42" s="2724"/>
      <c r="P42" s="3745" t="str">
        <f>A42</f>
        <v>比较价值（元/平方米）</v>
      </c>
      <c r="Q42" s="3745"/>
      <c r="R42" s="3773" t="e">
        <f>ROUND(PRODUCT(R41,AA7:AA40),0)</f>
        <v>#DIV/0!</v>
      </c>
      <c r="S42" s="3773"/>
      <c r="T42" s="3773" t="e">
        <f>ROUND(PRODUCT(T41,AB7:AB40),0)</f>
        <v>#DIV/0!</v>
      </c>
      <c r="U42" s="3773"/>
      <c r="V42" s="3773" t="e">
        <f>ROUND(PRODUCT(V41,AC7:AC40),0)</f>
        <v>#DIV/0!</v>
      </c>
      <c r="W42" s="3773"/>
      <c r="X42" s="689"/>
      <c r="Y42" s="689"/>
      <c r="Z42" s="689"/>
      <c r="AA42" s="689"/>
      <c r="AB42" s="689"/>
      <c r="AC42" s="689"/>
    </row>
    <row r="43" spans="1:31" ht="15.75" thickBot="1">
      <c r="A43" s="441" t="s">
        <v>1794</v>
      </c>
      <c r="B43" s="442"/>
      <c r="C43" s="443" t="e">
        <f>R43</f>
        <v>#DIV/0!</v>
      </c>
      <c r="D43" s="443"/>
      <c r="E43" s="443"/>
      <c r="F43" s="443"/>
      <c r="G43" s="443"/>
      <c r="H43" s="443"/>
      <c r="I43" s="443"/>
      <c r="J43" s="443"/>
      <c r="K43" s="714"/>
      <c r="L43" s="2723"/>
      <c r="M43" s="2715"/>
      <c r="N43" s="2715"/>
      <c r="O43" s="2724"/>
      <c r="P43" s="3742" t="str">
        <f>A43</f>
        <v>估价对象XX用房的比较价值（楼面单价，元/平方米）</v>
      </c>
      <c r="Q43" s="3743"/>
      <c r="R43" s="3774" t="e">
        <f>ROUND(IF(D42="简单平均",AVERAGE(R42:W42),R42*F42+T42*H42+V42*J42),0)</f>
        <v>#DIV/0!</v>
      </c>
      <c r="S43" s="3774"/>
      <c r="T43" s="3774"/>
      <c r="U43" s="3774"/>
      <c r="V43" s="3774"/>
      <c r="W43" s="3774"/>
      <c r="X43" s="689"/>
      <c r="Y43" s="689"/>
      <c r="Z43" s="689"/>
      <c r="AA43" s="689"/>
      <c r="AB43" s="689"/>
      <c r="AC43" s="689"/>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5" thickBot="1">
      <c r="A49" s="2727"/>
      <c r="B49" s="2730"/>
      <c r="C49" s="692"/>
      <c r="D49" s="690"/>
      <c r="E49" s="690"/>
      <c r="F49" s="690"/>
      <c r="G49" s="690"/>
      <c r="H49" s="690"/>
      <c r="I49" s="690"/>
      <c r="J49" s="690"/>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1" t="s">
        <v>1881</v>
      </c>
      <c r="B50" s="632" t="s">
        <v>1882</v>
      </c>
      <c r="C50" s="1982" t="s">
        <v>1883</v>
      </c>
      <c r="D50" s="1983" t="s">
        <v>1884</v>
      </c>
      <c r="E50" s="633" t="s">
        <v>1885</v>
      </c>
      <c r="F50" s="634" t="s">
        <v>1886</v>
      </c>
      <c r="G50" s="3728" t="s">
        <v>1887</v>
      </c>
      <c r="H50" s="3775"/>
      <c r="I50" s="1355" t="s">
        <v>1923</v>
      </c>
      <c r="J50" s="1355">
        <f>项目基本情况!F35</f>
        <v>0</v>
      </c>
      <c r="K50" s="1985"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39" customFormat="1">
      <c r="A51" s="635" t="s">
        <v>1890</v>
      </c>
      <c r="B51" s="636" t="e">
        <f>C43</f>
        <v>#DIV/0!</v>
      </c>
      <c r="C51" s="637">
        <v>1</v>
      </c>
      <c r="D51" s="943">
        <v>1</v>
      </c>
      <c r="E51" s="637">
        <f>'数据-汇总表'!E8+'数据-汇总表'!E9</f>
        <v>557.98</v>
      </c>
      <c r="F51" s="638" t="e">
        <f t="shared" ref="F51:F60" si="15">ROUND(B51*E51/10000,0)</f>
        <v>#DIV/0!</v>
      </c>
      <c r="G51" s="3727"/>
      <c r="H51" s="3745"/>
      <c r="I51" s="772">
        <v>1</v>
      </c>
      <c r="J51" s="772">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39" customFormat="1">
      <c r="A52" s="640" t="s">
        <v>1891</v>
      </c>
      <c r="B52" s="218" t="e">
        <f>ROUND($C$43*C52*D52,0)</f>
        <v>#DIV/0!</v>
      </c>
      <c r="C52" s="171">
        <f t="shared" ref="C52:C60" si="16">IF($C$50="北京市系数",I52,J52)</f>
        <v>0.6</v>
      </c>
      <c r="D52" s="944">
        <v>0.25</v>
      </c>
      <c r="E52" s="641"/>
      <c r="F52" s="638" t="e">
        <f t="shared" si="15"/>
        <v>#DIV/0!</v>
      </c>
      <c r="G52" s="3005" t="s">
        <v>1892</v>
      </c>
      <c r="H52" s="886" t="str">
        <f>项目基本情况!B37</f>
        <v>四级</v>
      </c>
      <c r="I52" s="772">
        <f>SUMIF(修正!A57:A68,H52,修正!B57:B68)</f>
        <v>0.6</v>
      </c>
      <c r="J52" s="773"/>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39" customFormat="1">
      <c r="A53" s="640" t="s">
        <v>1893</v>
      </c>
      <c r="B53" s="218" t="e">
        <f t="shared" ref="B53:B60" si="17">ROUND($C$43*C53*D53,0)</f>
        <v>#DIV/0!</v>
      </c>
      <c r="C53" s="171">
        <f t="shared" si="16"/>
        <v>0.3</v>
      </c>
      <c r="D53" s="944">
        <v>0.25</v>
      </c>
      <c r="E53" s="641"/>
      <c r="F53" s="638" t="e">
        <f t="shared" si="15"/>
        <v>#DIV/0!</v>
      </c>
      <c r="G53" s="3006"/>
      <c r="H53" s="886" t="str">
        <f>项目基本情况!B37</f>
        <v>四级</v>
      </c>
      <c r="I53" s="772">
        <f>SUMIF(修正!A57:A68,H53,修正!C57:C68)</f>
        <v>0.3</v>
      </c>
      <c r="J53" s="773"/>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39" customFormat="1">
      <c r="A54" s="640" t="s">
        <v>1894</v>
      </c>
      <c r="B54" s="218" t="e">
        <f t="shared" si="17"/>
        <v>#DIV/0!</v>
      </c>
      <c r="C54" s="171">
        <f t="shared" si="16"/>
        <v>0.25</v>
      </c>
      <c r="D54" s="944">
        <v>0.25</v>
      </c>
      <c r="E54" s="641"/>
      <c r="F54" s="638" t="e">
        <f t="shared" si="15"/>
        <v>#DIV/0!</v>
      </c>
      <c r="G54" s="3006"/>
      <c r="H54" s="886" t="str">
        <f>项目基本情况!B37</f>
        <v>四级</v>
      </c>
      <c r="I54" s="772">
        <f>SUMIF(修正!A57:A68,H54,修正!D57:D68)</f>
        <v>0.25</v>
      </c>
      <c r="J54" s="773"/>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39" customFormat="1" hidden="1">
      <c r="A55" s="640"/>
      <c r="B55" s="218"/>
      <c r="C55" s="171"/>
      <c r="D55" s="944"/>
      <c r="E55" s="641"/>
      <c r="F55" s="638"/>
      <c r="G55" s="3007"/>
      <c r="H55" s="886"/>
      <c r="I55" s="772"/>
      <c r="J55" s="773"/>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39" customFormat="1">
      <c r="A56" s="640" t="s">
        <v>1895</v>
      </c>
      <c r="B56" s="218" t="e">
        <f t="shared" si="17"/>
        <v>#DIV/0!</v>
      </c>
      <c r="C56" s="171">
        <f t="shared" si="16"/>
        <v>0</v>
      </c>
      <c r="D56" s="944">
        <v>0.25</v>
      </c>
      <c r="E56" s="217">
        <f>'数据-汇总表'!E11</f>
        <v>0</v>
      </c>
      <c r="F56" s="638" t="e">
        <f t="shared" si="15"/>
        <v>#DIV/0!</v>
      </c>
      <c r="G56" s="1986" t="s">
        <v>1896</v>
      </c>
      <c r="H56" s="886">
        <f>项目基本情况!C37</f>
        <v>0</v>
      </c>
      <c r="I56" s="772">
        <f>SUMIF(修正!A57:A68,H56,修正!E57:E68)</f>
        <v>0</v>
      </c>
      <c r="J56" s="773"/>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39" customFormat="1">
      <c r="A57" s="640" t="s">
        <v>1897</v>
      </c>
      <c r="B57" s="218" t="e">
        <f t="shared" si="17"/>
        <v>#DIV/0!</v>
      </c>
      <c r="C57" s="171">
        <f t="shared" si="16"/>
        <v>0</v>
      </c>
      <c r="D57" s="944">
        <v>0.25</v>
      </c>
      <c r="E57" s="217">
        <f>'数据-汇总表'!E12</f>
        <v>0</v>
      </c>
      <c r="F57" s="638" t="e">
        <f t="shared" si="15"/>
        <v>#DIV/0!</v>
      </c>
      <c r="G57" s="891" t="s">
        <v>1898</v>
      </c>
      <c r="H57" s="886">
        <f>IF(G57="商业",项目基本情况!B37,IF(G57="办公",项目基本情况!C37,IF(G57="住宅",项目基本情况!D37,项目基本情况!E37)))</f>
        <v>0</v>
      </c>
      <c r="I57" s="772">
        <f>SUMIF(修正!A57:A68,H57,修正!F57:F68)</f>
        <v>0</v>
      </c>
      <c r="J57" s="773"/>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39" customFormat="1">
      <c r="A58" s="640" t="s">
        <v>1899</v>
      </c>
      <c r="B58" s="218" t="e">
        <f t="shared" si="17"/>
        <v>#DIV/0!</v>
      </c>
      <c r="C58" s="171">
        <f t="shared" si="16"/>
        <v>0</v>
      </c>
      <c r="D58" s="944">
        <v>0.25</v>
      </c>
      <c r="E58" s="217">
        <f>'数据-汇总表'!E13</f>
        <v>0</v>
      </c>
      <c r="F58" s="638" t="e">
        <f t="shared" si="15"/>
        <v>#DIV/0!</v>
      </c>
      <c r="G58" s="891" t="s">
        <v>1900</v>
      </c>
      <c r="H58" s="886">
        <f>IF(G58="商业",项目基本情况!B37,IF(G58="办公",项目基本情况!C37,IF(G58="住宅",项目基本情况!D37,项目基本情况!E37)))</f>
        <v>0</v>
      </c>
      <c r="I58" s="772">
        <f>SUMIF(修正!A57:A68,H58,修正!G57:G68)</f>
        <v>0</v>
      </c>
      <c r="J58" s="773"/>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39" customFormat="1">
      <c r="A59" s="640" t="s">
        <v>1901</v>
      </c>
      <c r="B59" s="218" t="e">
        <f t="shared" si="17"/>
        <v>#DIV/0!</v>
      </c>
      <c r="C59" s="171">
        <f t="shared" si="16"/>
        <v>0.15</v>
      </c>
      <c r="D59" s="944">
        <v>0.25</v>
      </c>
      <c r="E59" s="217">
        <f>'数据-汇总表'!E14</f>
        <v>0</v>
      </c>
      <c r="F59" s="638" t="e">
        <f t="shared" si="15"/>
        <v>#DIV/0!</v>
      </c>
      <c r="G59" s="1986" t="s">
        <v>1892</v>
      </c>
      <c r="H59" s="886" t="str">
        <f>项目基本情况!B37</f>
        <v>四级</v>
      </c>
      <c r="I59" s="772">
        <f>SUMIF(修正!A57:A68,H59,修正!G57:G68)</f>
        <v>0.15</v>
      </c>
      <c r="J59" s="773"/>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39" customFormat="1" ht="15" thickBot="1">
      <c r="A60" s="640" t="s">
        <v>1902</v>
      </c>
      <c r="B60" s="218" t="e">
        <f t="shared" si="17"/>
        <v>#DIV/0!</v>
      </c>
      <c r="C60" s="171">
        <f t="shared" si="16"/>
        <v>0</v>
      </c>
      <c r="D60" s="944">
        <v>0.25</v>
      </c>
      <c r="E60" s="217">
        <f>'数据-汇总表'!E15</f>
        <v>0</v>
      </c>
      <c r="F60" s="638" t="e">
        <f t="shared" si="15"/>
        <v>#DIV/0!</v>
      </c>
      <c r="G60" s="1987" t="s">
        <v>1896</v>
      </c>
      <c r="H60" s="896">
        <f>项目基本情况!C37</f>
        <v>0</v>
      </c>
      <c r="I60" s="772">
        <f>SUMIF(修正!A57:A68,H60,修正!G57:G68)</f>
        <v>0</v>
      </c>
      <c r="J60" s="773"/>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39" customFormat="1" ht="15" thickBot="1">
      <c r="A61" s="642" t="s">
        <v>1903</v>
      </c>
      <c r="B61" s="643" t="s">
        <v>22</v>
      </c>
      <c r="C61" s="643" t="s">
        <v>23</v>
      </c>
      <c r="D61" s="643" t="s">
        <v>392</v>
      </c>
      <c r="E61" s="643">
        <f>IF(B41="楼面地价",SUM(E51:E60),'数据-汇总表'!D3)</f>
        <v>0</v>
      </c>
      <c r="F61" s="644" t="e">
        <f>IF(B41="楼面地价",SUM(F51:F60),ROUND(C43*E61/10000,0))</f>
        <v>#DIV/0!</v>
      </c>
      <c r="G61" s="938"/>
      <c r="H61" s="938"/>
      <c r="I61" s="938"/>
      <c r="J61" s="938"/>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6"/>
      <c r="B62" s="928"/>
      <c r="C62" s="930"/>
      <c r="D62" s="926"/>
      <c r="E62" s="926"/>
      <c r="F62" s="926"/>
      <c r="G62" s="926"/>
      <c r="H62" s="926"/>
      <c r="I62" s="926"/>
      <c r="J62" s="926"/>
      <c r="K62" s="887"/>
      <c r="L62" s="888"/>
      <c r="M62" s="926"/>
      <c r="N62" s="926"/>
      <c r="O62" s="926"/>
      <c r="P62" s="2724"/>
      <c r="Q62" s="2724"/>
      <c r="R62" s="2724"/>
      <c r="S62" s="2724"/>
      <c r="T62" s="2724"/>
      <c r="U62" s="2724"/>
      <c r="V62" s="2724"/>
      <c r="W62" s="2724"/>
      <c r="X62" s="2724"/>
      <c r="Y62" s="2724"/>
      <c r="Z62" s="2724"/>
      <c r="AA62" s="2724"/>
      <c r="AB62" s="2724"/>
      <c r="AC62" s="2724"/>
      <c r="AD62" s="2724"/>
      <c r="AE62" s="2724"/>
    </row>
    <row r="63" spans="1:31">
      <c r="A63" s="926"/>
      <c r="B63" s="928"/>
      <c r="C63" s="691" t="str">
        <f>YEAR(C7)&amp;"-"&amp;MONTH(C7)&amp;"-1"</f>
        <v>2025-5-1</v>
      </c>
      <c r="D63" s="691">
        <f>EDATE(C63,-3)</f>
        <v>45689</v>
      </c>
      <c r="E63" s="691">
        <f>EDATE(D63,-3)</f>
        <v>45597</v>
      </c>
      <c r="F63" s="691">
        <f t="shared" ref="F63:O63" si="18">EDATE(E63,-3)</f>
        <v>45505</v>
      </c>
      <c r="G63" s="691">
        <f t="shared" si="18"/>
        <v>45413</v>
      </c>
      <c r="H63" s="691">
        <f t="shared" si="18"/>
        <v>45323</v>
      </c>
      <c r="I63" s="691">
        <f t="shared" si="18"/>
        <v>45231</v>
      </c>
      <c r="J63" s="691">
        <f t="shared" si="18"/>
        <v>45139</v>
      </c>
      <c r="K63" s="691">
        <f t="shared" si="18"/>
        <v>45047</v>
      </c>
      <c r="L63" s="691">
        <f t="shared" si="18"/>
        <v>44958</v>
      </c>
      <c r="M63" s="691">
        <f t="shared" si="18"/>
        <v>44866</v>
      </c>
      <c r="N63" s="691">
        <f t="shared" si="18"/>
        <v>44774</v>
      </c>
      <c r="O63" s="691">
        <f t="shared" si="18"/>
        <v>44682</v>
      </c>
      <c r="P63" s="2724"/>
      <c r="Q63" s="2724"/>
      <c r="R63" s="2724"/>
      <c r="S63" s="2724"/>
      <c r="T63" s="2724"/>
      <c r="U63" s="2724"/>
      <c r="V63" s="2724"/>
      <c r="W63" s="2724"/>
      <c r="X63" s="2724"/>
      <c r="Y63" s="2724"/>
      <c r="Z63" s="2724"/>
      <c r="AA63" s="2724"/>
      <c r="AB63" s="2724"/>
      <c r="AC63" s="2724"/>
      <c r="AD63" s="2724"/>
      <c r="AE63" s="2724"/>
    </row>
    <row r="64" spans="1:31" ht="21.75" thickBot="1">
      <c r="A64" s="693" t="s">
        <v>1798</v>
      </c>
      <c r="B64" s="689"/>
      <c r="C64" s="694"/>
      <c r="D64" s="694"/>
      <c r="E64" s="694"/>
      <c r="F64" s="695"/>
      <c r="G64" s="695"/>
      <c r="H64" s="694"/>
      <c r="I64" s="694"/>
      <c r="J64" s="694"/>
      <c r="K64" s="696"/>
      <c r="L64" s="697"/>
      <c r="M64" s="694"/>
      <c r="N64" s="694"/>
      <c r="O64" s="939"/>
      <c r="P64" s="2768"/>
      <c r="Q64" s="2738"/>
      <c r="R64" s="2724"/>
      <c r="S64" s="2724"/>
      <c r="T64" s="2724"/>
      <c r="U64" s="2724"/>
      <c r="V64" s="2724"/>
      <c r="W64" s="2724"/>
      <c r="X64" s="2724"/>
      <c r="Y64" s="2724"/>
      <c r="Z64" s="2724"/>
      <c r="AA64" s="2724"/>
      <c r="AB64" s="2724"/>
      <c r="AC64" s="2724"/>
      <c r="AD64" s="2724"/>
      <c r="AE64" s="2724"/>
    </row>
    <row r="65" spans="1:31" s="457" customFormat="1" ht="15">
      <c r="A65" s="1988" t="s">
        <v>1904</v>
      </c>
      <c r="B65" s="1108"/>
      <c r="C65" s="1181" t="str">
        <f>YEAR(C63)&amp;"-"&amp;ROUNDUP(MONTH(C63)/3,0)</f>
        <v>2025-2</v>
      </c>
      <c r="D65" s="1181" t="str">
        <f t="shared" ref="D65:O65" si="19">YEAR(D63)&amp;"-"&amp;ROUNDUP(MONTH(D63)/3,0)</f>
        <v>2025-1</v>
      </c>
      <c r="E65" s="1181" t="str">
        <f t="shared" si="19"/>
        <v>2024-4</v>
      </c>
      <c r="F65" s="1181" t="str">
        <f t="shared" si="19"/>
        <v>2024-3</v>
      </c>
      <c r="G65" s="1181" t="str">
        <f t="shared" si="19"/>
        <v>2024-2</v>
      </c>
      <c r="H65" s="1181" t="str">
        <f t="shared" si="19"/>
        <v>2024-1</v>
      </c>
      <c r="I65" s="1181" t="str">
        <f t="shared" si="19"/>
        <v>2023-4</v>
      </c>
      <c r="J65" s="1181" t="str">
        <f t="shared" si="19"/>
        <v>2023-3</v>
      </c>
      <c r="K65" s="1181" t="str">
        <f t="shared" si="19"/>
        <v>2023-2</v>
      </c>
      <c r="L65" s="1181" t="str">
        <f t="shared" si="19"/>
        <v>2023-1</v>
      </c>
      <c r="M65" s="1181" t="str">
        <f t="shared" si="19"/>
        <v>2022-4</v>
      </c>
      <c r="N65" s="1181" t="str">
        <f t="shared" si="19"/>
        <v>2022-3</v>
      </c>
      <c r="O65" s="1181" t="str">
        <f t="shared" si="19"/>
        <v>2022-2</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3" t="s">
        <v>1924</v>
      </c>
      <c r="B66" s="288" t="str">
        <f>"北京市平均增长率"&amp;TEXT(基准地价修正!P28,"0.00%")</f>
        <v>北京市平均增长率0.00%</v>
      </c>
      <c r="C66" s="552">
        <v>100</v>
      </c>
      <c r="D66" s="544"/>
      <c r="E66" s="544"/>
      <c r="F66" s="544"/>
      <c r="G66" s="544"/>
      <c r="H66" s="544"/>
      <c r="I66" s="544"/>
      <c r="J66" s="544"/>
      <c r="K66" s="544"/>
      <c r="L66" s="544"/>
      <c r="M66" s="1177"/>
      <c r="N66" s="1177"/>
      <c r="O66" s="1179"/>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4" t="s">
        <v>1716</v>
      </c>
      <c r="B67" s="465"/>
      <c r="C67" s="466"/>
      <c r="D67" s="467"/>
      <c r="E67" s="467"/>
      <c r="F67" s="467"/>
      <c r="G67" s="467"/>
      <c r="H67" s="467"/>
      <c r="I67" s="467"/>
      <c r="J67" s="467"/>
      <c r="K67" s="467"/>
      <c r="L67" s="467"/>
      <c r="M67" s="468"/>
      <c r="N67" s="468"/>
      <c r="O67" s="469"/>
      <c r="P67" s="2738"/>
      <c r="Q67" s="2738"/>
      <c r="R67" s="2660"/>
      <c r="S67" s="2660"/>
      <c r="T67" s="2660"/>
      <c r="U67" s="2660"/>
      <c r="V67" s="2660"/>
      <c r="W67" s="2660"/>
      <c r="X67" s="2660"/>
      <c r="Y67" s="2660"/>
      <c r="Z67" s="2660"/>
      <c r="AA67" s="2660"/>
      <c r="AB67" s="2660"/>
      <c r="AC67" s="2660"/>
      <c r="AD67" s="2660"/>
      <c r="AE67" s="2660"/>
    </row>
    <row r="68" spans="1:31" s="108" customFormat="1" ht="15">
      <c r="A68" s="470" t="s">
        <v>1681</v>
      </c>
      <c r="B68" s="459"/>
      <c r="C68" s="471" t="s">
        <v>1776</v>
      </c>
      <c r="D68" s="472"/>
      <c r="E68" s="472"/>
      <c r="F68" s="472"/>
      <c r="G68" s="472"/>
      <c r="H68" s="472"/>
      <c r="I68" s="472"/>
      <c r="J68" s="472"/>
      <c r="K68" s="472"/>
      <c r="L68" s="473"/>
      <c r="M68" s="474"/>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70"/>
      <c r="B69" s="459"/>
      <c r="C69" s="586">
        <v>100</v>
      </c>
      <c r="D69" s="461"/>
      <c r="E69" s="461"/>
      <c r="F69" s="461"/>
      <c r="G69" s="461"/>
      <c r="H69" s="461"/>
      <c r="I69" s="461"/>
      <c r="J69" s="461"/>
      <c r="K69" s="461"/>
      <c r="L69" s="461"/>
      <c r="M69" s="463"/>
      <c r="N69" s="2751"/>
      <c r="O69" s="2751"/>
      <c r="P69" s="2738"/>
      <c r="Q69" s="2738"/>
      <c r="R69" s="2660"/>
      <c r="S69" s="2660"/>
      <c r="T69" s="2660"/>
      <c r="U69" s="2660"/>
      <c r="V69" s="2660"/>
      <c r="W69" s="2660"/>
      <c r="X69" s="2660"/>
      <c r="Y69" s="2660"/>
      <c r="Z69" s="2660"/>
      <c r="AA69" s="2660"/>
      <c r="AB69" s="2660"/>
      <c r="AC69" s="2660"/>
      <c r="AD69" s="2660"/>
      <c r="AE69" s="2660"/>
    </row>
    <row r="70" spans="1:31">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5.75"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5.75"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5.75"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5.75"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5.75"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5.75"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8"/>
      <c r="B87" s="487" t="s">
        <v>1907</v>
      </c>
      <c r="C87" s="522" t="s">
        <v>1721</v>
      </c>
      <c r="D87" s="522" t="s">
        <v>1722</v>
      </c>
      <c r="E87" s="522" t="s">
        <v>1723</v>
      </c>
      <c r="F87" s="522" t="s">
        <v>1724</v>
      </c>
      <c r="G87" s="522" t="s">
        <v>1725</v>
      </c>
      <c r="H87" s="527"/>
      <c r="I87" s="527"/>
      <c r="J87" s="527"/>
      <c r="K87" s="527"/>
      <c r="L87" s="645"/>
      <c r="M87" s="569"/>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69"/>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0"/>
      <c r="S90" s="2660"/>
      <c r="T90" s="2660"/>
      <c r="U90" s="2660"/>
      <c r="V90" s="2660"/>
      <c r="W90" s="2660"/>
      <c r="X90" s="2660"/>
      <c r="Y90" s="2660"/>
      <c r="Z90" s="2660"/>
      <c r="AA90" s="2660"/>
      <c r="AB90" s="2660"/>
      <c r="AC90" s="2660"/>
      <c r="AD90" s="2660"/>
      <c r="AE90" s="2660"/>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75" thickTop="1">
      <c r="A93" s="502"/>
      <c r="B93" s="495" t="s">
        <v>1925</v>
      </c>
      <c r="C93" s="607" t="s">
        <v>1799</v>
      </c>
      <c r="D93" s="607" t="s">
        <v>1800</v>
      </c>
      <c r="E93" s="607" t="s">
        <v>1801</v>
      </c>
      <c r="F93" s="607" t="s">
        <v>1802</v>
      </c>
      <c r="G93" s="607"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1"/>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2"/>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5"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5.75" thickBot="1">
      <c r="A106" s="502"/>
      <c r="B106" s="495"/>
      <c r="C106" s="519"/>
      <c r="D106" s="519"/>
      <c r="E106" s="519"/>
      <c r="F106" s="519"/>
      <c r="G106" s="624"/>
      <c r="H106" s="624"/>
      <c r="I106" s="624"/>
      <c r="J106" s="624"/>
      <c r="K106" s="624"/>
      <c r="L106" s="624"/>
      <c r="M106" s="646"/>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2" t="str">
        <f t="shared" si="25"/>
        <v>(含)-</v>
      </c>
      <c r="L107" s="1332" t="str">
        <f t="shared" si="25"/>
        <v>(含)-</v>
      </c>
      <c r="M107" s="1333"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5"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5.75" thickBot="1">
      <c r="A121" s="517"/>
      <c r="B121" s="647"/>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59" priority="18" stopIfTrue="1" operator="containsText" text="超过">
      <formula>NOT(ISERROR(SEARCH("超过",F46)))</formula>
    </cfRule>
  </conditionalFormatting>
  <conditionalFormatting sqref="J48">
    <cfRule type="containsText" dxfId="58" priority="17" stopIfTrue="1" operator="containsText" text="超过">
      <formula>NOT(ISERROR(SEARCH("超过",J48)))</formula>
    </cfRule>
  </conditionalFormatting>
  <conditionalFormatting sqref="H48">
    <cfRule type="containsText" dxfId="57" priority="16" stopIfTrue="1" operator="containsText" text="超过">
      <formula>NOT(ISERROR(SEARCH("超过",H48)))</formula>
    </cfRule>
  </conditionalFormatting>
  <conditionalFormatting sqref="F48">
    <cfRule type="containsText" dxfId="56" priority="15" stopIfTrue="1" operator="containsText" text="超过">
      <formula>NOT(ISERROR(SEARCH("超过",F48)))</formula>
    </cfRule>
  </conditionalFormatting>
  <conditionalFormatting sqref="F47 H47 J47">
    <cfRule type="containsText" dxfId="55" priority="14" stopIfTrue="1" operator="containsText" text="超过">
      <formula>NOT(ISERROR(SEARCH("超过",F47)))</formula>
    </cfRule>
  </conditionalFormatting>
  <conditionalFormatting sqref="E46">
    <cfRule type="expression" dxfId="54" priority="13" stopIfTrue="1">
      <formula>$F$46="超过30%"</formula>
    </cfRule>
  </conditionalFormatting>
  <conditionalFormatting sqref="G48">
    <cfRule type="expression" dxfId="53" priority="12" stopIfTrue="1">
      <formula>$H$48="超过30%"</formula>
    </cfRule>
  </conditionalFormatting>
  <conditionalFormatting sqref="E48">
    <cfRule type="expression" dxfId="52" priority="10" stopIfTrue="1">
      <formula>$F$48="超过30%"</formula>
    </cfRule>
  </conditionalFormatting>
  <conditionalFormatting sqref="G46">
    <cfRule type="expression" dxfId="51" priority="9" stopIfTrue="1">
      <formula>$H$46="超过30%"</formula>
    </cfRule>
  </conditionalFormatting>
  <conditionalFormatting sqref="G47">
    <cfRule type="expression" dxfId="50" priority="8" stopIfTrue="1">
      <formula>$H$47="超过20%"</formula>
    </cfRule>
  </conditionalFormatting>
  <conditionalFormatting sqref="I46">
    <cfRule type="expression" dxfId="49" priority="7" stopIfTrue="1">
      <formula>$J$46="超过30%"</formula>
    </cfRule>
  </conditionalFormatting>
  <conditionalFormatting sqref="I47">
    <cfRule type="expression" dxfId="48" priority="6" stopIfTrue="1">
      <formula>$J$47="超过20%"</formula>
    </cfRule>
  </conditionalFormatting>
  <conditionalFormatting sqref="I48">
    <cfRule type="expression" dxfId="47" priority="5" stopIfTrue="1">
      <formula>$J$48="超过30%"</formula>
    </cfRule>
  </conditionalFormatting>
  <conditionalFormatting sqref="E47">
    <cfRule type="expression" dxfId="46" priority="53" stopIfTrue="1">
      <formula>#REF!+$F$47="超过20%"</formula>
    </cfRule>
  </conditionalFormatting>
  <conditionalFormatting sqref="F42">
    <cfRule type="expression" dxfId="45" priority="4">
      <formula>$D$42="简单平均"</formula>
    </cfRule>
  </conditionalFormatting>
  <conditionalFormatting sqref="H42">
    <cfRule type="expression" dxfId="44" priority="3">
      <formula>$D$42="简单平均"</formula>
    </cfRule>
  </conditionalFormatting>
  <conditionalFormatting sqref="J42">
    <cfRule type="expression" dxfId="43" priority="2">
      <formula>$D$42="简单平均"</formula>
    </cfRule>
  </conditionalFormatting>
  <conditionalFormatting sqref="F7:F40 H7:H40 J7:J40">
    <cfRule type="cellIs" dxfId="4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2081</v>
      </c>
      <c r="B1" s="2146"/>
      <c r="C1" s="2146"/>
      <c r="D1" s="2146"/>
      <c r="E1" s="2146"/>
      <c r="F1" s="2792"/>
      <c r="G1" s="2792"/>
      <c r="H1" s="2792"/>
      <c r="I1" s="2792"/>
      <c r="J1" s="2792"/>
      <c r="K1" s="2792"/>
      <c r="L1" s="2792"/>
      <c r="M1" s="2792"/>
      <c r="N1" s="2792"/>
      <c r="O1" s="2792"/>
      <c r="P1" s="2792"/>
    </row>
    <row r="2" spans="1:16" ht="15.75">
      <c r="A2" s="2144" t="s">
        <v>2073</v>
      </c>
      <c r="B2" s="2601">
        <f ca="1">SUMIF(B6:B13,"&lt;&gt;#ref!",B6:B13)</f>
        <v>0</v>
      </c>
      <c r="C2" s="2144" t="s">
        <v>2074</v>
      </c>
      <c r="D2" s="2144" t="s">
        <v>2075</v>
      </c>
      <c r="E2" s="2611">
        <f ca="1">SUMIF(E6:E13,"&lt;&gt;#ref!",E6:E13)</f>
        <v>121.8</v>
      </c>
      <c r="F2" s="2792"/>
      <c r="G2" s="2792"/>
      <c r="H2" s="2792"/>
      <c r="I2" s="2792"/>
      <c r="J2" s="2792"/>
      <c r="K2" s="2792"/>
      <c r="L2" s="2792"/>
      <c r="M2" s="2792"/>
      <c r="N2" s="2792"/>
      <c r="O2" s="2792"/>
      <c r="P2" s="2792"/>
    </row>
    <row r="3" spans="1:16" ht="15.75">
      <c r="A3" s="2144" t="s">
        <v>2076</v>
      </c>
      <c r="B3" s="2601">
        <f ca="1">ROUND(B2*10000/E2,0)</f>
        <v>0</v>
      </c>
      <c r="C3" s="2144"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2077</v>
      </c>
      <c r="B5" s="2609" t="s">
        <v>2078</v>
      </c>
      <c r="C5" s="2145"/>
      <c r="D5" s="2792"/>
      <c r="E5" s="2610" t="s">
        <v>2079</v>
      </c>
      <c r="F5" s="2792"/>
      <c r="G5" s="2792"/>
      <c r="H5" s="2792"/>
      <c r="I5" s="2792"/>
      <c r="J5" s="2792"/>
      <c r="K5" s="2792"/>
      <c r="L5" s="2792"/>
      <c r="M5" s="2792"/>
      <c r="N5" s="2792"/>
      <c r="O5" s="2792"/>
      <c r="P5" s="2792"/>
    </row>
    <row r="6" spans="1:16" ht="15.75">
      <c r="A6" s="2608" t="s">
        <v>2080</v>
      </c>
      <c r="B6" s="2601">
        <f ca="1">SUMIF(INDIRECT("'"&amp;A6&amp;"'"&amp;"!A:A"),"总价",INDIRECT("'"&amp;A6&amp;"'"&amp;"!B:B"))</f>
        <v>0</v>
      </c>
      <c r="C6" s="2144" t="s">
        <v>2074</v>
      </c>
      <c r="D6" s="2792"/>
      <c r="E6" s="2611">
        <f ca="1">SUMIF(INDIRECT("'"&amp;A6&amp;"'"&amp;"!C:C"),"建筑面积",INDIRECT("'"&amp;A6&amp;"'"&amp;"!D:D"))</f>
        <v>121.8</v>
      </c>
      <c r="F6" s="2792"/>
      <c r="G6" s="2792"/>
      <c r="H6" s="2792"/>
      <c r="I6" s="2792"/>
      <c r="J6" s="2792"/>
      <c r="K6" s="2792"/>
      <c r="L6" s="2792"/>
      <c r="M6" s="2792"/>
      <c r="N6" s="2792"/>
      <c r="O6" s="2792"/>
      <c r="P6" s="2792"/>
    </row>
    <row r="7" spans="1:16" ht="15.75">
      <c r="A7" s="2608"/>
      <c r="B7" s="2601" t="e">
        <f ca="1">SUMIF(INDIRECT("'"&amp;A7&amp;"'"&amp;"!A:A"),"总价",INDIRECT("'"&amp;A7&amp;"'"&amp;"!B:B"))</f>
        <v>#REF!</v>
      </c>
      <c r="C7" s="2144"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4" t="s">
        <v>2074</v>
      </c>
      <c r="D8" s="2792"/>
      <c r="E8" s="2611" t="e">
        <f t="shared" ca="1" si="0"/>
        <v>#REF!</v>
      </c>
      <c r="F8" s="2792"/>
      <c r="G8" s="2792"/>
      <c r="H8" s="2792"/>
      <c r="I8" s="2792"/>
      <c r="J8" s="2792"/>
      <c r="K8" s="2792"/>
      <c r="L8" s="2792"/>
      <c r="M8" s="2792"/>
      <c r="N8" s="2792"/>
      <c r="O8" s="2792"/>
      <c r="P8" s="2792"/>
    </row>
    <row r="9" spans="1:16" ht="15.75">
      <c r="A9" s="2608"/>
      <c r="B9" s="2601" t="e">
        <f t="shared" ca="1" si="1"/>
        <v>#REF!</v>
      </c>
      <c r="C9" s="2144" t="s">
        <v>2074</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4" t="s">
        <v>2074</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4" t="s">
        <v>2074</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4" t="s">
        <v>2074</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4"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B37" zoomScaleNormal="80" zoomScaleSheetLayoutView="100" workbookViewId="0">
      <selection activeCell="K63" sqref="K63"/>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0" customWidth="1"/>
    <col min="33" max="36" width="9.375" style="2052" customWidth="1"/>
    <col min="37" max="38" width="9.375" style="1997" customWidth="1"/>
    <col min="39" max="16384" width="12" style="1997"/>
  </cols>
  <sheetData>
    <row r="1" spans="1:36" ht="28.5">
      <c r="A1" s="196" t="s">
        <v>1926</v>
      </c>
      <c r="B1" s="197"/>
      <c r="C1" s="201" t="s">
        <v>1927</v>
      </c>
      <c r="D1" s="342">
        <f>SUM(D33:D34,D37:D42)</f>
        <v>121.8</v>
      </c>
      <c r="E1" s="1994"/>
      <c r="F1" s="1994"/>
      <c r="G1" s="1994"/>
      <c r="H1" s="1994"/>
      <c r="I1" s="1994"/>
      <c r="J1" s="1994"/>
      <c r="K1" s="1118"/>
      <c r="L1" s="1995" t="s">
        <v>1928</v>
      </c>
      <c r="M1" s="862">
        <f>SUMPRODUCT((区片价!B5:B9=I2)*(区片价!C3:G3=E2)*(区片价!C5:G9))</f>
        <v>0</v>
      </c>
      <c r="N1" s="865">
        <f>SUMPRODUCT((因素修正幅度!B5:B9=I2)*(因素修正幅度!C3:G3=E2)*(因素修正幅度!C5:G9))</f>
        <v>0</v>
      </c>
      <c r="O1" s="1996"/>
      <c r="P1" s="1996"/>
      <c r="Q1" s="1118"/>
      <c r="R1" s="1211" t="s">
        <v>1929</v>
      </c>
      <c r="S1" s="1211" t="s">
        <v>1930</v>
      </c>
      <c r="T1" s="1211" t="s">
        <v>1931</v>
      </c>
      <c r="U1" s="1211" t="s">
        <v>1932</v>
      </c>
      <c r="V1" s="1211" t="s">
        <v>1933</v>
      </c>
      <c r="W1" s="1215"/>
      <c r="X1" s="1215"/>
      <c r="Y1" s="1215"/>
      <c r="Z1" s="1215"/>
      <c r="AA1" s="1215"/>
      <c r="AB1" s="1215"/>
      <c r="AC1" s="1216"/>
      <c r="AD1" s="1217"/>
      <c r="AE1" s="1217"/>
      <c r="AF1" s="1217"/>
      <c r="AG1" s="1217"/>
      <c r="AH1" s="1217"/>
      <c r="AI1" s="1217"/>
      <c r="AJ1" s="1218"/>
    </row>
    <row r="2" spans="1:36" ht="15.75">
      <c r="A2" s="201" t="s">
        <v>1934</v>
      </c>
      <c r="B2" s="204">
        <f>C30</f>
        <v>0</v>
      </c>
      <c r="C2" s="1998" t="s">
        <v>1935</v>
      </c>
      <c r="D2" s="1999" t="s">
        <v>1936</v>
      </c>
      <c r="E2" s="3421" t="s">
        <v>673</v>
      </c>
      <c r="F2" s="1999" t="s">
        <v>1937</v>
      </c>
      <c r="G2" s="2000" t="str">
        <f>IF(E2="商业",项目基本情况!B37,IF(E2="办公",项目基本情况!C37,IF(E2="住宅",项目基本情况!D37,IF(E2="工业",项目基本情况!E37,项目基本情况!F37))))</f>
        <v>四级</v>
      </c>
      <c r="H2" s="1999" t="s">
        <v>1938</v>
      </c>
      <c r="I2" s="2000" t="str">
        <f>IF(E2="商业",项目基本情况!B38,IF(E2="办公",项目基本情况!C38,IF(E2="住宅",项目基本情况!D38,IF(E2="工业",项目基本情况!E38,项目基本情况!F38))))</f>
        <v>Ⅳ-04</v>
      </c>
      <c r="J2" s="2001"/>
      <c r="K2" s="1118"/>
      <c r="L2" s="2002" t="s">
        <v>1939</v>
      </c>
      <c r="M2" s="863">
        <f>SUMPRODUCT((区片价!B10:B29=I2)*(区片价!C3:G3=E2)*(区片价!C10:G29))</f>
        <v>0</v>
      </c>
      <c r="N2" s="865">
        <f>SUMPRODUCT((因素修正幅度!B10:B29=I2)*(因素修正幅度!C3:G3=E2)*(因素修正幅度!C10:G29))</f>
        <v>0</v>
      </c>
      <c r="O2" s="1118"/>
      <c r="P2" s="1118"/>
      <c r="Q2" s="1118"/>
      <c r="R2" s="1211">
        <v>1</v>
      </c>
      <c r="S2" s="3360">
        <f>ROUND(SUMPRODUCT((B106:B110=R2)*(C105:N105=G2)*(C106:N110)),4)</f>
        <v>1.5019</v>
      </c>
      <c r="T2" s="3360">
        <f t="shared" ref="T2:T16" si="0">ROUND($C$5*$C$22*$C$23*$C$24*S2*$C$28,0)</f>
        <v>24909</v>
      </c>
      <c r="U2" s="1212"/>
      <c r="V2" s="3360">
        <f>ROUND(T2*U2/10000,0)</f>
        <v>0</v>
      </c>
      <c r="W2" s="1215"/>
      <c r="X2" s="1215"/>
      <c r="Y2" s="1215"/>
      <c r="Z2" s="1215"/>
      <c r="AA2" s="1215"/>
      <c r="AB2" s="1215"/>
      <c r="AC2" s="1216"/>
      <c r="AD2" s="1217"/>
      <c r="AE2" s="1217"/>
      <c r="AF2" s="1217"/>
      <c r="AG2" s="1217"/>
      <c r="AH2" s="1217"/>
      <c r="AI2" s="1217"/>
      <c r="AJ2" s="1218"/>
    </row>
    <row r="3" spans="1:36" ht="15.75">
      <c r="A3" s="203" t="s">
        <v>1940</v>
      </c>
      <c r="B3" s="204">
        <f>ROUND(B2*10000/D1,0)</f>
        <v>0</v>
      </c>
      <c r="C3" s="1998" t="s">
        <v>1941</v>
      </c>
      <c r="D3" s="1999" t="s">
        <v>1942</v>
      </c>
      <c r="E3" s="3419" t="s">
        <v>2449</v>
      </c>
      <c r="F3" s="2003" t="s">
        <v>3422</v>
      </c>
      <c r="G3" s="751">
        <f>IF(F3="宗地容积率",'数据-汇总表'!I4,IF(F3="估价对象容积率",'数据-汇总表'!I6,'数据-汇总表'!I7))</f>
        <v>2.5</v>
      </c>
      <c r="H3" s="170" t="s">
        <v>1943</v>
      </c>
      <c r="I3" s="774">
        <v>2</v>
      </c>
      <c r="J3" s="2001" t="s">
        <v>1944</v>
      </c>
      <c r="K3" s="1118"/>
      <c r="L3" s="2002" t="s">
        <v>1945</v>
      </c>
      <c r="M3" s="863">
        <f>SUMPRODUCT((区片价!B30:B54=I2)*(区片价!C3:G3=E2)*(区片价!C30:G54))</f>
        <v>0</v>
      </c>
      <c r="N3" s="865">
        <f>SUMPRODUCT((因素修正幅度!B30:B54=I2)*(因素修正幅度!C3:G3=E2)*(因素修正幅度!C30:G54))</f>
        <v>0</v>
      </c>
      <c r="O3" s="1118"/>
      <c r="P3" s="1118"/>
      <c r="Q3" s="1118"/>
      <c r="R3" s="1211">
        <v>2</v>
      </c>
      <c r="S3" s="3360">
        <f>ROUND(SUMPRODUCT((B106:B110=R3)*(C105:N105=G2)*(C106:N110)),4)</f>
        <v>1.1838</v>
      </c>
      <c r="T3" s="3360">
        <f t="shared" si="0"/>
        <v>19634</v>
      </c>
      <c r="U3" s="1212"/>
      <c r="V3" s="3360">
        <f t="shared" ref="V3:V16" si="1">ROUND(T3*U3/10000,0)</f>
        <v>0</v>
      </c>
      <c r="W3" s="1215"/>
      <c r="X3" s="1215"/>
      <c r="Y3" s="1215"/>
      <c r="Z3" s="1215"/>
      <c r="AA3" s="1215"/>
      <c r="AB3" s="1215"/>
      <c r="AC3" s="1216"/>
      <c r="AD3" s="1217"/>
      <c r="AE3" s="1217"/>
      <c r="AF3" s="1217"/>
      <c r="AG3" s="1217"/>
      <c r="AH3" s="1217"/>
      <c r="AI3" s="1217"/>
      <c r="AJ3" s="1218"/>
    </row>
    <row r="4" spans="1:36" ht="15.75">
      <c r="A4" s="3793"/>
      <c r="B4" s="3794"/>
      <c r="C4" s="3794"/>
      <c r="D4" s="3795"/>
      <c r="E4" s="3795"/>
      <c r="F4" s="3795"/>
      <c r="G4" s="3795"/>
      <c r="H4" s="3795"/>
      <c r="I4" s="3795"/>
      <c r="J4" s="3796"/>
      <c r="K4" s="1118"/>
      <c r="L4" s="2002" t="s">
        <v>1946</v>
      </c>
      <c r="M4" s="863">
        <f>SUMPRODUCT((区片价!B55:B86=I2)*(区片价!C3:G3=E2)*(区片价!C55:G86))</f>
        <v>21460</v>
      </c>
      <c r="N4" s="865">
        <f>SUMPRODUCT((因素修正幅度!B55:B86=I2)*(因素修正幅度!C3:G3=E2)*(因素修正幅度!C55:G86))</f>
        <v>9.8000000000000004E-2</v>
      </c>
      <c r="O4" s="1118"/>
      <c r="P4" s="1118"/>
      <c r="Q4" s="1118"/>
      <c r="R4" s="1211">
        <v>3</v>
      </c>
      <c r="S4" s="3360">
        <f>ROUND(SUMPRODUCT((B106:B110=R4)*(C105:N105=G2)*(C106:N110)),4)</f>
        <v>1.0004999999999999</v>
      </c>
      <c r="T4" s="3360">
        <f t="shared" si="0"/>
        <v>16594</v>
      </c>
      <c r="U4" s="1212"/>
      <c r="V4" s="3360">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1947</v>
      </c>
      <c r="C5" s="752">
        <f>ROUND(IF(E2="商业",C6*C7*C17+C20,(IF(E2="住宅",C6*C13*C17+C20,IF(E2="办公",C6*C12*C17+C20,C6+C20)))),0)</f>
        <v>21440</v>
      </c>
      <c r="D5" s="1338">
        <f>ROUND(C6*C17+C20,0)</f>
        <v>21440</v>
      </c>
      <c r="E5" s="1338"/>
      <c r="F5" s="2006"/>
      <c r="G5" s="2007"/>
      <c r="H5" s="2007"/>
      <c r="I5" s="2007"/>
      <c r="J5" s="2008"/>
      <c r="K5" s="2009"/>
      <c r="L5" s="2002" t="s">
        <v>1948</v>
      </c>
      <c r="M5" s="863">
        <f>SUMPRODUCT((区片价!B87:B126=I2)*(区片价!C3:G3=E2)*(区片价!C87:G126))</f>
        <v>0</v>
      </c>
      <c r="N5" s="865">
        <f>SUMPRODUCT((因素修正幅度!B87:B126=I2)*(因素修正幅度!C3:G3=E2)*(因素修正幅度!C87:G126))</f>
        <v>0</v>
      </c>
      <c r="O5" s="1118"/>
      <c r="P5" s="1118"/>
      <c r="Q5" s="1118"/>
      <c r="R5" s="1211">
        <v>4</v>
      </c>
      <c r="S5" s="3360">
        <f>ROUND(SUMPRODUCT((B106:B110=R5)*(C105:N105=G2)*(C106:N110)),4)</f>
        <v>0.88239999999999996</v>
      </c>
      <c r="T5" s="3360">
        <f t="shared" si="0"/>
        <v>14635</v>
      </c>
      <c r="U5" s="1212"/>
      <c r="V5" s="3360">
        <f t="shared" si="1"/>
        <v>0</v>
      </c>
      <c r="W5" s="1215"/>
      <c r="X5" s="1215"/>
      <c r="Y5" s="1215"/>
      <c r="Z5" s="1215"/>
      <c r="AA5" s="1215"/>
      <c r="AB5" s="1215"/>
      <c r="AC5" s="2010"/>
      <c r="AD5" s="2011"/>
      <c r="AE5" s="2011"/>
      <c r="AF5" s="2011"/>
      <c r="AG5" s="2011"/>
      <c r="AH5" s="2011"/>
      <c r="AI5" s="2011"/>
      <c r="AJ5" s="2012"/>
    </row>
    <row r="6" spans="1:36" ht="15.75" thickBot="1">
      <c r="A6" s="2014" t="s">
        <v>1949</v>
      </c>
      <c r="B6" s="2015" t="s">
        <v>1950</v>
      </c>
      <c r="C6" s="753">
        <f>SUMIF(L1:L12,G2,M1:M12)</f>
        <v>21460</v>
      </c>
      <c r="D6" s="2016"/>
      <c r="E6" s="2017"/>
      <c r="F6" s="2017"/>
      <c r="G6" s="2018"/>
      <c r="H6" s="2018"/>
      <c r="I6" s="2018"/>
      <c r="J6" s="2019"/>
      <c r="K6" s="1383"/>
      <c r="L6" s="2002" t="s">
        <v>1951</v>
      </c>
      <c r="M6" s="863">
        <f>SUMPRODUCT((区片价!B127:B189=I2)*(区片价!C3:G3=E2)*(区片价!C127:G189))</f>
        <v>0</v>
      </c>
      <c r="N6" s="865">
        <f>SUMPRODUCT((因素修正幅度!B127:B189=I2)*(因素修正幅度!C3:G3=E2)*(因素修正幅度!C127:G189))</f>
        <v>0</v>
      </c>
      <c r="O6" s="1118"/>
      <c r="P6" s="1118"/>
      <c r="Q6" s="1118"/>
      <c r="R6" s="1211">
        <v>5</v>
      </c>
      <c r="S6" s="3360">
        <f>ROUND(SUMPRODUCT((B106:B110=R6)*(C105:N105=G2)*(C106:N110)),4)</f>
        <v>0.84799999999999998</v>
      </c>
      <c r="T6" s="3360">
        <f t="shared" si="0"/>
        <v>14064</v>
      </c>
      <c r="U6" s="1212"/>
      <c r="V6" s="3360">
        <f t="shared" si="1"/>
        <v>0</v>
      </c>
      <c r="W6" s="1215"/>
      <c r="X6" s="1215"/>
      <c r="Y6" s="1215"/>
      <c r="Z6" s="1215"/>
      <c r="AA6" s="1215"/>
      <c r="AB6" s="1215"/>
      <c r="AC6" s="2010"/>
      <c r="AD6" s="2011"/>
      <c r="AE6" s="2011"/>
      <c r="AF6" s="2011"/>
      <c r="AG6" s="2011"/>
      <c r="AH6" s="2011"/>
      <c r="AI6" s="2011"/>
      <c r="AJ6" s="2012"/>
    </row>
    <row r="7" spans="1:36" ht="24.75" thickBot="1">
      <c r="A7" s="3303" t="s">
        <v>3237</v>
      </c>
      <c r="B7" s="2020" t="s">
        <v>1952</v>
      </c>
      <c r="C7" s="754">
        <f>IF(C8="不临65条商业街",1,ROUND(1+(1.6*E8+1.2*E9+0.8*E10+0.4*E11)*C9,4))</f>
        <v>1</v>
      </c>
      <c r="D7" s="2021" t="s">
        <v>1953</v>
      </c>
      <c r="E7" s="775"/>
      <c r="F7" s="2022"/>
      <c r="G7" s="2023"/>
      <c r="H7" s="2023"/>
      <c r="I7" s="2023"/>
      <c r="J7" s="2024"/>
      <c r="K7" s="1383"/>
      <c r="L7" s="2002" t="s">
        <v>1954</v>
      </c>
      <c r="M7" s="863">
        <f>SUMPRODUCT((区片价!B190:B233=I2)*(区片价!C3:G3=E2)*(区片价!C190:G233))</f>
        <v>0</v>
      </c>
      <c r="N7" s="865">
        <f>SUMPRODUCT((因素修正幅度!B190:B233=I2)*(因素修正幅度!C3:G3=E2)*(因素修正幅度!C190:G233))</f>
        <v>0</v>
      </c>
      <c r="O7" s="1118"/>
      <c r="P7" s="1118"/>
      <c r="Q7" s="1118"/>
      <c r="R7" s="1211">
        <v>6</v>
      </c>
      <c r="S7" s="3418"/>
      <c r="T7" s="3360">
        <f t="shared" si="0"/>
        <v>0</v>
      </c>
      <c r="U7" s="1212"/>
      <c r="V7" s="3360">
        <f t="shared" si="1"/>
        <v>0</v>
      </c>
      <c r="W7" s="1357" t="s">
        <v>1955</v>
      </c>
      <c r="X7" s="1213" t="str">
        <f>G2</f>
        <v>四级</v>
      </c>
      <c r="Y7" s="1213" t="s">
        <v>1956</v>
      </c>
      <c r="Z7" s="1214">
        <f>G3</f>
        <v>2.5</v>
      </c>
      <c r="AA7" s="1215"/>
      <c r="AB7" s="1215"/>
      <c r="AC7" s="1216"/>
      <c r="AD7" s="1217"/>
      <c r="AE7" s="1217"/>
      <c r="AF7" s="1217"/>
      <c r="AG7" s="1217"/>
      <c r="AH7" s="1217"/>
      <c r="AI7" s="1217"/>
      <c r="AJ7" s="1218"/>
    </row>
    <row r="8" spans="1:36" ht="25.5">
      <c r="A8" s="3298"/>
      <c r="B8" s="170" t="s">
        <v>1957</v>
      </c>
      <c r="C8" s="2025" t="s">
        <v>3423</v>
      </c>
      <c r="D8" s="755" t="s">
        <v>112</v>
      </c>
      <c r="E8" s="756" t="e">
        <f>ROUND(C11/E7,4)</f>
        <v>#DIV/0!</v>
      </c>
      <c r="F8" s="2026" t="s">
        <v>1958</v>
      </c>
      <c r="G8" s="2027"/>
      <c r="H8" s="2027"/>
      <c r="I8" s="2027"/>
      <c r="J8" s="2028"/>
      <c r="K8" s="1118"/>
      <c r="L8" s="2002" t="s">
        <v>1959</v>
      </c>
      <c r="M8" s="863">
        <f>SUMPRODUCT((区片价!B234:B276=I2)*(区片价!C3:G3=E2)*(区片价!C234:G276))</f>
        <v>0</v>
      </c>
      <c r="N8" s="865">
        <f>SUMPRODUCT((因素修正幅度!B234:B276=I2)*(因素修正幅度!C3:G3=E2)*(因素修正幅度!C234:G276))</f>
        <v>0</v>
      </c>
      <c r="O8" s="1118"/>
      <c r="P8" s="1118"/>
      <c r="Q8" s="1118"/>
      <c r="R8" s="1211">
        <v>7</v>
      </c>
      <c r="S8" s="1212"/>
      <c r="T8" s="3360">
        <f t="shared" si="0"/>
        <v>0</v>
      </c>
      <c r="U8" s="1212"/>
      <c r="V8" s="3360">
        <f t="shared" si="1"/>
        <v>0</v>
      </c>
      <c r="W8" s="3790" t="s">
        <v>1960</v>
      </c>
      <c r="X8" s="3791"/>
      <c r="Y8" s="1219" t="s">
        <v>1961</v>
      </c>
      <c r="Z8" s="1219" t="s">
        <v>1962</v>
      </c>
      <c r="AA8" s="1219" t="s">
        <v>1963</v>
      </c>
      <c r="AB8" s="1219" t="s">
        <v>1964</v>
      </c>
      <c r="AC8" s="1219" t="s">
        <v>1965</v>
      </c>
      <c r="AD8" s="1219" t="s">
        <v>1966</v>
      </c>
      <c r="AE8" s="1219" t="s">
        <v>1967</v>
      </c>
      <c r="AF8" s="1219" t="s">
        <v>1968</v>
      </c>
      <c r="AG8" s="1219" t="s">
        <v>1969</v>
      </c>
      <c r="AH8" s="1219" t="s">
        <v>1970</v>
      </c>
      <c r="AI8" s="1219" t="s">
        <v>1971</v>
      </c>
      <c r="AJ8" s="1219" t="s">
        <v>1972</v>
      </c>
    </row>
    <row r="9" spans="1:36" ht="15">
      <c r="A9" s="3298"/>
      <c r="B9" s="170" t="s">
        <v>1973</v>
      </c>
      <c r="C9" s="757">
        <f>SUMIF(修正!C71:C138,C8,修正!E71:E138)</f>
        <v>0</v>
      </c>
      <c r="D9" s="171" t="s">
        <v>113</v>
      </c>
      <c r="E9" s="171" t="e">
        <f>ROUND(C11/E7,4)</f>
        <v>#DIV/0!</v>
      </c>
      <c r="F9" s="2026" t="s">
        <v>1974</v>
      </c>
      <c r="G9" s="2027"/>
      <c r="H9" s="2027"/>
      <c r="I9" s="2027"/>
      <c r="J9" s="2028"/>
      <c r="K9" s="1118"/>
      <c r="L9" s="2002" t="s">
        <v>1975</v>
      </c>
      <c r="M9" s="863">
        <f>SUMPRODUCT((区片价!B277:B326=I2)*(区片价!C3:G3=E2)*(区片价!C277:G326))</f>
        <v>0</v>
      </c>
      <c r="N9" s="865">
        <f>SUMPRODUCT((因素修正幅度!B277:B326=I2)*(因素修正幅度!C3:G3=E2)*(因素修正幅度!C277:G326))</f>
        <v>0</v>
      </c>
      <c r="O9" s="1118"/>
      <c r="P9" s="1118"/>
      <c r="Q9" s="1118"/>
      <c r="R9" s="1211">
        <v>8</v>
      </c>
      <c r="S9" s="1212"/>
      <c r="T9" s="3360">
        <f t="shared" si="0"/>
        <v>0</v>
      </c>
      <c r="U9" s="1212"/>
      <c r="V9" s="3360">
        <f t="shared" si="1"/>
        <v>0</v>
      </c>
      <c r="W9" s="3792"/>
      <c r="X9" s="3361" t="s">
        <v>3268</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6" t="s">
        <v>1977</v>
      </c>
      <c r="G10" s="2027"/>
      <c r="H10" s="2027"/>
      <c r="I10" s="2027"/>
      <c r="J10" s="2028"/>
      <c r="K10" s="1118"/>
      <c r="L10" s="2002" t="s">
        <v>1978</v>
      </c>
      <c r="M10" s="863">
        <f>SUMPRODUCT((区片价!B327:B357=I2)*(区片价!C3:G3=E2)*(区片价!C327:G357))</f>
        <v>0</v>
      </c>
      <c r="N10" s="865">
        <f>SUMPRODUCT((因素修正幅度!B327:B357=I2)*(因素修正幅度!C3:G3=E2)*(因素修正幅度!C327:G357))</f>
        <v>0</v>
      </c>
      <c r="O10" s="1118"/>
      <c r="P10" s="1118"/>
      <c r="Q10" s="1118"/>
      <c r="R10" s="1211">
        <v>9</v>
      </c>
      <c r="S10" s="1212"/>
      <c r="T10" s="3360">
        <f t="shared" si="0"/>
        <v>0</v>
      </c>
      <c r="U10" s="1212"/>
      <c r="V10" s="3360">
        <f t="shared" si="1"/>
        <v>0</v>
      </c>
      <c r="W10" s="3792"/>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29" t="s">
        <v>1979</v>
      </c>
      <c r="C11" s="758">
        <f>C10/4</f>
        <v>0</v>
      </c>
      <c r="D11" s="758" t="s">
        <v>115</v>
      </c>
      <c r="E11" s="758" t="e">
        <f>ROUND(C11/E7,4)</f>
        <v>#DIV/0!</v>
      </c>
      <c r="F11" s="2030" t="s">
        <v>1980</v>
      </c>
      <c r="G11" s="2031"/>
      <c r="H11" s="2031"/>
      <c r="I11" s="2031"/>
      <c r="J11" s="2032"/>
      <c r="K11" s="1118"/>
      <c r="L11" s="2002" t="s">
        <v>1981</v>
      </c>
      <c r="M11" s="863">
        <f>SUMPRODUCT((区片价!B358:B377=I2)*(区片价!C3:G3=E2)*(区片价!C358:G377))</f>
        <v>0</v>
      </c>
      <c r="N11" s="865">
        <f>SUMPRODUCT((因素修正幅度!B358:B377=I2)*(因素修正幅度!C3:G3=E2)*(因素修正幅度!C358:G377))</f>
        <v>0</v>
      </c>
      <c r="O11" s="1118"/>
      <c r="P11" s="1118"/>
      <c r="Q11" s="1118"/>
      <c r="R11" s="1211">
        <v>10</v>
      </c>
      <c r="S11" s="1212"/>
      <c r="T11" s="3360">
        <f t="shared" si="0"/>
        <v>0</v>
      </c>
      <c r="U11" s="1212"/>
      <c r="V11" s="3360">
        <f t="shared" si="1"/>
        <v>0</v>
      </c>
      <c r="W11" s="1215"/>
      <c r="X11" s="1215"/>
      <c r="Y11" s="1215"/>
      <c r="Z11" s="1215"/>
      <c r="AA11" s="1215"/>
      <c r="AB11" s="1215"/>
      <c r="AC11" s="1216"/>
      <c r="AD11" s="2788"/>
      <c r="AE11" s="2788"/>
      <c r="AF11" s="2788"/>
      <c r="AG11" s="2788"/>
      <c r="AH11" s="2788"/>
      <c r="AI11" s="2788"/>
      <c r="AJ11" s="2789"/>
    </row>
    <row r="12" spans="1:36" ht="25.5" thickBot="1">
      <c r="A12" s="3303" t="s">
        <v>3238</v>
      </c>
      <c r="B12" s="3304" t="s">
        <v>3239</v>
      </c>
      <c r="C12" s="3305"/>
      <c r="D12" s="3306" t="s">
        <v>3240</v>
      </c>
      <c r="E12" s="3307" t="s">
        <v>3241</v>
      </c>
      <c r="F12" s="3308"/>
      <c r="G12" s="3309"/>
      <c r="H12" s="3309"/>
      <c r="I12" s="3309"/>
      <c r="J12" s="3310"/>
      <c r="K12" s="1118"/>
      <c r="L12" s="2038" t="s">
        <v>1984</v>
      </c>
      <c r="M12" s="864">
        <f>SUMPRODUCT((区片价!B378:B384=I2)*(区片价!C3:G3=E2)*(区片价!C378:G384))</f>
        <v>0</v>
      </c>
      <c r="N12" s="865">
        <f>SUMPRODUCT((因素修正幅度!B378:B384=I2)*(因素修正幅度!C3:G3=E2)*(因素修正幅度!C378:G384))</f>
        <v>0</v>
      </c>
      <c r="O12" s="1118"/>
      <c r="P12" s="1118"/>
      <c r="Q12" s="1118"/>
      <c r="R12" s="1211">
        <v>11</v>
      </c>
      <c r="S12" s="1212"/>
      <c r="T12" s="3360">
        <f t="shared" si="0"/>
        <v>0</v>
      </c>
      <c r="U12" s="1212"/>
      <c r="V12" s="3360">
        <f t="shared" si="1"/>
        <v>0</v>
      </c>
      <c r="W12" s="1215"/>
      <c r="X12" s="1215"/>
      <c r="Y12" s="1215"/>
      <c r="Z12" s="1215"/>
      <c r="AA12" s="1215"/>
      <c r="AB12" s="1215"/>
      <c r="AC12" s="1216"/>
      <c r="AD12" s="2788"/>
      <c r="AE12" s="2788"/>
      <c r="AF12" s="2788"/>
      <c r="AG12" s="2788"/>
      <c r="AH12" s="2788"/>
      <c r="AI12" s="2788"/>
      <c r="AJ12" s="2789"/>
    </row>
    <row r="13" spans="1:36" ht="15.75" thickBot="1">
      <c r="A13" s="3303" t="s">
        <v>3242</v>
      </c>
      <c r="B13" s="2033" t="s">
        <v>1982</v>
      </c>
      <c r="C13" s="754">
        <f>ROUND(C16*D16*E16*F16*G16*H16*I16*J16,4)</f>
        <v>0</v>
      </c>
      <c r="D13" s="2034" t="s">
        <v>1983</v>
      </c>
      <c r="E13" s="2035"/>
      <c r="F13" s="2035"/>
      <c r="G13" s="2036"/>
      <c r="H13" s="2036"/>
      <c r="I13" s="2036"/>
      <c r="J13" s="2037"/>
      <c r="K13" s="1118"/>
      <c r="L13" s="3299"/>
      <c r="M13" s="3300"/>
      <c r="N13" s="3301"/>
      <c r="O13" s="1118"/>
      <c r="P13" s="1118"/>
      <c r="Q13" s="1118"/>
      <c r="R13" s="1211">
        <v>12</v>
      </c>
      <c r="S13" s="1212"/>
      <c r="T13" s="3360">
        <f t="shared" si="0"/>
        <v>0</v>
      </c>
      <c r="U13" s="1212"/>
      <c r="V13" s="3360">
        <f t="shared" si="1"/>
        <v>0</v>
      </c>
      <c r="W13" s="1215"/>
      <c r="X13" s="1215"/>
      <c r="Y13" s="1215"/>
      <c r="Z13" s="1215"/>
      <c r="AA13" s="1215"/>
      <c r="AB13" s="1215"/>
      <c r="AC13" s="1216"/>
      <c r="AD13" s="2788"/>
      <c r="AE13" s="2788"/>
      <c r="AF13" s="2788"/>
      <c r="AG13" s="2788"/>
      <c r="AH13" s="2788"/>
      <c r="AI13" s="2788"/>
      <c r="AJ13" s="2789"/>
    </row>
    <row r="14" spans="1:36" ht="15">
      <c r="A14" s="3297"/>
      <c r="B14" s="2039" t="s">
        <v>1985</v>
      </c>
      <c r="C14" s="2040" t="s">
        <v>1986</v>
      </c>
      <c r="D14" s="1349" t="s">
        <v>1987</v>
      </c>
      <c r="E14" s="27" t="s">
        <v>1988</v>
      </c>
      <c r="F14" s="3311" t="s">
        <v>3243</v>
      </c>
      <c r="G14" s="3311" t="s">
        <v>3243</v>
      </c>
      <c r="H14" s="3311" t="s">
        <v>3243</v>
      </c>
      <c r="I14" s="3311" t="s">
        <v>3243</v>
      </c>
      <c r="J14" s="3311" t="s">
        <v>3243</v>
      </c>
      <c r="K14" s="1118"/>
      <c r="L14" s="1118"/>
      <c r="M14" s="1118"/>
      <c r="N14" s="1118"/>
      <c r="O14" s="1118"/>
      <c r="P14" s="1118"/>
      <c r="Q14" s="1118"/>
      <c r="R14" s="1211">
        <v>13</v>
      </c>
      <c r="S14" s="1212"/>
      <c r="T14" s="3360">
        <f t="shared" si="0"/>
        <v>0</v>
      </c>
      <c r="U14" s="1212"/>
      <c r="V14" s="3360">
        <f t="shared" si="1"/>
        <v>0</v>
      </c>
      <c r="W14" s="1215"/>
      <c r="X14" s="1215"/>
      <c r="Y14" s="1215"/>
      <c r="Z14" s="1215"/>
      <c r="AA14" s="1215"/>
      <c r="AB14" s="1215"/>
      <c r="AC14" s="1216"/>
      <c r="AD14" s="2788"/>
      <c r="AE14" s="2788"/>
      <c r="AF14" s="2788"/>
      <c r="AG14" s="2788"/>
      <c r="AH14" s="2788"/>
      <c r="AI14" s="2788"/>
      <c r="AJ14" s="2789"/>
    </row>
    <row r="15" spans="1:36" ht="15">
      <c r="A15" s="3297"/>
      <c r="B15" s="2041"/>
      <c r="C15" s="2042"/>
      <c r="D15" s="2043"/>
      <c r="E15" s="2044"/>
      <c r="F15" s="3312" t="s">
        <v>3244</v>
      </c>
      <c r="G15" s="3313"/>
      <c r="H15" s="3314"/>
      <c r="I15" s="3315"/>
      <c r="J15" s="3316"/>
      <c r="K15" s="1118"/>
      <c r="L15" s="1118"/>
      <c r="M15" s="1118"/>
      <c r="N15" s="1118"/>
      <c r="O15" s="1118"/>
      <c r="P15" s="1118"/>
      <c r="Q15" s="1118"/>
      <c r="R15" s="1211">
        <v>14</v>
      </c>
      <c r="S15" s="1212"/>
      <c r="T15" s="3360">
        <f t="shared" si="0"/>
        <v>0</v>
      </c>
      <c r="U15" s="1212"/>
      <c r="V15" s="3360">
        <f t="shared" si="1"/>
        <v>0</v>
      </c>
      <c r="W15" s="1215"/>
      <c r="X15" s="1215"/>
      <c r="Y15" s="1215"/>
      <c r="Z15" s="1215"/>
      <c r="AA15" s="1215"/>
      <c r="AB15" s="1215"/>
      <c r="AC15" s="1216"/>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8"/>
      <c r="L16" s="1996"/>
      <c r="M16" s="1996"/>
      <c r="N16" s="1996"/>
      <c r="O16" s="1996"/>
      <c r="P16" s="1996"/>
      <c r="Q16" s="1118"/>
      <c r="R16" s="1211">
        <v>15</v>
      </c>
      <c r="S16" s="1212"/>
      <c r="T16" s="3360">
        <f t="shared" si="0"/>
        <v>0</v>
      </c>
      <c r="U16" s="1212"/>
      <c r="V16" s="3360">
        <f t="shared" si="1"/>
        <v>0</v>
      </c>
      <c r="W16" s="1215"/>
      <c r="X16" s="1215"/>
      <c r="Y16" s="1215"/>
      <c r="Z16" s="1215"/>
      <c r="AA16" s="1215"/>
      <c r="AB16" s="1215"/>
      <c r="AC16" s="1216"/>
      <c r="AD16" s="2788"/>
      <c r="AE16" s="2788"/>
      <c r="AF16" s="2788"/>
      <c r="AG16" s="2788"/>
      <c r="AH16" s="2788"/>
      <c r="AI16" s="2788"/>
      <c r="AJ16" s="2789"/>
    </row>
    <row r="17" spans="1:37">
      <c r="A17" s="3329" t="s">
        <v>3245</v>
      </c>
      <c r="B17" s="3320" t="s">
        <v>3246</v>
      </c>
      <c r="C17" s="3330">
        <f>ROUND(IF(OR(E2="工业",E2="公共服务"),1,IF(AND(E18=0,E19=0),1,IF(AND(E18=J24,E19=G19),0.8,IF(E19=0,1+E17*(-0.2),1+E17*G17*(-0.2))))),4)</f>
        <v>1</v>
      </c>
      <c r="D17" s="3321" t="s">
        <v>3247</v>
      </c>
      <c r="E17" s="3330">
        <f>ROUND(G18/I18,2)</f>
        <v>0</v>
      </c>
      <c r="F17" s="3321" t="s">
        <v>3250</v>
      </c>
      <c r="G17" s="3330" t="e">
        <f>ROUND(E19/G19,2)</f>
        <v>#DIV/0!</v>
      </c>
      <c r="H17" s="3330"/>
      <c r="I17" s="3330"/>
      <c r="J17" s="3331"/>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4.25">
      <c r="A18" s="3332"/>
      <c r="B18" s="3009"/>
      <c r="C18" s="3327"/>
      <c r="D18" s="3322" t="s">
        <v>3248</v>
      </c>
      <c r="E18" s="3328"/>
      <c r="F18" s="3323" t="s">
        <v>3251</v>
      </c>
      <c r="G18" s="3327">
        <f>ROUND(1-(1/(POWER(1+G24,E18))),4)</f>
        <v>0</v>
      </c>
      <c r="H18" s="3323" t="s">
        <v>3253</v>
      </c>
      <c r="I18" s="3327">
        <f>ROUND(1-(1/(POWER(1+G24,J24))),4)</f>
        <v>0.88249999999999995</v>
      </c>
      <c r="J18" s="3333"/>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7"/>
    </row>
    <row r="19" spans="1:37" s="2013" customFormat="1" ht="15" thickBot="1">
      <c r="A19" s="3334"/>
      <c r="B19" s="3335"/>
      <c r="C19" s="3336"/>
      <c r="D19" s="3336" t="s">
        <v>3249</v>
      </c>
      <c r="E19" s="3337"/>
      <c r="F19" s="3338" t="s">
        <v>3252</v>
      </c>
      <c r="G19" s="3337"/>
      <c r="H19" s="3336"/>
      <c r="I19" s="3336"/>
      <c r="J19" s="3339"/>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90"/>
      <c r="AH19" s="2140"/>
      <c r="AI19" s="2791"/>
      <c r="AJ19" s="2791"/>
      <c r="AK19" s="2056"/>
    </row>
    <row r="20" spans="1:37" s="2013" customFormat="1" ht="14.25">
      <c r="A20" s="3797" t="s">
        <v>3254</v>
      </c>
      <c r="B20" s="167" t="s">
        <v>1994</v>
      </c>
      <c r="C20" s="3324">
        <f>ROUND(IF(F21="与级别开发程度一致",0,(G21-E21)/C21),0)</f>
        <v>-20</v>
      </c>
      <c r="D20" s="3340" t="s">
        <v>1998</v>
      </c>
      <c r="E20" s="3341"/>
      <c r="F20" s="3803" t="s">
        <v>1995</v>
      </c>
      <c r="G20" s="3804"/>
      <c r="H20" s="3325" t="s">
        <v>3425</v>
      </c>
      <c r="I20" s="3325" t="s">
        <v>3426</v>
      </c>
      <c r="J20" s="3326" t="s">
        <v>3427</v>
      </c>
      <c r="K20" s="2046" t="s">
        <v>3428</v>
      </c>
      <c r="L20" s="2046" t="s">
        <v>3429</v>
      </c>
      <c r="M20" s="2046" t="s">
        <v>3430</v>
      </c>
      <c r="N20" s="2046" t="s">
        <v>3431</v>
      </c>
      <c r="O20" s="2047" t="s">
        <v>43</v>
      </c>
      <c r="P20" s="1996"/>
      <c r="Q20" s="1123"/>
      <c r="R20" s="1123"/>
      <c r="S20" s="1123"/>
      <c r="T20" s="1119"/>
      <c r="U20" s="1119"/>
      <c r="V20" s="1119"/>
      <c r="W20" s="1118"/>
      <c r="X20" s="1118"/>
      <c r="Y20" s="1118"/>
      <c r="Z20" s="1124"/>
      <c r="AA20" s="1124"/>
      <c r="AB20" s="1124"/>
      <c r="AC20" s="1124"/>
      <c r="AD20" s="1124"/>
      <c r="AE20" s="1124"/>
      <c r="AF20" s="1124"/>
      <c r="AG20" s="2787"/>
      <c r="AH20" s="2787"/>
      <c r="AI20" s="2787"/>
      <c r="AJ20" s="2787"/>
    </row>
    <row r="21" spans="1:37" s="2013" customFormat="1" ht="26.25" thickBot="1">
      <c r="A21" s="3798"/>
      <c r="B21" s="2163" t="s">
        <v>1997</v>
      </c>
      <c r="C21" s="2164">
        <f>IF(E3="M4科研用地",SUMPRODUCT((修正!A2:A7=E3)*(修正!B1:M1=G2)*(修正!B2:M7)),SUMPRODUCT((修正!A2:A7=E2)*(修正!B1:M1=G2)*(修正!B2:M7)))</f>
        <v>2.5</v>
      </c>
      <c r="D21" s="187" t="str">
        <f>IF(OR(G2="八级",G2="九级",G2="十级",G2="十一级",G2="十二级"),"五通一平","七通一平")</f>
        <v>七通一平</v>
      </c>
      <c r="E21" s="2154">
        <f>SUMPRODUCT((修正!B1:M1=G2)*(修正!B17:M17))</f>
        <v>315</v>
      </c>
      <c r="F21" s="2155" t="s">
        <v>3424</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87"/>
      <c r="R21" s="1123"/>
      <c r="S21" s="1123"/>
      <c r="T21" s="1119"/>
      <c r="U21" s="1119"/>
      <c r="V21" s="1119"/>
      <c r="W21" s="1118"/>
      <c r="X21" s="1118"/>
      <c r="Y21" s="1118"/>
      <c r="Z21" s="1124"/>
      <c r="AA21" s="1124"/>
      <c r="AB21" s="1124"/>
      <c r="AC21" s="1124"/>
      <c r="AD21" s="1124"/>
      <c r="AE21" s="1124"/>
      <c r="AF21" s="1124"/>
      <c r="AG21" s="2787"/>
      <c r="AH21" s="2787"/>
      <c r="AI21" s="2787"/>
      <c r="AJ21" s="2787"/>
    </row>
    <row r="22" spans="1:37" s="2013" customFormat="1" ht="15.75" thickBot="1">
      <c r="A22" s="2157" t="s">
        <v>363</v>
      </c>
      <c r="B22" s="2158" t="s">
        <v>2000</v>
      </c>
      <c r="C22" s="2159">
        <f>SUMIF(修正!C20:C51,E3,修正!E20:E51)</f>
        <v>0.8</v>
      </c>
      <c r="D22" s="2160"/>
      <c r="E22" s="2161"/>
      <c r="F22" s="2161"/>
      <c r="G22" s="2161"/>
      <c r="H22" s="2161"/>
      <c r="I22" s="2161"/>
      <c r="J22" s="2162"/>
      <c r="K22" s="1124"/>
      <c r="L22" s="2787"/>
      <c r="M22" s="2787"/>
      <c r="N22" s="2787"/>
      <c r="O22" s="1122"/>
      <c r="P22" s="1122"/>
      <c r="Q22" s="2787"/>
      <c r="R22" s="1123"/>
      <c r="S22" s="1123"/>
      <c r="T22" s="1119"/>
      <c r="U22" s="1119"/>
      <c r="V22" s="1119"/>
      <c r="W22" s="1118"/>
      <c r="X22" s="1118"/>
      <c r="Y22" s="1118"/>
      <c r="Z22" s="1124"/>
      <c r="AA22" s="1124"/>
      <c r="AB22" s="1124"/>
      <c r="AC22" s="1124"/>
      <c r="AD22" s="1124"/>
      <c r="AE22" s="1124"/>
      <c r="AF22" s="1124"/>
      <c r="AG22" s="2787"/>
      <c r="AH22" s="2787"/>
      <c r="AI22" s="2787"/>
      <c r="AJ22" s="2787"/>
    </row>
    <row r="23" spans="1:37" ht="26.25" thickBot="1">
      <c r="A23" s="2049" t="s">
        <v>364</v>
      </c>
      <c r="B23" s="2050" t="s">
        <v>2001</v>
      </c>
      <c r="C23" s="759">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1.0339</v>
      </c>
      <c r="D23" s="2053" t="s">
        <v>2002</v>
      </c>
      <c r="E23" s="760">
        <v>44197</v>
      </c>
      <c r="F23" s="2053" t="s">
        <v>2003</v>
      </c>
      <c r="G23" s="761">
        <f>'数据-取费表'!B2</f>
        <v>45805</v>
      </c>
      <c r="H23" s="3342" t="s">
        <v>3256</v>
      </c>
      <c r="I23" s="3343" t="str">
        <f>IF(H23="季度增幅（自定义）",SUMIF(N25:N28,E2,O25:O28),"")</f>
        <v/>
      </c>
      <c r="J23" s="3445" t="s">
        <v>3255</v>
      </c>
      <c r="K23" s="1124"/>
      <c r="L23" s="2054" t="s">
        <v>2004</v>
      </c>
      <c r="M23" s="1327">
        <f>ROUND(SUMIF(地价!B2:G2,E2,地价!B16:G16),0)</f>
        <v>350</v>
      </c>
      <c r="N23" s="2055" t="s">
        <v>2005</v>
      </c>
      <c r="O23" s="762">
        <f>ROUNDDOWN(DATEDIF(E23,G23,"M")/3,0)</f>
        <v>17</v>
      </c>
      <c r="P23" s="1121"/>
      <c r="Q23" s="2787"/>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75" thickBot="1">
      <c r="A24" s="2057" t="s">
        <v>365</v>
      </c>
      <c r="B24" s="2058" t="s">
        <v>2006</v>
      </c>
      <c r="C24" s="763">
        <f>ROUND(POWER(1+G24,J24-I24)*(POWER(1+G24,I24)-1)/(POWER(1+G24,J24)-1),4)</f>
        <v>0.89729999999999999</v>
      </c>
      <c r="D24" s="2059" t="s">
        <v>2007</v>
      </c>
      <c r="E24" s="1334">
        <f>存贷款利率!E28/100</f>
        <v>4.3499999999999997E-2</v>
      </c>
      <c r="F24" s="2059" t="s">
        <v>1999</v>
      </c>
      <c r="G24" s="767">
        <f>SUMIF(M30:Q30,E2,M33:Q33)</f>
        <v>5.5E-2</v>
      </c>
      <c r="H24" s="2059" t="s">
        <v>2008</v>
      </c>
      <c r="I24" s="768">
        <f>SUMIF('数据-取费表'!C6:C15,E2,'数据-取费表'!F6:F15)/COUNTIF('数据-取费表'!C6:C15,E2)</f>
        <v>29.32</v>
      </c>
      <c r="J24" s="769">
        <f>IF(E2="住宅",70,IF(E2="商业",40,50))</f>
        <v>40</v>
      </c>
      <c r="K24" s="1124"/>
      <c r="L24" s="2060" t="s">
        <v>2009</v>
      </c>
      <c r="M24" s="1328">
        <f>ROUND(SUMPRODUCT((地价!A4:A16=YEAR(G23)&amp;"-"&amp;ROUNDUP(MONTH(G23)/3,0))*(地价!B2:G2=E2)*(地价!B4:G16)),0)</f>
        <v>0</v>
      </c>
      <c r="N24" s="2061" t="s">
        <v>2010</v>
      </c>
      <c r="O24" s="2062" t="s">
        <v>2011</v>
      </c>
      <c r="P24" s="2063" t="s">
        <v>2012</v>
      </c>
      <c r="Q24" s="1996"/>
      <c r="R24" s="1123"/>
      <c r="S24" s="1123"/>
      <c r="T24" s="1119"/>
      <c r="U24" s="1119"/>
      <c r="V24" s="1119"/>
      <c r="W24" s="1118"/>
      <c r="X24" s="1118"/>
      <c r="Y24" s="1118"/>
      <c r="Z24" s="1124"/>
      <c r="AA24" s="1124"/>
      <c r="AB24" s="1124"/>
      <c r="AC24" s="1124"/>
      <c r="AD24" s="1124"/>
      <c r="AE24" s="1124"/>
      <c r="AF24" s="1124"/>
      <c r="AG24" s="2787"/>
      <c r="AH24" s="2787"/>
      <c r="AI24" s="2787"/>
      <c r="AJ24" s="2787"/>
    </row>
    <row r="25" spans="1:37" ht="15">
      <c r="A25" s="2064" t="s">
        <v>366</v>
      </c>
      <c r="B25" s="2065" t="s">
        <v>3444</v>
      </c>
      <c r="C25" s="770">
        <f>IF(B25="容积率修正",IF(G3&lt;10,D26,J26),C27)</f>
        <v>1.1838</v>
      </c>
      <c r="D25" s="2066"/>
      <c r="E25" s="2066"/>
      <c r="F25" s="2066"/>
      <c r="G25" s="2066"/>
      <c r="H25" s="2066"/>
      <c r="I25" s="2066"/>
      <c r="J25" s="2067"/>
      <c r="K25" s="1124"/>
      <c r="L25" s="2787"/>
      <c r="M25" s="2787"/>
      <c r="N25" s="2068" t="s">
        <v>2013</v>
      </c>
      <c r="O25" s="1172"/>
      <c r="P25" s="1173">
        <f>SUMPRODUCT((地价!A3:A40=YEAR(G23)&amp;"-"&amp;ROUNDUP(MONTH(G23)/3,0))*(地价!AD2:AH2=N25)*(地价!AD3:AH40))</f>
        <v>0</v>
      </c>
      <c r="Q25" s="2787"/>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25">
      <c r="A26" s="1954" t="s">
        <v>2014</v>
      </c>
      <c r="B26" s="2069" t="s">
        <v>2015</v>
      </c>
      <c r="C26" s="3344" t="s">
        <v>3257</v>
      </c>
      <c r="D26" s="1351">
        <f>IF(E26=G26,F26,IF(G3&lt;10,ROUND(F26+(H26-F26)*(G3-E26)/(G26-E26),4),"——"))</f>
        <v>1</v>
      </c>
      <c r="E26" s="751">
        <f>ROUNDDOWN(G3,1)</f>
        <v>2.5</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1">
        <f>ROUNDUP(G3,1)</f>
        <v>2.5</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4" t="s">
        <v>3258</v>
      </c>
      <c r="J26" s="771" t="str">
        <f>IF(G3&gt;=10,D115,"——")</f>
        <v>——</v>
      </c>
      <c r="K26" s="1124"/>
      <c r="L26" s="2787"/>
      <c r="M26" s="2787"/>
      <c r="N26" s="2068" t="s">
        <v>2016</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75" thickBot="1">
      <c r="A27" s="1954" t="s">
        <v>2017</v>
      </c>
      <c r="B27" s="2070" t="s">
        <v>2018</v>
      </c>
      <c r="C27" s="840">
        <f>ROUND(IF(I3&lt;6,SUMPRODUCT((B106:B110=I3)*(C105:N105=G2)*(C106:N110)),SUMIF(C105:N105,G2,C112:N112)),4)</f>
        <v>1.1838</v>
      </c>
      <c r="D27" s="2045"/>
      <c r="E27" s="2045"/>
      <c r="F27" s="2071"/>
      <c r="G27" s="2072"/>
      <c r="H27" s="2073"/>
      <c r="I27" s="2074"/>
      <c r="J27" s="2075"/>
      <c r="K27" s="1118"/>
      <c r="L27" s="1996"/>
      <c r="M27" s="1996"/>
      <c r="N27" s="2068" t="s">
        <v>2019</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75" thickBot="1">
      <c r="A28" s="2057" t="s">
        <v>367</v>
      </c>
      <c r="B28" s="2050" t="s">
        <v>2020</v>
      </c>
      <c r="C28" s="759">
        <f>SUMIF(A47:A101,E2,B47:B101)</f>
        <v>1.0423</v>
      </c>
      <c r="D28" s="2051"/>
      <c r="E28" s="2076"/>
      <c r="F28" s="2076"/>
      <c r="G28" s="2076"/>
      <c r="H28" s="2076"/>
      <c r="I28" s="2076"/>
      <c r="J28" s="2077"/>
      <c r="K28" s="1124"/>
      <c r="L28" s="2787"/>
      <c r="M28" s="2787"/>
      <c r="N28" s="2078" t="s">
        <v>2021</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75" thickBot="1">
      <c r="A29" s="2057" t="s">
        <v>368</v>
      </c>
      <c r="B29" s="2079" t="s">
        <v>2022</v>
      </c>
      <c r="C29" s="764"/>
      <c r="D29" s="2023"/>
      <c r="E29" s="2023"/>
      <c r="F29" s="2080"/>
      <c r="G29" s="2023"/>
      <c r="H29" s="2023"/>
      <c r="I29" s="2023"/>
      <c r="J29" s="2024"/>
      <c r="K29" s="1118"/>
      <c r="L29" s="1996"/>
      <c r="M29" s="1996"/>
      <c r="N29" s="2784" t="s">
        <v>2023</v>
      </c>
      <c r="O29" s="2785"/>
      <c r="P29" s="2786">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5">
      <c r="A30" s="2081"/>
      <c r="B30" s="2069" t="s">
        <v>2024</v>
      </c>
      <c r="C30" s="2320">
        <f>IF(B25="容积率修正",E33+SUM(E37:E42),SUM(V2:V16)+SUM(E37:E42))</f>
        <v>0</v>
      </c>
      <c r="D30" s="2082"/>
      <c r="E30" s="2045"/>
      <c r="F30" s="2083"/>
      <c r="G30" s="2045"/>
      <c r="H30" s="2045"/>
      <c r="I30" s="2045"/>
      <c r="J30" s="2084"/>
      <c r="K30" s="1118"/>
      <c r="L30" s="3350" t="s">
        <v>1936</v>
      </c>
      <c r="M30" s="3351" t="s">
        <v>1990</v>
      </c>
      <c r="N30" s="3351" t="s">
        <v>1991</v>
      </c>
      <c r="O30" s="3351" t="s">
        <v>1992</v>
      </c>
      <c r="P30" s="3351" t="s">
        <v>1993</v>
      </c>
      <c r="Q30" s="3354" t="s">
        <v>3262</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75" thickBot="1">
      <c r="A31" s="2081"/>
      <c r="B31" s="2085" t="s">
        <v>2025</v>
      </c>
      <c r="C31" s="765">
        <f>E34+SUM(I37:I42)</f>
        <v>0</v>
      </c>
      <c r="D31" s="2086"/>
      <c r="E31" s="2087"/>
      <c r="F31" s="2088"/>
      <c r="G31" s="2087"/>
      <c r="H31" s="2087"/>
      <c r="I31" s="2087"/>
      <c r="J31" s="2089"/>
      <c r="K31" s="1118"/>
      <c r="L31" s="3352" t="s">
        <v>1996</v>
      </c>
      <c r="M31" s="1999">
        <v>0.25</v>
      </c>
      <c r="N31" s="1999">
        <v>0.2</v>
      </c>
      <c r="O31" s="1999">
        <v>0.15</v>
      </c>
      <c r="P31" s="1999">
        <v>0.1</v>
      </c>
      <c r="Q31" s="3347">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75" thickBot="1">
      <c r="A32" s="2090"/>
      <c r="B32" s="2091" t="s">
        <v>2026</v>
      </c>
      <c r="C32" s="2092" t="s">
        <v>2027</v>
      </c>
      <c r="D32" s="2092" t="s">
        <v>2028</v>
      </c>
      <c r="E32" s="2093" t="s">
        <v>2029</v>
      </c>
      <c r="F32" s="2094"/>
      <c r="G32" s="2036"/>
      <c r="H32" s="2036"/>
      <c r="I32" s="2036"/>
      <c r="J32" s="2037"/>
      <c r="K32" s="1118"/>
      <c r="L32" s="3353" t="s">
        <v>1999</v>
      </c>
      <c r="M32" s="2569">
        <f>ROUND($E$24*(1+M31),3)</f>
        <v>5.3999999999999999E-2</v>
      </c>
      <c r="N32" s="2569">
        <f>ROUND($E$24*(1+N31),3)</f>
        <v>5.1999999999999998E-2</v>
      </c>
      <c r="O32" s="2569">
        <f>ROUND($E$24*(1+O31),3)</f>
        <v>0.05</v>
      </c>
      <c r="P32" s="2569">
        <f>ROUND($E$24*(1+P31),3)</f>
        <v>4.8000000000000001E-2</v>
      </c>
      <c r="Q32" s="3355">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4.25">
      <c r="A33" s="2095"/>
      <c r="B33" s="2096" t="s">
        <v>2030</v>
      </c>
      <c r="C33" s="175">
        <f>ROUND(C5*C22*C23*C24*C25*C28,0)</f>
        <v>19634</v>
      </c>
      <c r="D33" s="2097">
        <f>'数据-汇总表'!E19</f>
        <v>121.8</v>
      </c>
      <c r="E33" s="772">
        <f>ROUND(C33*D33/10000,0)</f>
        <v>239</v>
      </c>
      <c r="F33" s="3345" t="s">
        <v>3260</v>
      </c>
      <c r="G33" s="2098"/>
      <c r="H33" s="2098"/>
      <c r="I33" s="2098"/>
      <c r="J33" s="2099"/>
      <c r="K33" s="1118"/>
      <c r="L33" s="3348" t="s">
        <v>3263</v>
      </c>
      <c r="M33" s="3349">
        <v>5.5E-2</v>
      </c>
      <c r="N33" s="3349">
        <v>5.5E-2</v>
      </c>
      <c r="O33" s="3349">
        <v>0.05</v>
      </c>
      <c r="P33" s="3349">
        <v>0.05</v>
      </c>
      <c r="Q33" s="3349">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5" thickBot="1">
      <c r="A34" s="2100"/>
      <c r="B34" s="2101" t="s">
        <v>2031</v>
      </c>
      <c r="C34" s="187" t="e">
        <f>ROUND(IF(E2="工业",C33*M42,IF(B25="楼层修正",SUM(V2:V16)*M41*10000/D34,C33*M41)),0)</f>
        <v>#DIV/0!</v>
      </c>
      <c r="D34" s="2102"/>
      <c r="E34" s="772">
        <f>ROUND(IF(B25="楼层修正",SUM(V2:V16)*M40,C34*D34/10000),0)</f>
        <v>0</v>
      </c>
      <c r="F34" s="2103" t="s">
        <v>2032</v>
      </c>
      <c r="G34" s="2104"/>
      <c r="H34" s="2104"/>
      <c r="I34" s="2104"/>
      <c r="J34" s="2105"/>
      <c r="K34" s="1118"/>
      <c r="L34" s="3348" t="s">
        <v>3264</v>
      </c>
      <c r="M34" s="3349">
        <v>6.5000000000000002E-2</v>
      </c>
      <c r="N34" s="3349">
        <v>6.5000000000000002E-2</v>
      </c>
      <c r="O34" s="3349">
        <v>0.06</v>
      </c>
      <c r="P34" s="3349">
        <v>0.06</v>
      </c>
      <c r="Q34" s="3349">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2033</v>
      </c>
      <c r="C35" s="3346" t="s">
        <v>3261</v>
      </c>
      <c r="D35" s="2036"/>
      <c r="E35" s="2108"/>
      <c r="F35" s="2108"/>
      <c r="G35" s="2034" t="s">
        <v>2034</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24.75" thickBot="1">
      <c r="A36" s="2095"/>
      <c r="B36" s="2110"/>
      <c r="C36" s="450" t="s">
        <v>2027</v>
      </c>
      <c r="D36" s="447" t="s">
        <v>2028</v>
      </c>
      <c r="E36" s="447" t="s">
        <v>2029</v>
      </c>
      <c r="F36" s="342" t="s">
        <v>2035</v>
      </c>
      <c r="G36" s="2111" t="s">
        <v>2027</v>
      </c>
      <c r="H36" s="2111" t="s">
        <v>2028</v>
      </c>
      <c r="I36" s="2111" t="s">
        <v>2029</v>
      </c>
      <c r="J36" s="243"/>
      <c r="K36" s="3356" t="s">
        <v>3265</v>
      </c>
      <c r="L36" s="3446">
        <f ca="1">'数据-取费表'!B40</f>
        <v>0.03</v>
      </c>
      <c r="M36" s="3357">
        <f ca="1">ROUND($L$36*(1+M31),3)</f>
        <v>3.7999999999999999E-2</v>
      </c>
      <c r="N36" s="3357">
        <f ca="1">ROUND($L$36*(1+N31),3)</f>
        <v>3.5999999999999997E-2</v>
      </c>
      <c r="O36" s="3357">
        <f ca="1">ROUND($L$36*(1+O31),3)</f>
        <v>3.5000000000000003E-2</v>
      </c>
      <c r="P36" s="3357">
        <f ca="1">ROUND($L$36*(1+P31),3)</f>
        <v>3.3000000000000002E-2</v>
      </c>
      <c r="Q36" s="3357">
        <f ca="1">ROUND($L$36*(1+Q31),3)</f>
        <v>3.5000000000000003E-2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75" thickBot="1">
      <c r="A37" s="3801"/>
      <c r="B37" s="2112" t="s">
        <v>2036</v>
      </c>
      <c r="C37" s="175">
        <f>ROUND(D5*C22*C23*C24*C28*F37,0)</f>
        <v>9951</v>
      </c>
      <c r="D37" s="2097"/>
      <c r="E37" s="171">
        <f>ROUND(C37*D37/10000,0)</f>
        <v>0</v>
      </c>
      <c r="F37" s="171">
        <f>SUMIF(修正!A57:A68,G2,修正!B57:B68)</f>
        <v>0.6</v>
      </c>
      <c r="G37" s="171">
        <f>ROUND(IF(E2="工业",C37*$M$42,C37*$M$41),0)</f>
        <v>2488</v>
      </c>
      <c r="H37" s="171">
        <f>D37</f>
        <v>0</v>
      </c>
      <c r="I37" s="171">
        <f>ROUND(G37*H37/10000,0)</f>
        <v>0</v>
      </c>
      <c r="J37" s="3011"/>
      <c r="K37" s="3358" t="s">
        <v>3266</v>
      </c>
      <c r="L37" s="3356">
        <f ca="1">L36+K38</f>
        <v>3.4999999999999996E-2</v>
      </c>
      <c r="M37" s="3357">
        <f ca="1">ROUND($L$37*(1+M31),3)</f>
        <v>4.3999999999999997E-2</v>
      </c>
      <c r="N37" s="3357">
        <f t="shared" ref="N37:Q37" ca="1" si="3">ROUND($L$37*(1+N31),3)</f>
        <v>4.2000000000000003E-2</v>
      </c>
      <c r="O37" s="3357">
        <f t="shared" ca="1" si="3"/>
        <v>0.04</v>
      </c>
      <c r="P37" s="3357">
        <f t="shared" ca="1" si="3"/>
        <v>3.9E-2</v>
      </c>
      <c r="Q37" s="3357">
        <f t="shared" ca="1" si="3"/>
        <v>0.04</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3802"/>
      <c r="B38" s="2040" t="s">
        <v>2037</v>
      </c>
      <c r="C38" s="175">
        <f>ROUND(D5*C22*C23*C24*C28*F38,0)</f>
        <v>4976</v>
      </c>
      <c r="D38" s="2097"/>
      <c r="E38" s="171">
        <f t="shared" ref="E38:E42" si="4">ROUND(C38*D38/10000,0)</f>
        <v>0</v>
      </c>
      <c r="F38" s="171">
        <f>SUMIF(修正!A57:A68,G2,修正!C57:C68)</f>
        <v>0.3</v>
      </c>
      <c r="G38" s="171">
        <f>ROUND(IF(E2="工业",C38*$M$42,C38*$M$41),0)</f>
        <v>1244</v>
      </c>
      <c r="H38" s="171">
        <f t="shared" ref="H38:H42" si="5">D38</f>
        <v>0</v>
      </c>
      <c r="I38" s="171">
        <f t="shared" ref="I38:I42" si="6">ROUND(G38*H38/10000,0)</f>
        <v>0</v>
      </c>
      <c r="J38" s="3010"/>
      <c r="K38" s="3356">
        <v>5.0000000000000001E-3</v>
      </c>
      <c r="L38" s="3356"/>
      <c r="M38" s="3356"/>
      <c r="N38" s="3356"/>
      <c r="O38" s="3356"/>
      <c r="P38" s="3356"/>
      <c r="Q38" s="3356"/>
      <c r="R38" s="1118"/>
      <c r="S38" s="1118"/>
      <c r="T38" s="1118"/>
      <c r="U38" s="1118"/>
      <c r="V38" s="1118"/>
      <c r="W38" s="1118"/>
      <c r="X38" s="1118"/>
      <c r="Y38" s="1118"/>
      <c r="Z38" s="1119"/>
      <c r="AA38" s="1119"/>
      <c r="AB38" s="1119"/>
      <c r="AC38" s="1119"/>
      <c r="AD38" s="1119"/>
    </row>
    <row r="39" spans="1:37" ht="13.5" thickBot="1">
      <c r="A39" s="3802"/>
      <c r="B39" s="2040" t="s">
        <v>3259</v>
      </c>
      <c r="C39" s="175">
        <f>ROUND(D5*C22*C23*C24*C28*F39,0)</f>
        <v>4146</v>
      </c>
      <c r="D39" s="2097"/>
      <c r="E39" s="171">
        <f t="shared" si="4"/>
        <v>0</v>
      </c>
      <c r="F39" s="171">
        <f>SUMIF(修正!A57:A68,G2,修正!D57:D68)</f>
        <v>0.25</v>
      </c>
      <c r="G39" s="171">
        <f>ROUND(IF(E2="工业",C39*$M$42,C39*$M$41),0)</f>
        <v>1037</v>
      </c>
      <c r="H39" s="171">
        <f t="shared" si="5"/>
        <v>0</v>
      </c>
      <c r="I39" s="171">
        <f t="shared" si="6"/>
        <v>0</v>
      </c>
      <c r="J39" s="3010"/>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2038</v>
      </c>
      <c r="C40" s="171">
        <f>ROUND(D5*C22*C23*C24*C28*F40,0)</f>
        <v>4146</v>
      </c>
      <c r="D40" s="2097"/>
      <c r="E40" s="171">
        <f t="shared" si="4"/>
        <v>0</v>
      </c>
      <c r="F40" s="175">
        <f>SUMIF(修正!A57:A68,G2,修正!E57:E68)</f>
        <v>0.25</v>
      </c>
      <c r="G40" s="171">
        <f>ROUND(IF(E2="工业",C40*$M$42,C40*$M$41),0)</f>
        <v>1037</v>
      </c>
      <c r="H40" s="171">
        <f t="shared" si="5"/>
        <v>0</v>
      </c>
      <c r="I40" s="171">
        <f t="shared" si="6"/>
        <v>0</v>
      </c>
      <c r="J40" s="2113"/>
      <c r="L40" s="2115" t="s">
        <v>2039</v>
      </c>
      <c r="M40" s="2116"/>
      <c r="Z40" s="1119"/>
      <c r="AA40" s="1119"/>
      <c r="AB40" s="1119"/>
      <c r="AC40" s="1119"/>
      <c r="AD40" s="1119"/>
      <c r="AE40" s="1119"/>
      <c r="AF40" s="1119"/>
      <c r="AG40" s="1119"/>
      <c r="AH40" s="1119"/>
      <c r="AI40" s="1119"/>
      <c r="AJ40" s="1119"/>
    </row>
    <row r="41" spans="1:37" s="1118" customFormat="1">
      <c r="A41" s="2114"/>
      <c r="B41" s="2040" t="s">
        <v>2040</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59" t="s">
        <v>3267</v>
      </c>
      <c r="M41" s="2117">
        <v>0.25</v>
      </c>
      <c r="Z41" s="1119"/>
      <c r="AA41" s="1119"/>
      <c r="AB41" s="1119"/>
      <c r="AC41" s="1119"/>
      <c r="AD41" s="1119"/>
      <c r="AE41" s="1119"/>
      <c r="AF41" s="1119"/>
      <c r="AG41" s="1119"/>
      <c r="AH41" s="1119"/>
      <c r="AI41" s="1119"/>
      <c r="AJ41" s="1119"/>
    </row>
    <row r="42" spans="1:37" s="1118" customFormat="1" ht="13.5" thickBot="1">
      <c r="A42" s="2100"/>
      <c r="B42" s="2118" t="s">
        <v>2041</v>
      </c>
      <c r="C42" s="187">
        <f>ROUND(D5*C22*C23*C44*C28*F42,0)</f>
        <v>0</v>
      </c>
      <c r="D42" s="2102"/>
      <c r="E42" s="187">
        <f t="shared" si="4"/>
        <v>0</v>
      </c>
      <c r="F42" s="766">
        <f>SUMIF(修正!A57:A68,G2,修正!G57:G68)</f>
        <v>0.15</v>
      </c>
      <c r="G42" s="187">
        <f>ROUND(IF(E2="工业",C42*$M$42,C42*$M$41),0)</f>
        <v>0</v>
      </c>
      <c r="H42" s="187">
        <f t="shared" si="5"/>
        <v>0</v>
      </c>
      <c r="I42" s="187">
        <f t="shared" si="6"/>
        <v>0</v>
      </c>
      <c r="J42" s="2119"/>
      <c r="L42" s="2120" t="s">
        <v>1993</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3" t="s">
        <v>2122</v>
      </c>
      <c r="C44" s="342">
        <f>ROUND(POWER(1+E44,H44-G44)*(POWER(1+E44,G44)-1)/(POWER(1+E44,H44)-1),4)</f>
        <v>0</v>
      </c>
      <c r="D44" s="171" t="s">
        <v>1999</v>
      </c>
      <c r="E44" s="2152">
        <f>G24</f>
        <v>5.5E-2</v>
      </c>
      <c r="F44" s="171" t="s">
        <v>2008</v>
      </c>
      <c r="G44" s="183"/>
      <c r="H44" s="171">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75" thickBot="1">
      <c r="A47" s="2123" t="s">
        <v>2042</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5">
      <c r="A48" s="2125" t="s">
        <v>2043</v>
      </c>
      <c r="B48" s="2126">
        <f>1+E50</f>
        <v>1.0423</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4.75">
      <c r="A49" s="2129" t="s">
        <v>2044</v>
      </c>
      <c r="B49" s="1350" t="s">
        <v>2045</v>
      </c>
      <c r="C49" s="1350" t="s">
        <v>2046</v>
      </c>
      <c r="D49" s="1350" t="s">
        <v>2047</v>
      </c>
      <c r="E49" s="742" t="s">
        <v>2048</v>
      </c>
      <c r="F49" s="2130" t="s">
        <v>2049</v>
      </c>
      <c r="G49" s="1350" t="s">
        <v>310</v>
      </c>
      <c r="H49" s="2131" t="s">
        <v>2050</v>
      </c>
      <c r="I49" s="1350" t="s">
        <v>2051</v>
      </c>
      <c r="J49" s="552" t="s">
        <v>1721</v>
      </c>
      <c r="K49" s="552" t="s">
        <v>1722</v>
      </c>
      <c r="L49" s="552" t="s">
        <v>1723</v>
      </c>
      <c r="M49" s="552" t="s">
        <v>1724</v>
      </c>
      <c r="N49" s="552" t="s">
        <v>1725</v>
      </c>
      <c r="AA49" s="1119"/>
      <c r="AB49" s="1119"/>
      <c r="AC49" s="1119"/>
      <c r="AD49" s="1119"/>
      <c r="AE49" s="1119"/>
      <c r="AF49" s="1119"/>
      <c r="AG49" s="1119"/>
      <c r="AH49" s="1119"/>
      <c r="AI49" s="1119"/>
      <c r="AJ49" s="1119"/>
      <c r="AK49" s="1119"/>
    </row>
    <row r="50" spans="1:37" s="1118" customFormat="1" ht="38.25">
      <c r="A50" s="2129" t="s">
        <v>2052</v>
      </c>
      <c r="B50" s="2132" t="str">
        <f>估价对象房地状况!C4</f>
        <v>估价对象位于XX商圈，周边商业氛围成熟，人流量大，商业繁华度好</v>
      </c>
      <c r="C50" s="2043" t="s">
        <v>3432</v>
      </c>
      <c r="D50" s="1064">
        <f t="shared" ref="D50:D58" si="7">SUMIF($J$49:$N$49,C50,J50:N50)</f>
        <v>1.47E-2</v>
      </c>
      <c r="E50" s="743">
        <f>ROUND(SUM(D50:D58),4)</f>
        <v>4.2299999999999997E-2</v>
      </c>
      <c r="F50" s="1813">
        <f>IF(E2="商业",SUMIF(L1:L12,G2,N1:N12),"——")</f>
        <v>9.8000000000000004E-2</v>
      </c>
      <c r="G50" s="1062">
        <f>H50</f>
        <v>1.47E-2</v>
      </c>
      <c r="H50" s="1065">
        <f t="shared" ref="H50:H58" si="8">IFERROR(ROUNDDOWN($F$50*I50/2,4),"——")</f>
        <v>1.47E-2</v>
      </c>
      <c r="I50" s="3366">
        <v>0.3</v>
      </c>
      <c r="J50" s="1063">
        <f t="shared" ref="J50:J58" si="9">K50+$G50</f>
        <v>2.9399999999999999E-2</v>
      </c>
      <c r="K50" s="1063">
        <f t="shared" ref="K50:K58" si="10">$L50+$G50</f>
        <v>1.47E-2</v>
      </c>
      <c r="L50" s="1063">
        <v>0</v>
      </c>
      <c r="M50" s="1063">
        <f t="shared" ref="M50:N58" si="11">L50-$G50</f>
        <v>-1.47E-2</v>
      </c>
      <c r="N50" s="1063">
        <f t="shared" si="11"/>
        <v>-2.9399999999999999E-2</v>
      </c>
      <c r="AA50" s="1119"/>
      <c r="AB50" s="1119"/>
      <c r="AC50" s="1119"/>
      <c r="AD50" s="1119"/>
      <c r="AE50" s="1119"/>
      <c r="AF50" s="1119"/>
      <c r="AG50" s="1119"/>
      <c r="AH50" s="1119"/>
      <c r="AI50" s="1119"/>
      <c r="AJ50" s="1119"/>
      <c r="AK50" s="1119"/>
    </row>
    <row r="51" spans="1:37" s="1118" customFormat="1" ht="38.25">
      <c r="A51" s="2129" t="s">
        <v>2053</v>
      </c>
      <c r="B51" s="2133" t="str">
        <f>估价对象房地状况!C18</f>
        <v>估价对象周边道路状况、公共交通通达情况、停车便捷程度，综合评价交通便捷度较好</v>
      </c>
      <c r="C51" s="2043" t="s">
        <v>3432</v>
      </c>
      <c r="D51" s="1064">
        <f t="shared" si="7"/>
        <v>1.0699999999999999E-2</v>
      </c>
      <c r="E51" s="744"/>
      <c r="F51" s="1813"/>
      <c r="G51" s="1062">
        <f t="shared" ref="G51:G58" si="12">H51</f>
        <v>1.0699999999999999E-2</v>
      </c>
      <c r="H51" s="1065">
        <f t="shared" si="8"/>
        <v>1.0699999999999999E-2</v>
      </c>
      <c r="I51" s="3366">
        <v>0.22</v>
      </c>
      <c r="J51" s="1063">
        <f t="shared" si="9"/>
        <v>2.1399999999999999E-2</v>
      </c>
      <c r="K51" s="1063">
        <f t="shared" si="10"/>
        <v>1.0699999999999999E-2</v>
      </c>
      <c r="L51" s="1063">
        <v>0</v>
      </c>
      <c r="M51" s="1063">
        <f t="shared" si="11"/>
        <v>-1.0699999999999999E-2</v>
      </c>
      <c r="N51" s="1063">
        <f t="shared" si="11"/>
        <v>-2.1399999999999999E-2</v>
      </c>
      <c r="AA51" s="1119"/>
      <c r="AB51" s="1119"/>
      <c r="AC51" s="1119"/>
      <c r="AD51" s="1119"/>
      <c r="AE51" s="1119"/>
      <c r="AF51" s="1119"/>
      <c r="AG51" s="1119"/>
      <c r="AH51" s="1119"/>
      <c r="AI51" s="1119"/>
      <c r="AJ51" s="1119"/>
      <c r="AK51" s="1119"/>
    </row>
    <row r="52" spans="1:37" s="1118" customFormat="1" ht="36">
      <c r="A52" s="3368" t="s">
        <v>3269</v>
      </c>
      <c r="B52" s="2133">
        <f>估价对象房地状况!C19</f>
        <v>0</v>
      </c>
      <c r="C52" s="2043" t="s">
        <v>3432</v>
      </c>
      <c r="D52" s="1064">
        <f t="shared" si="7"/>
        <v>5.7999999999999996E-3</v>
      </c>
      <c r="E52" s="744"/>
      <c r="F52" s="1813"/>
      <c r="G52" s="1062">
        <f t="shared" si="12"/>
        <v>5.7999999999999996E-3</v>
      </c>
      <c r="H52" s="1065">
        <f t="shared" si="8"/>
        <v>5.7999999999999996E-3</v>
      </c>
      <c r="I52" s="3366">
        <v>0.12</v>
      </c>
      <c r="J52" s="1063">
        <f t="shared" si="9"/>
        <v>1.1599999999999999E-2</v>
      </c>
      <c r="K52" s="1063">
        <f t="shared" si="10"/>
        <v>5.7999999999999996E-3</v>
      </c>
      <c r="L52" s="1063">
        <v>0</v>
      </c>
      <c r="M52" s="1063">
        <f t="shared" si="11"/>
        <v>-5.7999999999999996E-3</v>
      </c>
      <c r="N52" s="1063">
        <f t="shared" si="11"/>
        <v>-1.1599999999999999E-2</v>
      </c>
      <c r="AA52" s="1119"/>
      <c r="AB52" s="1119"/>
      <c r="AC52" s="1119"/>
      <c r="AD52" s="1119"/>
      <c r="AE52" s="1119"/>
      <c r="AF52" s="1119"/>
      <c r="AG52" s="1119"/>
      <c r="AH52" s="1119"/>
      <c r="AI52" s="1119"/>
      <c r="AJ52" s="1119"/>
      <c r="AK52" s="1119"/>
    </row>
    <row r="53" spans="1:37" s="1118" customFormat="1" ht="36.75">
      <c r="A53" s="2129" t="s">
        <v>2054</v>
      </c>
      <c r="B53" s="2134" t="s">
        <v>2055</v>
      </c>
      <c r="C53" s="2043" t="s">
        <v>3433</v>
      </c>
      <c r="D53" s="1064">
        <f t="shared" si="7"/>
        <v>0</v>
      </c>
      <c r="E53" s="744"/>
      <c r="F53" s="1813"/>
      <c r="G53" s="1062">
        <f t="shared" si="12"/>
        <v>2.3999999999999998E-3</v>
      </c>
      <c r="H53" s="1065">
        <f t="shared" si="8"/>
        <v>2.3999999999999998E-3</v>
      </c>
      <c r="I53" s="3366">
        <v>0.05</v>
      </c>
      <c r="J53" s="1063">
        <f t="shared" si="9"/>
        <v>4.7999999999999996E-3</v>
      </c>
      <c r="K53" s="1063">
        <f t="shared" si="10"/>
        <v>2.3999999999999998E-3</v>
      </c>
      <c r="L53" s="1063">
        <v>0</v>
      </c>
      <c r="M53" s="1063">
        <f t="shared" si="11"/>
        <v>-2.3999999999999998E-3</v>
      </c>
      <c r="N53" s="1063">
        <f t="shared" si="11"/>
        <v>-4.7999999999999996E-3</v>
      </c>
      <c r="AA53" s="1119"/>
      <c r="AB53" s="1119"/>
      <c r="AC53" s="1119"/>
      <c r="AD53" s="1119"/>
      <c r="AE53" s="1119"/>
      <c r="AF53" s="1119"/>
      <c r="AG53" s="1119"/>
      <c r="AH53" s="1119"/>
      <c r="AI53" s="1119"/>
      <c r="AJ53" s="1119"/>
      <c r="AK53" s="1119"/>
    </row>
    <row r="54" spans="1:37" s="1118" customFormat="1" ht="24">
      <c r="A54" s="2129" t="s">
        <v>2056</v>
      </c>
      <c r="B54" s="2133">
        <f>估价对象房地状况!C24</f>
        <v>0</v>
      </c>
      <c r="C54" s="2043" t="s">
        <v>3434</v>
      </c>
      <c r="D54" s="1064">
        <f t="shared" si="7"/>
        <v>-3.8999999999999998E-3</v>
      </c>
      <c r="E54" s="744"/>
      <c r="F54" s="1813"/>
      <c r="G54" s="1062">
        <f t="shared" si="12"/>
        <v>3.8999999999999998E-3</v>
      </c>
      <c r="H54" s="1065">
        <f t="shared" si="8"/>
        <v>3.8999999999999998E-3</v>
      </c>
      <c r="I54" s="3366">
        <v>0.08</v>
      </c>
      <c r="J54" s="1063">
        <f t="shared" si="9"/>
        <v>7.7999999999999996E-3</v>
      </c>
      <c r="K54" s="1063">
        <f t="shared" si="10"/>
        <v>3.8999999999999998E-3</v>
      </c>
      <c r="L54" s="1063">
        <v>0</v>
      </c>
      <c r="M54" s="1063">
        <f t="shared" si="11"/>
        <v>-3.8999999999999998E-3</v>
      </c>
      <c r="N54" s="1063">
        <f t="shared" si="11"/>
        <v>-7.7999999999999996E-3</v>
      </c>
      <c r="AA54" s="1119"/>
      <c r="AB54" s="1119"/>
      <c r="AC54" s="1119"/>
      <c r="AD54" s="1119"/>
      <c r="AE54" s="1119"/>
      <c r="AF54" s="1119"/>
      <c r="AG54" s="1119"/>
      <c r="AH54" s="1119"/>
      <c r="AI54" s="1119"/>
      <c r="AJ54" s="1119"/>
      <c r="AK54" s="1119"/>
    </row>
    <row r="55" spans="1:37" s="1118" customFormat="1" ht="24">
      <c r="A55" s="2129" t="s">
        <v>2057</v>
      </c>
      <c r="B55" s="2135" t="s">
        <v>2058</v>
      </c>
      <c r="C55" s="2043" t="s">
        <v>3432</v>
      </c>
      <c r="D55" s="1064">
        <f t="shared" si="7"/>
        <v>2.3999999999999998E-3</v>
      </c>
      <c r="E55" s="744"/>
      <c r="F55" s="1813"/>
      <c r="G55" s="1062">
        <f t="shared" si="12"/>
        <v>2.3999999999999998E-3</v>
      </c>
      <c r="H55" s="1065">
        <f t="shared" si="8"/>
        <v>2.3999999999999998E-3</v>
      </c>
      <c r="I55" s="3366">
        <v>0.05</v>
      </c>
      <c r="J55" s="1063">
        <f t="shared" si="9"/>
        <v>4.7999999999999996E-3</v>
      </c>
      <c r="K55" s="1063">
        <f t="shared" si="10"/>
        <v>2.3999999999999998E-3</v>
      </c>
      <c r="L55" s="1063">
        <v>0</v>
      </c>
      <c r="M55" s="1063">
        <f t="shared" si="11"/>
        <v>-2.3999999999999998E-3</v>
      </c>
      <c r="N55" s="1063">
        <f t="shared" si="11"/>
        <v>-4.7999999999999996E-3</v>
      </c>
      <c r="AA55" s="1119"/>
      <c r="AB55" s="1119"/>
      <c r="AC55" s="1119"/>
      <c r="AD55" s="1119"/>
      <c r="AE55" s="1119"/>
      <c r="AF55" s="1119"/>
      <c r="AG55" s="1119"/>
      <c r="AH55" s="1119"/>
      <c r="AI55" s="1119"/>
      <c r="AJ55" s="1119"/>
      <c r="AK55" s="1119"/>
    </row>
    <row r="56" spans="1:37" s="1118" customFormat="1" ht="25.5">
      <c r="A56" s="2136" t="s">
        <v>2059</v>
      </c>
      <c r="B56" s="1325" t="str">
        <f>估价对象房地状况!C21</f>
        <v>估价对象所在区域公共配套设施齐备情况</v>
      </c>
      <c r="C56" s="2043" t="s">
        <v>3432</v>
      </c>
      <c r="D56" s="1064">
        <f t="shared" si="7"/>
        <v>2.3999999999999998E-3</v>
      </c>
      <c r="E56" s="744"/>
      <c r="F56" s="1813"/>
      <c r="G56" s="1062">
        <f t="shared" si="12"/>
        <v>2.3999999999999998E-3</v>
      </c>
      <c r="H56" s="1065">
        <f t="shared" si="8"/>
        <v>2.3999999999999998E-3</v>
      </c>
      <c r="I56" s="3366">
        <v>0.05</v>
      </c>
      <c r="J56" s="1063">
        <f t="shared" si="9"/>
        <v>4.7999999999999996E-3</v>
      </c>
      <c r="K56" s="1063">
        <f t="shared" si="10"/>
        <v>2.3999999999999998E-3</v>
      </c>
      <c r="L56" s="1063">
        <v>0</v>
      </c>
      <c r="M56" s="1063">
        <f t="shared" si="11"/>
        <v>-2.3999999999999998E-3</v>
      </c>
      <c r="N56" s="1063">
        <f t="shared" si="11"/>
        <v>-4.7999999999999996E-3</v>
      </c>
      <c r="AA56" s="1119"/>
      <c r="AB56" s="1119"/>
      <c r="AC56" s="1119"/>
      <c r="AD56" s="1119"/>
      <c r="AE56" s="1119"/>
      <c r="AF56" s="1119"/>
      <c r="AG56" s="1119"/>
      <c r="AH56" s="1119"/>
      <c r="AI56" s="1119"/>
      <c r="AJ56" s="1119"/>
      <c r="AK56" s="1119"/>
    </row>
    <row r="57" spans="1:37" s="1118" customFormat="1" ht="25.5">
      <c r="A57" s="2136" t="s">
        <v>2060</v>
      </c>
      <c r="B57" s="2133" t="str">
        <f>估价对象房地状况!C22</f>
        <v>估价对象所在区域基础设施水平</v>
      </c>
      <c r="C57" s="2043" t="s">
        <v>3443</v>
      </c>
      <c r="D57" s="1064">
        <f t="shared" si="7"/>
        <v>7.7999999999999996E-3</v>
      </c>
      <c r="E57" s="744"/>
      <c r="F57" s="1813"/>
      <c r="G57" s="1062">
        <f t="shared" si="12"/>
        <v>3.8999999999999998E-3</v>
      </c>
      <c r="H57" s="1065">
        <f t="shared" si="8"/>
        <v>3.8999999999999998E-3</v>
      </c>
      <c r="I57" s="3366">
        <v>0.08</v>
      </c>
      <c r="J57" s="1063">
        <f t="shared" si="9"/>
        <v>7.7999999999999996E-3</v>
      </c>
      <c r="K57" s="1063">
        <f t="shared" si="10"/>
        <v>3.8999999999999998E-3</v>
      </c>
      <c r="L57" s="1063">
        <v>0</v>
      </c>
      <c r="M57" s="1063">
        <f t="shared" si="11"/>
        <v>-3.8999999999999998E-3</v>
      </c>
      <c r="N57" s="1063">
        <f t="shared" si="11"/>
        <v>-7.7999999999999996E-3</v>
      </c>
      <c r="AA57" s="1119"/>
      <c r="AB57" s="1119"/>
      <c r="AC57" s="1119"/>
      <c r="AD57" s="1119"/>
      <c r="AE57" s="1119"/>
      <c r="AF57" s="1119"/>
      <c r="AG57" s="1119"/>
      <c r="AH57" s="1119"/>
      <c r="AI57" s="1119"/>
      <c r="AJ57" s="1119"/>
      <c r="AK57" s="1119"/>
    </row>
    <row r="58" spans="1:37" s="1118" customFormat="1" ht="26.25" thickBot="1">
      <c r="A58" s="2137" t="s">
        <v>2061</v>
      </c>
      <c r="B58" s="2138" t="str">
        <f>估价对象房地状况!C20</f>
        <v>区域自然环境：；人文环境；综合评价环境状况一般</v>
      </c>
      <c r="C58" s="2043" t="s">
        <v>3432</v>
      </c>
      <c r="D58" s="1064">
        <f t="shared" si="7"/>
        <v>2.3999999999999998E-3</v>
      </c>
      <c r="E58" s="745"/>
      <c r="F58" s="1813"/>
      <c r="G58" s="1062">
        <f t="shared" si="12"/>
        <v>2.3999999999999998E-3</v>
      </c>
      <c r="H58" s="1065">
        <f t="shared" si="8"/>
        <v>2.3999999999999998E-3</v>
      </c>
      <c r="I58" s="3367">
        <v>0.05</v>
      </c>
      <c r="J58" s="1063">
        <f t="shared" si="9"/>
        <v>4.7999999999999996E-3</v>
      </c>
      <c r="K58" s="1063">
        <f t="shared" si="10"/>
        <v>2.3999999999999998E-3</v>
      </c>
      <c r="L58" s="1063">
        <v>0</v>
      </c>
      <c r="M58" s="1063">
        <f t="shared" si="11"/>
        <v>-2.3999999999999998E-3</v>
      </c>
      <c r="N58" s="1063">
        <f t="shared" si="11"/>
        <v>-4.7999999999999996E-3</v>
      </c>
      <c r="AA58" s="1119"/>
      <c r="AB58" s="1119"/>
      <c r="AC58" s="1119"/>
      <c r="AD58" s="1119"/>
      <c r="AE58" s="1119"/>
      <c r="AF58" s="1119"/>
      <c r="AG58" s="1119"/>
      <c r="AH58" s="1119"/>
      <c r="AI58" s="1119"/>
      <c r="AJ58" s="1119"/>
      <c r="AK58" s="1119"/>
    </row>
    <row r="59" spans="1:37" s="1118" customFormat="1" ht="15">
      <c r="A59" s="2125" t="s">
        <v>2062</v>
      </c>
      <c r="B59" s="2126">
        <f>1+E61</f>
        <v>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c r="A60" s="2129" t="s">
        <v>2044</v>
      </c>
      <c r="B60" s="1350"/>
      <c r="C60" s="1350" t="s">
        <v>2046</v>
      </c>
      <c r="D60" s="1350" t="s">
        <v>2047</v>
      </c>
      <c r="E60" s="742" t="s">
        <v>2048</v>
      </c>
      <c r="F60" s="2130" t="s">
        <v>2063</v>
      </c>
      <c r="G60" s="1350" t="s">
        <v>310</v>
      </c>
      <c r="H60" s="2131" t="s">
        <v>2050</v>
      </c>
      <c r="I60" s="1350" t="s">
        <v>2051</v>
      </c>
      <c r="J60" s="552" t="s">
        <v>1721</v>
      </c>
      <c r="K60" s="552" t="s">
        <v>1722</v>
      </c>
      <c r="L60" s="552" t="s">
        <v>1723</v>
      </c>
      <c r="M60" s="552" t="s">
        <v>1724</v>
      </c>
      <c r="N60" s="552" t="s">
        <v>1725</v>
      </c>
      <c r="AA60" s="1119"/>
      <c r="AB60" s="1119"/>
      <c r="AC60" s="1119"/>
      <c r="AD60" s="1119"/>
      <c r="AE60" s="1119"/>
      <c r="AF60" s="1119"/>
      <c r="AG60" s="1119"/>
      <c r="AH60" s="1119"/>
      <c r="AI60" s="1119"/>
      <c r="AJ60" s="1119"/>
      <c r="AK60" s="1119"/>
    </row>
    <row r="61" spans="1:37" s="1118" customFormat="1" ht="38.25">
      <c r="A61" s="2129" t="s">
        <v>2064</v>
      </c>
      <c r="B61" s="2132" t="str">
        <f>估价对象房地状况!C17</f>
        <v>估价对象位于XX商圈，周边办公楼项目较多，入驻率高，办公集聚程度较好</v>
      </c>
      <c r="C61" s="2043"/>
      <c r="D61" s="1064">
        <f t="shared" ref="D61:D69" si="13">SUMIF($J$60:$N$60,C61,J61:N61)</f>
        <v>0</v>
      </c>
      <c r="E61" s="743">
        <f>ROUND(SUM(D61:D69),4)</f>
        <v>0</v>
      </c>
      <c r="F61" s="1813" t="str">
        <f>IF(E2="办公",SUMIF(L1:L12,G2,N1:N12),"——")</f>
        <v>——</v>
      </c>
      <c r="G61" s="1062"/>
      <c r="H61" s="1065" t="str">
        <f t="shared" ref="H61:H69" si="14">IFERROR(ROUNDDOWN($F$61*I61/2,4),"——")</f>
        <v>——</v>
      </c>
      <c r="I61" s="3366">
        <v>0.25</v>
      </c>
      <c r="J61" s="1063">
        <f t="shared" ref="J61:J69" si="15">K61+$G61</f>
        <v>0</v>
      </c>
      <c r="K61" s="1063">
        <f t="shared" ref="K61:K69" si="16">$L61+$G61</f>
        <v>0</v>
      </c>
      <c r="L61" s="1063">
        <v>0</v>
      </c>
      <c r="M61" s="1063">
        <f t="shared" ref="M61:N69" si="17">L61-$G61</f>
        <v>0</v>
      </c>
      <c r="N61" s="1063">
        <f t="shared" si="17"/>
        <v>0</v>
      </c>
      <c r="AA61" s="1119"/>
      <c r="AB61" s="1119"/>
      <c r="AC61" s="1119"/>
      <c r="AD61" s="1119"/>
      <c r="AE61" s="1119"/>
      <c r="AF61" s="1119"/>
      <c r="AG61" s="1119"/>
      <c r="AH61" s="1119"/>
      <c r="AI61" s="1119"/>
      <c r="AJ61" s="1119"/>
      <c r="AK61" s="1119"/>
    </row>
    <row r="62" spans="1:37" s="1118" customFormat="1" ht="38.25">
      <c r="A62" s="2129" t="s">
        <v>2053</v>
      </c>
      <c r="B62" s="2133" t="str">
        <f>估价对象房地状况!C18</f>
        <v>估价对象周边道路状况、公共交通通达情况、停车便捷程度，综合评价交通便捷度较好</v>
      </c>
      <c r="C62" s="2043"/>
      <c r="D62" s="1064">
        <f t="shared" si="13"/>
        <v>0</v>
      </c>
      <c r="E62" s="744"/>
      <c r="F62" s="1813"/>
      <c r="G62" s="1062"/>
      <c r="H62" s="1065" t="str">
        <f t="shared" si="14"/>
        <v>——</v>
      </c>
      <c r="I62" s="3366">
        <v>0.26</v>
      </c>
      <c r="J62" s="1063">
        <f t="shared" si="15"/>
        <v>0</v>
      </c>
      <c r="K62" s="1063">
        <f t="shared" si="16"/>
        <v>0</v>
      </c>
      <c r="L62" s="1063">
        <v>0</v>
      </c>
      <c r="M62" s="1063">
        <f t="shared" si="17"/>
        <v>0</v>
      </c>
      <c r="N62" s="1063">
        <f t="shared" si="17"/>
        <v>0</v>
      </c>
      <c r="AA62" s="1119"/>
      <c r="AB62" s="1119"/>
      <c r="AC62" s="1119"/>
      <c r="AD62" s="1119"/>
      <c r="AE62" s="1119"/>
      <c r="AF62" s="1119"/>
      <c r="AG62" s="1119"/>
      <c r="AH62" s="1119"/>
      <c r="AI62" s="1119"/>
      <c r="AJ62" s="1119"/>
      <c r="AK62" s="1119"/>
    </row>
    <row r="63" spans="1:37" s="1118" customFormat="1" ht="36">
      <c r="A63" s="3368" t="s">
        <v>3269</v>
      </c>
      <c r="B63" s="2133">
        <f>估价对象房地状况!C19</f>
        <v>0</v>
      </c>
      <c r="C63" s="2043"/>
      <c r="D63" s="1064">
        <f t="shared" si="13"/>
        <v>0</v>
      </c>
      <c r="E63" s="744"/>
      <c r="F63" s="1813"/>
      <c r="G63" s="1062"/>
      <c r="H63" s="1065" t="str">
        <f t="shared" si="14"/>
        <v>——</v>
      </c>
      <c r="I63" s="3366">
        <v>0.11</v>
      </c>
      <c r="J63" s="1063">
        <f t="shared" si="15"/>
        <v>0</v>
      </c>
      <c r="K63" s="1063">
        <f t="shared" si="16"/>
        <v>0</v>
      </c>
      <c r="L63" s="1063">
        <v>0</v>
      </c>
      <c r="M63" s="1063">
        <f t="shared" si="17"/>
        <v>0</v>
      </c>
      <c r="N63" s="1063">
        <f t="shared" si="17"/>
        <v>0</v>
      </c>
      <c r="AA63" s="1119"/>
      <c r="AB63" s="1119"/>
      <c r="AC63" s="1119"/>
      <c r="AD63" s="1119"/>
      <c r="AE63" s="1119"/>
      <c r="AF63" s="1119"/>
      <c r="AG63" s="1119"/>
      <c r="AH63" s="1119"/>
      <c r="AI63" s="1119"/>
      <c r="AJ63" s="1119"/>
      <c r="AK63" s="1119"/>
    </row>
    <row r="64" spans="1:37" s="1118" customFormat="1" ht="36.75">
      <c r="A64" s="2129" t="s">
        <v>2054</v>
      </c>
      <c r="B64" s="2134" t="s">
        <v>2055</v>
      </c>
      <c r="C64" s="2043"/>
      <c r="D64" s="1064">
        <f t="shared" si="13"/>
        <v>0</v>
      </c>
      <c r="E64" s="744"/>
      <c r="F64" s="1813"/>
      <c r="G64" s="1062"/>
      <c r="H64" s="1065" t="str">
        <f t="shared" si="14"/>
        <v>——</v>
      </c>
      <c r="I64" s="3366">
        <v>0.05</v>
      </c>
      <c r="J64" s="1063">
        <f t="shared" si="15"/>
        <v>0</v>
      </c>
      <c r="K64" s="1063">
        <f t="shared" si="16"/>
        <v>0</v>
      </c>
      <c r="L64" s="1063">
        <v>0</v>
      </c>
      <c r="M64" s="1063">
        <f t="shared" si="17"/>
        <v>0</v>
      </c>
      <c r="N64" s="1063">
        <f t="shared" si="17"/>
        <v>0</v>
      </c>
      <c r="AA64" s="1119"/>
      <c r="AB64" s="1119"/>
      <c r="AC64" s="1119"/>
      <c r="AD64" s="1119"/>
      <c r="AE64" s="1119"/>
      <c r="AF64" s="1119"/>
      <c r="AG64" s="1119"/>
      <c r="AH64" s="1119"/>
      <c r="AI64" s="1119"/>
      <c r="AJ64" s="1119"/>
      <c r="AK64" s="1119"/>
    </row>
    <row r="65" spans="1:37" s="1118" customFormat="1" ht="24">
      <c r="A65" s="2129" t="s">
        <v>2056</v>
      </c>
      <c r="B65" s="2133">
        <f>估价对象房地状况!C24</f>
        <v>0</v>
      </c>
      <c r="C65" s="2043"/>
      <c r="D65" s="1064">
        <f t="shared" si="13"/>
        <v>0</v>
      </c>
      <c r="E65" s="744"/>
      <c r="F65" s="1813"/>
      <c r="G65" s="1062"/>
      <c r="H65" s="1065" t="str">
        <f t="shared" si="14"/>
        <v>——</v>
      </c>
      <c r="I65" s="3366">
        <v>0.05</v>
      </c>
      <c r="J65" s="1063">
        <f t="shared" si="15"/>
        <v>0</v>
      </c>
      <c r="K65" s="1063">
        <f t="shared" si="16"/>
        <v>0</v>
      </c>
      <c r="L65" s="1063">
        <v>0</v>
      </c>
      <c r="M65" s="1063">
        <f t="shared" si="17"/>
        <v>0</v>
      </c>
      <c r="N65" s="1063">
        <f t="shared" si="17"/>
        <v>0</v>
      </c>
      <c r="AA65" s="1119"/>
      <c r="AB65" s="1119"/>
      <c r="AC65" s="1119"/>
      <c r="AD65" s="1119"/>
      <c r="AE65" s="1119"/>
      <c r="AF65" s="1119"/>
      <c r="AG65" s="1119"/>
      <c r="AH65" s="1119"/>
      <c r="AI65" s="1119"/>
      <c r="AJ65" s="1119"/>
      <c r="AK65" s="1119"/>
    </row>
    <row r="66" spans="1:37" s="1118" customFormat="1" ht="24">
      <c r="A66" s="2129" t="s">
        <v>2057</v>
      </c>
      <c r="B66" s="2135" t="s">
        <v>2058</v>
      </c>
      <c r="C66" s="2043"/>
      <c r="D66" s="1064">
        <f t="shared" si="13"/>
        <v>0</v>
      </c>
      <c r="E66" s="744"/>
      <c r="F66" s="1813"/>
      <c r="G66" s="1062"/>
      <c r="H66" s="1065" t="str">
        <f t="shared" si="14"/>
        <v>——</v>
      </c>
      <c r="I66" s="3366">
        <v>0.06</v>
      </c>
      <c r="J66" s="1063">
        <f t="shared" si="15"/>
        <v>0</v>
      </c>
      <c r="K66" s="1063">
        <f t="shared" si="16"/>
        <v>0</v>
      </c>
      <c r="L66" s="1063">
        <v>0</v>
      </c>
      <c r="M66" s="1063">
        <f t="shared" si="17"/>
        <v>0</v>
      </c>
      <c r="N66" s="1063">
        <f t="shared" si="17"/>
        <v>0</v>
      </c>
      <c r="AA66" s="1119"/>
      <c r="AB66" s="1119"/>
      <c r="AC66" s="1119"/>
      <c r="AD66" s="1119"/>
      <c r="AE66" s="1119"/>
      <c r="AF66" s="1119"/>
      <c r="AG66" s="1119"/>
      <c r="AH66" s="1119"/>
      <c r="AI66" s="1119"/>
      <c r="AJ66" s="1119"/>
      <c r="AK66" s="1119"/>
    </row>
    <row r="67" spans="1:37" s="1118" customFormat="1" ht="25.5">
      <c r="A67" s="2129" t="s">
        <v>2059</v>
      </c>
      <c r="B67" s="1325" t="str">
        <f>估价对象房地状况!C21</f>
        <v>估价对象所在区域公共配套设施齐备情况</v>
      </c>
      <c r="C67" s="2043"/>
      <c r="D67" s="1064">
        <f t="shared" si="13"/>
        <v>0</v>
      </c>
      <c r="E67" s="744"/>
      <c r="F67" s="1813"/>
      <c r="G67" s="1062"/>
      <c r="H67" s="1065" t="str">
        <f t="shared" si="14"/>
        <v>——</v>
      </c>
      <c r="I67" s="3366">
        <v>0.06</v>
      </c>
      <c r="J67" s="1063">
        <f t="shared" si="15"/>
        <v>0</v>
      </c>
      <c r="K67" s="1063">
        <f t="shared" si="16"/>
        <v>0</v>
      </c>
      <c r="L67" s="1063">
        <v>0</v>
      </c>
      <c r="M67" s="1063">
        <f t="shared" si="17"/>
        <v>0</v>
      </c>
      <c r="N67" s="1063">
        <f t="shared" si="17"/>
        <v>0</v>
      </c>
      <c r="AA67" s="1119"/>
      <c r="AB67" s="1119"/>
      <c r="AC67" s="1119"/>
      <c r="AD67" s="1119"/>
      <c r="AE67" s="1119"/>
      <c r="AF67" s="1119"/>
      <c r="AG67" s="1119"/>
      <c r="AH67" s="1119"/>
      <c r="AI67" s="1119"/>
      <c r="AJ67" s="1119"/>
      <c r="AK67" s="1119"/>
    </row>
    <row r="68" spans="1:37" s="1118" customFormat="1" ht="25.5">
      <c r="A68" s="2129" t="s">
        <v>2060</v>
      </c>
      <c r="B68" s="1325" t="str">
        <f>估价对象房地状况!C22</f>
        <v>估价对象所在区域基础设施水平</v>
      </c>
      <c r="C68" s="2043"/>
      <c r="D68" s="1064">
        <f t="shared" si="13"/>
        <v>0</v>
      </c>
      <c r="E68" s="744"/>
      <c r="F68" s="1813"/>
      <c r="G68" s="1062"/>
      <c r="H68" s="1065" t="str">
        <f t="shared" si="14"/>
        <v>——</v>
      </c>
      <c r="I68" s="3366">
        <v>0.09</v>
      </c>
      <c r="J68" s="1063">
        <f t="shared" si="15"/>
        <v>0</v>
      </c>
      <c r="K68" s="1063">
        <f t="shared" si="16"/>
        <v>0</v>
      </c>
      <c r="L68" s="1063">
        <v>0</v>
      </c>
      <c r="M68" s="1063">
        <f t="shared" si="17"/>
        <v>0</v>
      </c>
      <c r="N68" s="1063">
        <f t="shared" si="17"/>
        <v>0</v>
      </c>
      <c r="AA68" s="1119"/>
      <c r="AB68" s="1119"/>
      <c r="AC68" s="1119"/>
      <c r="AD68" s="1119"/>
      <c r="AE68" s="1119"/>
      <c r="AF68" s="1119"/>
      <c r="AG68" s="1119"/>
      <c r="AH68" s="1119"/>
      <c r="AI68" s="1119"/>
      <c r="AJ68" s="1119"/>
      <c r="AK68" s="1119"/>
    </row>
    <row r="69" spans="1:37" s="1118" customFormat="1" ht="26.25" thickBot="1">
      <c r="A69" s="2137" t="s">
        <v>2061</v>
      </c>
      <c r="B69" s="2139" t="str">
        <f>估价对象房地状况!C20</f>
        <v>区域自然环境：；人文环境；综合评价环境状况一般</v>
      </c>
      <c r="C69" s="2043"/>
      <c r="D69" s="1064">
        <f t="shared" si="13"/>
        <v>0</v>
      </c>
      <c r="E69" s="745"/>
      <c r="F69" s="1813"/>
      <c r="G69" s="1062"/>
      <c r="H69" s="1065" t="str">
        <f t="shared" si="14"/>
        <v>——</v>
      </c>
      <c r="I69" s="3367">
        <v>7.0000000000000007E-2</v>
      </c>
      <c r="J69" s="1063">
        <f t="shared" si="15"/>
        <v>0</v>
      </c>
      <c r="K69" s="1063">
        <f t="shared" si="16"/>
        <v>0</v>
      </c>
      <c r="L69" s="1063">
        <v>0</v>
      </c>
      <c r="M69" s="1063">
        <f t="shared" si="17"/>
        <v>0</v>
      </c>
      <c r="N69" s="1063">
        <f t="shared" si="17"/>
        <v>0</v>
      </c>
      <c r="AA69" s="1119"/>
      <c r="AB69" s="1119"/>
      <c r="AC69" s="1119"/>
      <c r="AD69" s="1119"/>
      <c r="AE69" s="1119"/>
      <c r="AF69" s="1119"/>
      <c r="AG69" s="1119"/>
      <c r="AH69" s="1119"/>
      <c r="AI69" s="1119"/>
      <c r="AJ69" s="1119"/>
      <c r="AK69" s="1119"/>
    </row>
    <row r="70" spans="1:37" s="1118" customFormat="1" ht="15">
      <c r="A70" s="2125" t="s">
        <v>2065</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c r="A71" s="2129" t="s">
        <v>2044</v>
      </c>
      <c r="B71" s="1350"/>
      <c r="C71" s="1350" t="s">
        <v>2046</v>
      </c>
      <c r="D71" s="1350" t="s">
        <v>2047</v>
      </c>
      <c r="E71" s="742" t="s">
        <v>2048</v>
      </c>
      <c r="F71" s="2130" t="s">
        <v>2063</v>
      </c>
      <c r="G71" s="1350" t="s">
        <v>310</v>
      </c>
      <c r="H71" s="2131" t="s">
        <v>2050</v>
      </c>
      <c r="I71" s="1350" t="s">
        <v>2051</v>
      </c>
      <c r="J71" s="552" t="s">
        <v>1721</v>
      </c>
      <c r="K71" s="552" t="s">
        <v>1722</v>
      </c>
      <c r="L71" s="552" t="s">
        <v>1723</v>
      </c>
      <c r="M71" s="552" t="s">
        <v>1724</v>
      </c>
      <c r="N71" s="552" t="s">
        <v>1725</v>
      </c>
      <c r="AA71" s="1119"/>
      <c r="AB71" s="1119"/>
      <c r="AC71" s="1119"/>
      <c r="AD71" s="1119"/>
      <c r="AE71" s="1119"/>
      <c r="AF71" s="1119"/>
      <c r="AG71" s="1119"/>
      <c r="AH71" s="1119"/>
      <c r="AI71" s="1119"/>
      <c r="AJ71" s="1119"/>
      <c r="AK71" s="1119"/>
    </row>
    <row r="72" spans="1:37" s="1118" customFormat="1" ht="51">
      <c r="A72" s="2129" t="s">
        <v>2066</v>
      </c>
      <c r="B72" s="2132" t="str">
        <f>估价对象房地状况!C15</f>
        <v>估价对象周边居住用地比例、居住小区规模和社区发展完善程度，综合评价居住社区成熟度一般</v>
      </c>
      <c r="C72" s="2043"/>
      <c r="D72" s="1064">
        <f t="shared" ref="D72:D80" si="18">SUMIF($J$71:$N$71,C72,J72:N72)</f>
        <v>0</v>
      </c>
      <c r="E72" s="743">
        <f>ROUND(SUM(D72:D80),4)</f>
        <v>0</v>
      </c>
      <c r="F72" s="1813" t="str">
        <f>IF(E2="住宅",SUMIF(L1:L12,G2,N1:N12),"——")</f>
        <v>——</v>
      </c>
      <c r="G72" s="1062"/>
      <c r="H72" s="1065" t="str">
        <f t="shared" ref="H72:H80" si="19">IFERROR(ROUNDDOWN($F$72*I72/2,4),"——")</f>
        <v>——</v>
      </c>
      <c r="I72" s="3366">
        <v>0.2</v>
      </c>
      <c r="J72" s="1063">
        <f t="shared" ref="J72:J80" si="20">K72+$G72</f>
        <v>0</v>
      </c>
      <c r="K72" s="1063">
        <f t="shared" ref="K72:K80" si="21">$L72+$G72</f>
        <v>0</v>
      </c>
      <c r="L72" s="1063">
        <v>0</v>
      </c>
      <c r="M72" s="1063">
        <f t="shared" ref="M72:N80" si="22">L72-$G72</f>
        <v>0</v>
      </c>
      <c r="N72" s="1063">
        <f t="shared" si="22"/>
        <v>0</v>
      </c>
      <c r="AA72" s="1119"/>
      <c r="AB72" s="1119"/>
      <c r="AC72" s="1119"/>
      <c r="AD72" s="1119"/>
      <c r="AE72" s="1119"/>
      <c r="AF72" s="1119"/>
      <c r="AG72" s="1119"/>
      <c r="AH72" s="1119"/>
      <c r="AI72" s="1119"/>
      <c r="AJ72" s="1119"/>
      <c r="AK72" s="1119"/>
    </row>
    <row r="73" spans="1:37" s="1118" customFormat="1" ht="38.25">
      <c r="A73" s="2129" t="s">
        <v>2053</v>
      </c>
      <c r="B73" s="2133" t="str">
        <f>估价对象房地状况!C18</f>
        <v>估价对象周边道路状况、公共交通通达情况、停车便捷程度，综合评价交通便捷度较好</v>
      </c>
      <c r="C73" s="2043"/>
      <c r="D73" s="1064">
        <f t="shared" si="18"/>
        <v>0</v>
      </c>
      <c r="E73" s="746"/>
      <c r="F73" s="1813"/>
      <c r="G73" s="1062"/>
      <c r="H73" s="1065" t="str">
        <f t="shared" si="19"/>
        <v>——</v>
      </c>
      <c r="I73" s="3366">
        <v>0.26</v>
      </c>
      <c r="J73" s="1063">
        <f t="shared" si="20"/>
        <v>0</v>
      </c>
      <c r="K73" s="1063">
        <f t="shared" si="21"/>
        <v>0</v>
      </c>
      <c r="L73" s="1063">
        <v>0</v>
      </c>
      <c r="M73" s="1063">
        <f t="shared" si="22"/>
        <v>0</v>
      </c>
      <c r="N73" s="1063">
        <f t="shared" si="22"/>
        <v>0</v>
      </c>
      <c r="AA73" s="1119"/>
      <c r="AB73" s="1119"/>
      <c r="AC73" s="1119"/>
      <c r="AD73" s="1119"/>
      <c r="AE73" s="1119"/>
      <c r="AF73" s="1119"/>
      <c r="AG73" s="1119"/>
      <c r="AH73" s="1119"/>
      <c r="AI73" s="1119"/>
      <c r="AJ73" s="1119"/>
      <c r="AK73" s="1119"/>
    </row>
    <row r="74" spans="1:37" s="1996" customFormat="1" ht="36">
      <c r="A74" s="3368" t="s">
        <v>3269</v>
      </c>
      <c r="B74" s="2133">
        <f>估价对象房地状况!C19</f>
        <v>0</v>
      </c>
      <c r="C74" s="2043"/>
      <c r="D74" s="1064">
        <f t="shared" si="18"/>
        <v>0</v>
      </c>
      <c r="E74" s="746"/>
      <c r="F74" s="1813"/>
      <c r="G74" s="1062"/>
      <c r="H74" s="1065" t="str">
        <f t="shared" si="19"/>
        <v>——</v>
      </c>
      <c r="I74" s="3366">
        <v>0.1</v>
      </c>
      <c r="J74" s="1063">
        <f t="shared" si="20"/>
        <v>0</v>
      </c>
      <c r="K74" s="1063">
        <f t="shared" si="21"/>
        <v>0</v>
      </c>
      <c r="L74" s="1063">
        <v>0</v>
      </c>
      <c r="M74" s="1063">
        <f t="shared" si="22"/>
        <v>0</v>
      </c>
      <c r="N74" s="1063">
        <f t="shared" si="22"/>
        <v>0</v>
      </c>
      <c r="O74" s="1118"/>
      <c r="P74" s="1118"/>
      <c r="Q74" s="1118"/>
      <c r="AA74" s="2140"/>
      <c r="AB74" s="1119"/>
      <c r="AC74" s="1119"/>
      <c r="AD74" s="1119"/>
      <c r="AE74" s="1119"/>
      <c r="AF74" s="1119"/>
      <c r="AG74" s="1119"/>
      <c r="AH74" s="2140"/>
      <c r="AI74" s="2140"/>
      <c r="AJ74" s="2140"/>
      <c r="AK74" s="2140"/>
    </row>
    <row r="75" spans="1:37" ht="14.25">
      <c r="A75" s="2129" t="s">
        <v>2067</v>
      </c>
      <c r="B75" s="2133">
        <f>估价对象房地状况!C24</f>
        <v>0</v>
      </c>
      <c r="C75" s="2043"/>
      <c r="D75" s="1064">
        <f t="shared" si="18"/>
        <v>0</v>
      </c>
      <c r="E75" s="746"/>
      <c r="F75" s="1813"/>
      <c r="G75" s="1062"/>
      <c r="H75" s="1065" t="str">
        <f t="shared" si="19"/>
        <v>——</v>
      </c>
      <c r="I75" s="3366">
        <v>0.05</v>
      </c>
      <c r="J75" s="1063">
        <f t="shared" si="20"/>
        <v>0</v>
      </c>
      <c r="K75" s="1063">
        <f t="shared" si="21"/>
        <v>0</v>
      </c>
      <c r="L75" s="1063">
        <v>0</v>
      </c>
      <c r="M75" s="1063">
        <f t="shared" si="22"/>
        <v>0</v>
      </c>
      <c r="N75" s="1063">
        <f t="shared" si="22"/>
        <v>0</v>
      </c>
      <c r="O75" s="1118"/>
      <c r="P75" s="1118"/>
      <c r="Q75" s="1996"/>
      <c r="Z75" s="1997"/>
      <c r="AA75" s="2052"/>
      <c r="AG75" s="1120"/>
      <c r="AK75" s="2052"/>
    </row>
    <row r="76" spans="1:37" ht="25.5">
      <c r="A76" s="2129" t="s">
        <v>2059</v>
      </c>
      <c r="B76" s="1325" t="str">
        <f>估价对象房地状况!C21</f>
        <v>估价对象所在区域公共配套设施齐备情况</v>
      </c>
      <c r="C76" s="2043"/>
      <c r="D76" s="1064">
        <f t="shared" si="18"/>
        <v>0</v>
      </c>
      <c r="E76" s="746"/>
      <c r="F76" s="1813"/>
      <c r="G76" s="1062"/>
      <c r="H76" s="1065" t="str">
        <f t="shared" si="19"/>
        <v>——</v>
      </c>
      <c r="I76" s="3366">
        <v>0.08</v>
      </c>
      <c r="J76" s="1063">
        <f t="shared" si="20"/>
        <v>0</v>
      </c>
      <c r="K76" s="1063">
        <f t="shared" si="21"/>
        <v>0</v>
      </c>
      <c r="L76" s="1063">
        <v>0</v>
      </c>
      <c r="M76" s="1063">
        <f t="shared" si="22"/>
        <v>0</v>
      </c>
      <c r="N76" s="1063">
        <f t="shared" si="22"/>
        <v>0</v>
      </c>
      <c r="O76" s="1118"/>
      <c r="P76" s="1118"/>
      <c r="Z76" s="1997"/>
      <c r="AA76" s="2052"/>
      <c r="AG76" s="1120"/>
      <c r="AK76" s="2052"/>
    </row>
    <row r="77" spans="1:37" ht="25.5">
      <c r="A77" s="2129" t="s">
        <v>2060</v>
      </c>
      <c r="B77" s="1325" t="str">
        <f>估价对象房地状况!C22</f>
        <v>估价对象所在区域基础设施水平</v>
      </c>
      <c r="C77" s="2043"/>
      <c r="D77" s="1064">
        <f t="shared" si="18"/>
        <v>0</v>
      </c>
      <c r="E77" s="746"/>
      <c r="F77" s="1813"/>
      <c r="G77" s="1062"/>
      <c r="H77" s="1065" t="str">
        <f t="shared" si="19"/>
        <v>——</v>
      </c>
      <c r="I77" s="3366">
        <v>0.09</v>
      </c>
      <c r="J77" s="1063">
        <f t="shared" si="20"/>
        <v>0</v>
      </c>
      <c r="K77" s="1063">
        <f t="shared" si="21"/>
        <v>0</v>
      </c>
      <c r="L77" s="1063">
        <v>0</v>
      </c>
      <c r="M77" s="1063">
        <f t="shared" si="22"/>
        <v>0</v>
      </c>
      <c r="N77" s="1063">
        <f t="shared" si="22"/>
        <v>0</v>
      </c>
      <c r="O77" s="1118"/>
      <c r="P77" s="1118"/>
      <c r="Z77" s="1997"/>
      <c r="AA77" s="2052"/>
      <c r="AG77" s="1120"/>
      <c r="AK77" s="2052"/>
    </row>
    <row r="78" spans="1:37" ht="24">
      <c r="A78" s="2129" t="s">
        <v>2057</v>
      </c>
      <c r="B78" s="2135" t="s">
        <v>2058</v>
      </c>
      <c r="C78" s="2043"/>
      <c r="D78" s="1064">
        <f t="shared" si="18"/>
        <v>0</v>
      </c>
      <c r="E78" s="746"/>
      <c r="F78" s="1813"/>
      <c r="G78" s="1062"/>
      <c r="H78" s="1065" t="str">
        <f t="shared" si="19"/>
        <v>——</v>
      </c>
      <c r="I78" s="3366">
        <v>0.05</v>
      </c>
      <c r="J78" s="1063">
        <f t="shared" si="20"/>
        <v>0</v>
      </c>
      <c r="K78" s="1063">
        <f t="shared" si="21"/>
        <v>0</v>
      </c>
      <c r="L78" s="1063">
        <v>0</v>
      </c>
      <c r="M78" s="1063">
        <f t="shared" si="22"/>
        <v>0</v>
      </c>
      <c r="N78" s="1063">
        <f t="shared" si="22"/>
        <v>0</v>
      </c>
      <c r="O78" s="1996"/>
      <c r="P78" s="1996"/>
      <c r="Z78" s="1997"/>
      <c r="AA78" s="2052"/>
      <c r="AG78" s="1120"/>
      <c r="AK78" s="2052"/>
    </row>
    <row r="79" spans="1:37" ht="25.5">
      <c r="A79" s="2129" t="s">
        <v>2061</v>
      </c>
      <c r="B79" s="2132" t="str">
        <f>估价对象房地状况!C20</f>
        <v>区域自然环境：；人文环境；综合评价环境状况一般</v>
      </c>
      <c r="C79" s="2043"/>
      <c r="D79" s="1064">
        <f t="shared" si="18"/>
        <v>0</v>
      </c>
      <c r="E79" s="746"/>
      <c r="F79" s="1813"/>
      <c r="G79" s="1062"/>
      <c r="H79" s="1065" t="str">
        <f t="shared" si="19"/>
        <v>——</v>
      </c>
      <c r="I79" s="3366">
        <v>0.12</v>
      </c>
      <c r="J79" s="1063">
        <f t="shared" si="20"/>
        <v>0</v>
      </c>
      <c r="K79" s="1063">
        <f t="shared" si="21"/>
        <v>0</v>
      </c>
      <c r="L79" s="1063">
        <v>0</v>
      </c>
      <c r="M79" s="1063">
        <f t="shared" si="22"/>
        <v>0</v>
      </c>
      <c r="N79" s="1063">
        <f t="shared" si="22"/>
        <v>0</v>
      </c>
      <c r="Z79" s="1997"/>
      <c r="AA79" s="2052"/>
      <c r="AG79" s="1120"/>
      <c r="AK79" s="2052"/>
    </row>
    <row r="80" spans="1:37" ht="24.75" thickBot="1">
      <c r="A80" s="2137" t="s">
        <v>2068</v>
      </c>
      <c r="B80" s="2141"/>
      <c r="C80" s="2043"/>
      <c r="D80" s="1064">
        <f t="shared" si="18"/>
        <v>0</v>
      </c>
      <c r="E80" s="747"/>
      <c r="F80" s="1813"/>
      <c r="G80" s="1062"/>
      <c r="H80" s="1065" t="str">
        <f t="shared" si="19"/>
        <v>——</v>
      </c>
      <c r="I80" s="3367">
        <v>0.05</v>
      </c>
      <c r="J80" s="1063">
        <f t="shared" si="20"/>
        <v>0</v>
      </c>
      <c r="K80" s="1063">
        <f t="shared" si="21"/>
        <v>0</v>
      </c>
      <c r="L80" s="1063">
        <v>0</v>
      </c>
      <c r="M80" s="1063">
        <f t="shared" si="22"/>
        <v>0</v>
      </c>
      <c r="N80" s="1063">
        <f t="shared" si="22"/>
        <v>0</v>
      </c>
      <c r="Z80" s="1997"/>
      <c r="AA80" s="2052"/>
      <c r="AG80" s="1120"/>
      <c r="AK80" s="2052"/>
    </row>
    <row r="81" spans="1:37" ht="15">
      <c r="A81" s="2125" t="s">
        <v>2069</v>
      </c>
      <c r="B81" s="2126">
        <f>1+E83</f>
        <v>1</v>
      </c>
      <c r="C81" s="740"/>
      <c r="D81" s="740"/>
      <c r="E81" s="741"/>
      <c r="F81" s="2128"/>
      <c r="G81" s="3"/>
      <c r="H81" s="3"/>
      <c r="I81" s="3"/>
      <c r="J81" s="4"/>
      <c r="K81" s="4"/>
      <c r="L81" s="4"/>
      <c r="M81" s="4"/>
      <c r="N81" s="4"/>
      <c r="Z81" s="1997"/>
      <c r="AA81" s="2052"/>
      <c r="AG81" s="1120"/>
      <c r="AK81" s="2052"/>
    </row>
    <row r="82" spans="1:37" ht="24.75">
      <c r="A82" s="2129" t="s">
        <v>2044</v>
      </c>
      <c r="B82" s="1350"/>
      <c r="C82" s="1350" t="s">
        <v>2046</v>
      </c>
      <c r="D82" s="1350" t="s">
        <v>2047</v>
      </c>
      <c r="E82" s="742" t="s">
        <v>2048</v>
      </c>
      <c r="F82" s="2130" t="s">
        <v>2063</v>
      </c>
      <c r="G82" s="1350" t="s">
        <v>310</v>
      </c>
      <c r="H82" s="2131" t="s">
        <v>2050</v>
      </c>
      <c r="I82" s="1350" t="s">
        <v>2051</v>
      </c>
      <c r="J82" s="552" t="s">
        <v>1721</v>
      </c>
      <c r="K82" s="552" t="s">
        <v>1722</v>
      </c>
      <c r="L82" s="552" t="s">
        <v>1723</v>
      </c>
      <c r="M82" s="552" t="s">
        <v>1724</v>
      </c>
      <c r="N82" s="552" t="s">
        <v>1725</v>
      </c>
      <c r="Z82" s="1997"/>
      <c r="AA82" s="2052"/>
      <c r="AG82" s="1120"/>
      <c r="AK82" s="2052"/>
    </row>
    <row r="83" spans="1:37" ht="38.25">
      <c r="A83" s="2129" t="s">
        <v>2070</v>
      </c>
      <c r="B83" s="2133" t="str">
        <f>估价对象房地状况!G15</f>
        <v>估价对象位于XX开发区，园区建设成熟度XX，产业集聚程度XX</v>
      </c>
      <c r="C83" s="2043"/>
      <c r="D83" s="1064">
        <f t="shared" ref="D83:D90" si="23">SUMIF($J$82:$N$82,C83,J83:N83)</f>
        <v>0</v>
      </c>
      <c r="E83" s="743">
        <f>ROUND(SUM(D83:D90),4)</f>
        <v>0</v>
      </c>
      <c r="F83" s="1813" t="str">
        <f>IF(E2="工业",SUMIF(L1:L12,G2,N1:N12),"——")</f>
        <v>——</v>
      </c>
      <c r="G83" s="1062"/>
      <c r="H83" s="1065" t="str">
        <f t="shared" ref="H83:H90" si="24">IFERROR(ROUNDDOWN($F$83*I83/2,4),"——")</f>
        <v>——</v>
      </c>
      <c r="I83" s="3366">
        <v>0.26</v>
      </c>
      <c r="J83" s="1063">
        <f t="shared" ref="J83:J90" si="25">K83+$G83</f>
        <v>0</v>
      </c>
      <c r="K83" s="1063">
        <f t="shared" ref="K83:K90" si="26">$L83+$G83</f>
        <v>0</v>
      </c>
      <c r="L83" s="1063">
        <v>0</v>
      </c>
      <c r="M83" s="1063">
        <f t="shared" ref="M83:N90" si="27">L83-$G83</f>
        <v>0</v>
      </c>
      <c r="N83" s="1063">
        <f t="shared" si="27"/>
        <v>0</v>
      </c>
      <c r="Z83" s="1997"/>
      <c r="AA83" s="2052"/>
      <c r="AG83" s="1120"/>
      <c r="AK83" s="2052"/>
    </row>
    <row r="84" spans="1:37" ht="38.25">
      <c r="A84" s="2129" t="s">
        <v>2053</v>
      </c>
      <c r="B84" s="2133" t="str">
        <f>估价对象房地状况!G16</f>
        <v>估价对象周边道路状况、公共交通通达情况、停车便捷程度，综合评价交通便捷度较好</v>
      </c>
      <c r="C84" s="2043"/>
      <c r="D84" s="1064">
        <f t="shared" si="23"/>
        <v>0</v>
      </c>
      <c r="E84" s="746"/>
      <c r="F84" s="1813"/>
      <c r="G84" s="1062"/>
      <c r="H84" s="1065" t="str">
        <f t="shared" si="24"/>
        <v>——</v>
      </c>
      <c r="I84" s="3366">
        <v>0.3</v>
      </c>
      <c r="J84" s="1063">
        <f t="shared" si="25"/>
        <v>0</v>
      </c>
      <c r="K84" s="1063">
        <f t="shared" si="26"/>
        <v>0</v>
      </c>
      <c r="L84" s="1063">
        <v>0</v>
      </c>
      <c r="M84" s="1063">
        <f t="shared" si="27"/>
        <v>0</v>
      </c>
      <c r="N84" s="1063">
        <f t="shared" si="27"/>
        <v>0</v>
      </c>
      <c r="Z84" s="1997"/>
      <c r="AA84" s="2052"/>
      <c r="AG84" s="1120"/>
      <c r="AK84" s="2052"/>
    </row>
    <row r="85" spans="1:37" ht="36">
      <c r="A85" s="3368" t="s">
        <v>3270</v>
      </c>
      <c r="B85" s="2133">
        <f>估价对象房地状况!G17</f>
        <v>0</v>
      </c>
      <c r="C85" s="2043"/>
      <c r="D85" s="1064">
        <f t="shared" si="23"/>
        <v>0</v>
      </c>
      <c r="E85" s="746"/>
      <c r="F85" s="1813"/>
      <c r="G85" s="1062"/>
      <c r="H85" s="1065" t="str">
        <f t="shared" si="24"/>
        <v>——</v>
      </c>
      <c r="I85" s="3366">
        <v>0.1</v>
      </c>
      <c r="J85" s="1063">
        <f t="shared" si="25"/>
        <v>0</v>
      </c>
      <c r="K85" s="1063">
        <f t="shared" si="26"/>
        <v>0</v>
      </c>
      <c r="L85" s="1063">
        <v>0</v>
      </c>
      <c r="M85" s="1063">
        <f t="shared" si="27"/>
        <v>0</v>
      </c>
      <c r="N85" s="1063">
        <f t="shared" si="27"/>
        <v>0</v>
      </c>
      <c r="Z85" s="1997"/>
      <c r="AA85" s="2052"/>
      <c r="AG85" s="1120"/>
      <c r="AK85" s="2052"/>
    </row>
    <row r="86" spans="1:37" ht="14.25">
      <c r="A86" s="2129" t="s">
        <v>2067</v>
      </c>
      <c r="B86" s="2133">
        <f>估价对象房地状况!G22</f>
        <v>0</v>
      </c>
      <c r="C86" s="2043"/>
      <c r="D86" s="1064">
        <f t="shared" si="23"/>
        <v>0</v>
      </c>
      <c r="E86" s="746"/>
      <c r="F86" s="1813"/>
      <c r="G86" s="1062"/>
      <c r="H86" s="1065" t="str">
        <f t="shared" si="24"/>
        <v>——</v>
      </c>
      <c r="I86" s="3366">
        <v>0.05</v>
      </c>
      <c r="J86" s="1063">
        <f t="shared" si="25"/>
        <v>0</v>
      </c>
      <c r="K86" s="1063">
        <f t="shared" si="26"/>
        <v>0</v>
      </c>
      <c r="L86" s="1063">
        <v>0</v>
      </c>
      <c r="M86" s="1063">
        <f t="shared" si="27"/>
        <v>0</v>
      </c>
      <c r="N86" s="1063">
        <f t="shared" si="27"/>
        <v>0</v>
      </c>
      <c r="Z86" s="1997"/>
      <c r="AA86" s="2052"/>
      <c r="AG86" s="1120"/>
      <c r="AK86" s="2052"/>
    </row>
    <row r="87" spans="1:37" ht="25.5">
      <c r="A87" s="2129" t="s">
        <v>2059</v>
      </c>
      <c r="B87" s="1325" t="str">
        <f>估价对象房地状况!G19</f>
        <v>估价对象所在区域公共配套设施齐备情况</v>
      </c>
      <c r="C87" s="2043"/>
      <c r="D87" s="1064">
        <f t="shared" si="23"/>
        <v>0</v>
      </c>
      <c r="E87" s="746"/>
      <c r="F87" s="1813"/>
      <c r="G87" s="1062"/>
      <c r="H87" s="1065" t="str">
        <f t="shared" si="24"/>
        <v>——</v>
      </c>
      <c r="I87" s="3366">
        <v>0.06</v>
      </c>
      <c r="J87" s="1063">
        <f t="shared" si="25"/>
        <v>0</v>
      </c>
      <c r="K87" s="1063">
        <f t="shared" si="26"/>
        <v>0</v>
      </c>
      <c r="L87" s="1063">
        <v>0</v>
      </c>
      <c r="M87" s="1063">
        <f t="shared" si="27"/>
        <v>0</v>
      </c>
      <c r="N87" s="1063">
        <f t="shared" si="27"/>
        <v>0</v>
      </c>
    </row>
    <row r="88" spans="1:37" ht="25.5">
      <c r="A88" s="2129" t="s">
        <v>2060</v>
      </c>
      <c r="B88" s="1325" t="str">
        <f>估价对象房地状况!G20</f>
        <v>估价对象所在区域基础设施水平</v>
      </c>
      <c r="C88" s="2043"/>
      <c r="D88" s="1064">
        <f t="shared" si="23"/>
        <v>0</v>
      </c>
      <c r="E88" s="746"/>
      <c r="F88" s="1813"/>
      <c r="G88" s="1062"/>
      <c r="H88" s="1065" t="str">
        <f t="shared" si="24"/>
        <v>——</v>
      </c>
      <c r="I88" s="3366">
        <v>0.12</v>
      </c>
      <c r="J88" s="1063">
        <f t="shared" si="25"/>
        <v>0</v>
      </c>
      <c r="K88" s="1063">
        <f t="shared" si="26"/>
        <v>0</v>
      </c>
      <c r="L88" s="1063">
        <v>0</v>
      </c>
      <c r="M88" s="1063">
        <f t="shared" si="27"/>
        <v>0</v>
      </c>
      <c r="N88" s="1063">
        <f t="shared" si="27"/>
        <v>0</v>
      </c>
    </row>
    <row r="89" spans="1:37" ht="24">
      <c r="A89" s="2129" t="s">
        <v>2057</v>
      </c>
      <c r="B89" s="2135" t="s">
        <v>2071</v>
      </c>
      <c r="C89" s="2043"/>
      <c r="D89" s="1064">
        <f t="shared" si="23"/>
        <v>0</v>
      </c>
      <c r="E89" s="746"/>
      <c r="F89" s="1813"/>
      <c r="G89" s="1062"/>
      <c r="H89" s="1065" t="str">
        <f t="shared" si="24"/>
        <v>——</v>
      </c>
      <c r="I89" s="3366">
        <v>0.06</v>
      </c>
      <c r="J89" s="1063">
        <f t="shared" si="25"/>
        <v>0</v>
      </c>
      <c r="K89" s="1063">
        <f t="shared" si="26"/>
        <v>0</v>
      </c>
      <c r="L89" s="1063">
        <v>0</v>
      </c>
      <c r="M89" s="1063">
        <f t="shared" si="27"/>
        <v>0</v>
      </c>
      <c r="N89" s="1063">
        <f t="shared" si="27"/>
        <v>0</v>
      </c>
    </row>
    <row r="90" spans="1:37" ht="39" thickBot="1">
      <c r="A90" s="2137" t="s">
        <v>2072</v>
      </c>
      <c r="B90" s="2142" t="str">
        <f>估价对象房地状况!G18</f>
        <v>该园区内是否有污染型企业，绿化情况，卫生条件，整体环境状况判断</v>
      </c>
      <c r="C90" s="2043"/>
      <c r="D90" s="1064">
        <f t="shared" si="23"/>
        <v>0</v>
      </c>
      <c r="E90" s="747"/>
      <c r="F90" s="1813"/>
      <c r="G90" s="1062"/>
      <c r="H90" s="1065" t="str">
        <f t="shared" si="24"/>
        <v>——</v>
      </c>
      <c r="I90" s="3367">
        <v>0.05</v>
      </c>
      <c r="J90" s="1063">
        <f t="shared" si="25"/>
        <v>0</v>
      </c>
      <c r="K90" s="1063">
        <f t="shared" si="26"/>
        <v>0</v>
      </c>
      <c r="L90" s="1063">
        <v>0</v>
      </c>
      <c r="M90" s="1063">
        <f t="shared" si="27"/>
        <v>0</v>
      </c>
      <c r="N90" s="1063">
        <f t="shared" si="27"/>
        <v>0</v>
      </c>
    </row>
    <row r="91" spans="1:37" ht="15">
      <c r="A91" s="3376" t="s">
        <v>2612</v>
      </c>
      <c r="B91" s="3377">
        <f>1+E93</f>
        <v>1</v>
      </c>
      <c r="C91" s="3370"/>
      <c r="D91" s="3371"/>
      <c r="E91" s="1813"/>
      <c r="F91" s="1813"/>
      <c r="G91" s="3372"/>
      <c r="H91" s="3373"/>
      <c r="I91" s="3374"/>
      <c r="J91" s="3375"/>
      <c r="K91" s="3375"/>
      <c r="L91" s="3375"/>
      <c r="M91" s="3375"/>
      <c r="N91" s="3375"/>
    </row>
    <row r="92" spans="1:37" ht="24.75">
      <c r="A92" s="3378" t="s">
        <v>3271</v>
      </c>
      <c r="B92" s="3365"/>
      <c r="C92" s="3365" t="s">
        <v>3280</v>
      </c>
      <c r="D92" s="3365" t="s">
        <v>3281</v>
      </c>
      <c r="E92" s="3347" t="s">
        <v>3282</v>
      </c>
      <c r="F92" s="3380" t="s">
        <v>3283</v>
      </c>
      <c r="G92" s="3365" t="s">
        <v>3284</v>
      </c>
      <c r="H92" s="3387" t="s">
        <v>3287</v>
      </c>
      <c r="I92" s="3365" t="s">
        <v>3288</v>
      </c>
      <c r="J92" s="3388" t="s">
        <v>3289</v>
      </c>
      <c r="K92" s="3388" t="s">
        <v>3290</v>
      </c>
      <c r="L92" s="3388" t="s">
        <v>3291</v>
      </c>
      <c r="M92" s="3388" t="s">
        <v>3292</v>
      </c>
      <c r="N92" s="3388" t="s">
        <v>3293</v>
      </c>
    </row>
    <row r="93" spans="1:37" ht="24">
      <c r="A93" s="3368" t="s">
        <v>3272</v>
      </c>
      <c r="B93" s="1305"/>
      <c r="C93" s="2043"/>
      <c r="D93" s="3365">
        <f>SUMIF($J$92:$N$92,C93,J93:N93)</f>
        <v>0</v>
      </c>
      <c r="E93" s="3381">
        <f>ROUND(SUM(D93:D101),4)</f>
        <v>0</v>
      </c>
      <c r="F93" s="1813"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38.25">
      <c r="A94" s="3378" t="s">
        <v>3273</v>
      </c>
      <c r="B94" s="3369" t="str">
        <f>估价对象房地状况!C18</f>
        <v>估价对象周边道路状况、公共交通通达情况、停车便捷程度，综合评价交通便捷度较好</v>
      </c>
      <c r="C94" s="2043"/>
      <c r="D94" s="3365">
        <f t="shared" ref="D94:D101" si="31">SUMIF($J$60:$N$60,C94,J94:N94)</f>
        <v>0</v>
      </c>
      <c r="E94" s="3382"/>
      <c r="F94" s="1813"/>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3269</v>
      </c>
      <c r="B95" s="3369">
        <f>估价对象房地状况!C19</f>
        <v>0</v>
      </c>
      <c r="C95" s="2043"/>
      <c r="D95" s="3365">
        <f t="shared" si="31"/>
        <v>0</v>
      </c>
      <c r="E95" s="3382"/>
      <c r="F95" s="1813"/>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3274</v>
      </c>
      <c r="B96" s="3384" t="s">
        <v>3285</v>
      </c>
      <c r="C96" s="2043"/>
      <c r="D96" s="3365">
        <f t="shared" si="31"/>
        <v>0</v>
      </c>
      <c r="E96" s="3382"/>
      <c r="F96" s="1813"/>
      <c r="G96" s="3372"/>
      <c r="H96" s="3420" t="str">
        <f t="shared" si="32"/>
        <v>——</v>
      </c>
      <c r="I96" s="3366">
        <v>0.05</v>
      </c>
      <c r="J96" s="3344">
        <f t="shared" si="28"/>
        <v>0</v>
      </c>
      <c r="K96" s="3344">
        <f t="shared" si="29"/>
        <v>0</v>
      </c>
      <c r="L96" s="3344">
        <v>0</v>
      </c>
      <c r="M96" s="3344">
        <f t="shared" si="30"/>
        <v>0</v>
      </c>
      <c r="N96" s="3344">
        <f t="shared" si="30"/>
        <v>0</v>
      </c>
    </row>
    <row r="97" spans="1:14" ht="24">
      <c r="A97" s="3378" t="s">
        <v>3275</v>
      </c>
      <c r="B97" s="3369">
        <f>估价对象房地状况!C24</f>
        <v>0</v>
      </c>
      <c r="C97" s="2043"/>
      <c r="D97" s="3365">
        <f t="shared" si="31"/>
        <v>0</v>
      </c>
      <c r="E97" s="3382"/>
      <c r="F97" s="1813"/>
      <c r="G97" s="3372"/>
      <c r="H97" s="3420" t="str">
        <f t="shared" si="32"/>
        <v>——</v>
      </c>
      <c r="I97" s="3366">
        <v>0.05</v>
      </c>
      <c r="J97" s="3344">
        <f t="shared" si="28"/>
        <v>0</v>
      </c>
      <c r="K97" s="3344">
        <f t="shared" si="29"/>
        <v>0</v>
      </c>
      <c r="L97" s="3344">
        <v>0</v>
      </c>
      <c r="M97" s="3344">
        <f t="shared" si="30"/>
        <v>0</v>
      </c>
      <c r="N97" s="3344">
        <f t="shared" si="30"/>
        <v>0</v>
      </c>
    </row>
    <row r="98" spans="1:14" ht="24">
      <c r="A98" s="3378" t="s">
        <v>3276</v>
      </c>
      <c r="B98" s="3385" t="s">
        <v>3286</v>
      </c>
      <c r="C98" s="2043"/>
      <c r="D98" s="3365">
        <f t="shared" si="31"/>
        <v>0</v>
      </c>
      <c r="E98" s="3382"/>
      <c r="F98" s="1813"/>
      <c r="G98" s="3372"/>
      <c r="H98" s="3420" t="str">
        <f t="shared" si="32"/>
        <v>——</v>
      </c>
      <c r="I98" s="3366">
        <v>0.06</v>
      </c>
      <c r="J98" s="3344">
        <f t="shared" si="28"/>
        <v>0</v>
      </c>
      <c r="K98" s="3344">
        <f t="shared" si="29"/>
        <v>0</v>
      </c>
      <c r="L98" s="3344">
        <v>0</v>
      </c>
      <c r="M98" s="3344">
        <f t="shared" si="30"/>
        <v>0</v>
      </c>
      <c r="N98" s="3344">
        <f t="shared" si="30"/>
        <v>0</v>
      </c>
    </row>
    <row r="99" spans="1:14" ht="25.5">
      <c r="A99" s="3378" t="s">
        <v>3277</v>
      </c>
      <c r="B99" s="3369" t="str">
        <f>估价对象房地状况!C21</f>
        <v>估价对象所在区域公共配套设施齐备情况</v>
      </c>
      <c r="C99" s="2043"/>
      <c r="D99" s="3365">
        <f t="shared" si="31"/>
        <v>0</v>
      </c>
      <c r="E99" s="3382"/>
      <c r="F99" s="1813"/>
      <c r="G99" s="3372"/>
      <c r="H99" s="3420" t="str">
        <f t="shared" si="32"/>
        <v>——</v>
      </c>
      <c r="I99" s="3366">
        <v>0.06</v>
      </c>
      <c r="J99" s="3344">
        <f t="shared" si="28"/>
        <v>0</v>
      </c>
      <c r="K99" s="3344">
        <f t="shared" si="29"/>
        <v>0</v>
      </c>
      <c r="L99" s="3344">
        <v>0</v>
      </c>
      <c r="M99" s="3344">
        <f t="shared" si="30"/>
        <v>0</v>
      </c>
      <c r="N99" s="3344">
        <f t="shared" si="30"/>
        <v>0</v>
      </c>
    </row>
    <row r="100" spans="1:14" ht="25.5">
      <c r="A100" s="3378" t="s">
        <v>3278</v>
      </c>
      <c r="B100" s="3369" t="str">
        <f>估价对象房地状况!C22</f>
        <v>估价对象所在区域基础设施水平</v>
      </c>
      <c r="C100" s="2043"/>
      <c r="D100" s="3365">
        <f t="shared" si="31"/>
        <v>0</v>
      </c>
      <c r="E100" s="3382"/>
      <c r="F100" s="1813"/>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3279</v>
      </c>
      <c r="B101" s="3386" t="str">
        <f>估价对象房地状况!C20</f>
        <v>区域自然环境：；人文环境；综合评价环境状况一般</v>
      </c>
      <c r="C101" s="2043"/>
      <c r="D101" s="3365">
        <f t="shared" si="31"/>
        <v>0</v>
      </c>
      <c r="E101" s="3383"/>
      <c r="F101" s="1813"/>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799" t="s">
        <v>3294</v>
      </c>
      <c r="B103" s="3799"/>
      <c r="C103" s="3799"/>
      <c r="D103" s="3799"/>
      <c r="E103" s="3799"/>
      <c r="F103" s="3799"/>
      <c r="G103" s="3799"/>
      <c r="H103" s="3799"/>
      <c r="I103" s="3799"/>
      <c r="J103" s="3799"/>
      <c r="K103" s="3389"/>
      <c r="L103" s="3389"/>
      <c r="M103" s="3389"/>
      <c r="N103" s="3389"/>
    </row>
    <row r="104" spans="1:14">
      <c r="A104" s="3800" t="s">
        <v>3295</v>
      </c>
      <c r="B104" s="3800" t="s">
        <v>3296</v>
      </c>
      <c r="C104" s="3390" t="s">
        <v>3297</v>
      </c>
      <c r="D104" s="3391"/>
      <c r="E104" s="3391"/>
      <c r="F104" s="3391"/>
      <c r="G104" s="3391"/>
      <c r="H104" s="3391"/>
      <c r="I104" s="3391"/>
      <c r="J104" s="3392"/>
      <c r="K104" s="3393"/>
      <c r="L104" s="3393"/>
      <c r="M104" s="3393"/>
      <c r="N104" s="3393"/>
    </row>
    <row r="105" spans="1:14">
      <c r="A105" s="3800"/>
      <c r="B105" s="3800"/>
      <c r="C105" s="3394" t="s">
        <v>3298</v>
      </c>
      <c r="D105" s="3394" t="s">
        <v>3299</v>
      </c>
      <c r="E105" s="3394" t="s">
        <v>3300</v>
      </c>
      <c r="F105" s="3394" t="s">
        <v>3301</v>
      </c>
      <c r="G105" s="3394" t="s">
        <v>3302</v>
      </c>
      <c r="H105" s="3394" t="s">
        <v>3303</v>
      </c>
      <c r="I105" s="3394" t="s">
        <v>3304</v>
      </c>
      <c r="J105" s="3394" t="s">
        <v>3305</v>
      </c>
      <c r="K105" s="3394" t="s">
        <v>3306</v>
      </c>
      <c r="L105" s="3394" t="s">
        <v>3307</v>
      </c>
      <c r="M105" s="3394" t="s">
        <v>3308</v>
      </c>
      <c r="N105" s="3394" t="s">
        <v>3309</v>
      </c>
    </row>
    <row r="106" spans="1:14">
      <c r="A106" s="3786" t="s">
        <v>3310</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87"/>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87"/>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87"/>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87"/>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87"/>
      <c r="B111" s="3394" t="s">
        <v>3268</v>
      </c>
      <c r="C111" s="3395">
        <f>$I$3</f>
        <v>2</v>
      </c>
      <c r="D111" s="3395">
        <f t="shared" ref="D111:M111" si="33">$I$3</f>
        <v>2</v>
      </c>
      <c r="E111" s="3395">
        <f t="shared" si="33"/>
        <v>2</v>
      </c>
      <c r="F111" s="3395">
        <f t="shared" si="33"/>
        <v>2</v>
      </c>
      <c r="G111" s="3395">
        <f t="shared" si="33"/>
        <v>2</v>
      </c>
      <c r="H111" s="3395">
        <f t="shared" si="33"/>
        <v>2</v>
      </c>
      <c r="I111" s="3395">
        <f t="shared" si="33"/>
        <v>2</v>
      </c>
      <c r="J111" s="3395">
        <f t="shared" si="33"/>
        <v>2</v>
      </c>
      <c r="K111" s="3395">
        <f t="shared" si="33"/>
        <v>2</v>
      </c>
      <c r="L111" s="3395">
        <f t="shared" si="33"/>
        <v>2</v>
      </c>
      <c r="M111" s="3395">
        <f t="shared" si="33"/>
        <v>2</v>
      </c>
      <c r="N111" s="3395">
        <f>$I$3</f>
        <v>2</v>
      </c>
    </row>
    <row r="112" spans="1:14">
      <c r="A112" s="3788"/>
      <c r="B112" s="3394">
        <v>6</v>
      </c>
      <c r="C112" s="3387">
        <f>(-0.5556*(C111^2)-0.2719*C111+8944)*(10^(-4))</f>
        <v>0.89412338000000002</v>
      </c>
      <c r="D112" s="3387">
        <f>(-0.5556*(D111^2)-0.2719*D111+8944)*(10^(-4))</f>
        <v>0.89412338000000002</v>
      </c>
      <c r="E112" s="3387">
        <f>(-0.7912*(E111^2)-11.3794*E111+8482)*(10^(-4))</f>
        <v>0.84560763999999999</v>
      </c>
      <c r="F112" s="3387">
        <f t="shared" ref="F112:I112" si="34">(-0.7912*(F111^2)-11.3794*F111+8482)*(10^(-4))</f>
        <v>0.84560763999999999</v>
      </c>
      <c r="G112" s="3387">
        <f t="shared" si="34"/>
        <v>0.84560763999999999</v>
      </c>
      <c r="H112" s="3387">
        <f t="shared" si="34"/>
        <v>0.84560763999999999</v>
      </c>
      <c r="I112" s="3387">
        <f t="shared" si="34"/>
        <v>0.84560763999999999</v>
      </c>
      <c r="J112" s="3387">
        <f>(-0.989*(J111^2)-63.78*J111+7771)*(10^(-4))</f>
        <v>0.76394840000000008</v>
      </c>
      <c r="K112" s="3387">
        <f t="shared" ref="K112:N112" si="35">(-0.989*(K111^2)-63.78*K111+7771)*(10^(-4))</f>
        <v>0.76394840000000008</v>
      </c>
      <c r="L112" s="3387">
        <f t="shared" si="35"/>
        <v>0.76394840000000008</v>
      </c>
      <c r="M112" s="3387">
        <f t="shared" si="35"/>
        <v>0.76394840000000008</v>
      </c>
      <c r="N112" s="3387">
        <f t="shared" si="35"/>
        <v>0.76394840000000008</v>
      </c>
    </row>
    <row r="113" spans="1:14">
      <c r="A113" s="3789" t="s">
        <v>3311</v>
      </c>
      <c r="B113" s="3789"/>
      <c r="C113" s="3789"/>
      <c r="D113" s="3789"/>
      <c r="E113" s="3789"/>
      <c r="F113" s="3789"/>
      <c r="G113" s="3789"/>
      <c r="H113" s="3789"/>
      <c r="I113" s="3789"/>
      <c r="J113" s="3789"/>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3312</v>
      </c>
      <c r="B116" s="3415">
        <f>G3</f>
        <v>2.5</v>
      </c>
      <c r="C116" s="3399" t="s">
        <v>3313</v>
      </c>
      <c r="D116" s="3400">
        <f>SUMPRODUCT((A118:A122=F116)*(B117:M117=H116)*B118:M122)</f>
        <v>0.91400000000000003</v>
      </c>
      <c r="E116" s="1999" t="s">
        <v>3314</v>
      </c>
      <c r="F116" s="3401" t="str">
        <f>E2</f>
        <v>商业</v>
      </c>
      <c r="G116" s="1999" t="s">
        <v>3315</v>
      </c>
      <c r="H116" s="3401" t="str">
        <f>G2</f>
        <v>四级</v>
      </c>
      <c r="I116" s="1999"/>
      <c r="J116" s="3402"/>
      <c r="K116" s="3402"/>
      <c r="L116" s="3402"/>
      <c r="M116" s="3402"/>
      <c r="N116" s="3397"/>
    </row>
    <row r="117" spans="1:14">
      <c r="A117" s="3403"/>
      <c r="B117" s="3404" t="s">
        <v>3316</v>
      </c>
      <c r="C117" s="3404" t="s">
        <v>3317</v>
      </c>
      <c r="D117" s="3404" t="s">
        <v>3318</v>
      </c>
      <c r="E117" s="3405" t="s">
        <v>3319</v>
      </c>
      <c r="F117" s="3405" t="s">
        <v>3320</v>
      </c>
      <c r="G117" s="3405" t="s">
        <v>3321</v>
      </c>
      <c r="H117" s="3406" t="s">
        <v>3322</v>
      </c>
      <c r="I117" s="3406" t="s">
        <v>3323</v>
      </c>
      <c r="J117" s="3407" t="s">
        <v>3324</v>
      </c>
      <c r="K117" s="3407" t="s">
        <v>3325</v>
      </c>
      <c r="L117" s="3407" t="s">
        <v>3326</v>
      </c>
      <c r="M117" s="3408" t="s">
        <v>3327</v>
      </c>
      <c r="N117" s="3397"/>
    </row>
    <row r="118" spans="1:14">
      <c r="A118" s="3409" t="s">
        <v>3328</v>
      </c>
      <c r="B118" s="3387">
        <f>ROUND(0.9968-0.011*B116,4)</f>
        <v>0.96930000000000005</v>
      </c>
      <c r="C118" s="3387">
        <f>B118</f>
        <v>0.96930000000000005</v>
      </c>
      <c r="D118" s="3387">
        <f>ROUND(0.949-0.014*B116,4)</f>
        <v>0.91400000000000003</v>
      </c>
      <c r="E118" s="3387">
        <f>D118</f>
        <v>0.91400000000000003</v>
      </c>
      <c r="F118" s="3387">
        <f>E118</f>
        <v>0.91400000000000003</v>
      </c>
      <c r="G118" s="3387">
        <f>F118</f>
        <v>0.91400000000000003</v>
      </c>
      <c r="H118" s="3387">
        <f>G118</f>
        <v>0.91400000000000003</v>
      </c>
      <c r="I118" s="3387">
        <f>ROUND(0.8486-0.018*B116,4)</f>
        <v>0.80359999999999998</v>
      </c>
      <c r="J118" s="3387">
        <f t="shared" ref="J118:M122" si="36">I118</f>
        <v>0.80359999999999998</v>
      </c>
      <c r="K118" s="3387">
        <f t="shared" si="36"/>
        <v>0.80359999999999998</v>
      </c>
      <c r="L118" s="3387">
        <f t="shared" si="36"/>
        <v>0.80359999999999998</v>
      </c>
      <c r="M118" s="3410">
        <f t="shared" si="36"/>
        <v>0.80359999999999998</v>
      </c>
      <c r="N118" s="3397"/>
    </row>
    <row r="119" spans="1:14">
      <c r="A119" s="3409" t="s">
        <v>3329</v>
      </c>
      <c r="B119" s="3387">
        <f>ROUND(0.993-0.0112*B116,4)</f>
        <v>0.96499999999999997</v>
      </c>
      <c r="C119" s="3387">
        <f>B119</f>
        <v>0.96499999999999997</v>
      </c>
      <c r="D119" s="3387">
        <f>ROUND(0.9415-0.0142*B116,4)</f>
        <v>0.90600000000000003</v>
      </c>
      <c r="E119" s="3387">
        <f t="shared" ref="E119:H120" si="37">D119</f>
        <v>0.90600000000000003</v>
      </c>
      <c r="F119" s="3387">
        <f t="shared" si="37"/>
        <v>0.90600000000000003</v>
      </c>
      <c r="G119" s="3387">
        <f t="shared" si="37"/>
        <v>0.90600000000000003</v>
      </c>
      <c r="H119" s="3387">
        <f t="shared" si="37"/>
        <v>0.90600000000000003</v>
      </c>
      <c r="I119" s="3387">
        <f>ROUND(0.838-0.0182*B116,4)</f>
        <v>0.79249999999999998</v>
      </c>
      <c r="J119" s="3387">
        <f t="shared" si="36"/>
        <v>0.79249999999999998</v>
      </c>
      <c r="K119" s="3387">
        <f t="shared" si="36"/>
        <v>0.79249999999999998</v>
      </c>
      <c r="L119" s="3387">
        <f t="shared" si="36"/>
        <v>0.79249999999999998</v>
      </c>
      <c r="M119" s="3410">
        <f t="shared" si="36"/>
        <v>0.79249999999999998</v>
      </c>
      <c r="N119" s="3397"/>
    </row>
    <row r="120" spans="1:14">
      <c r="A120" s="3409" t="s">
        <v>3330</v>
      </c>
      <c r="B120" s="3387">
        <f>ROUND(0.9448-0.0115*B116,4)</f>
        <v>0.91610000000000003</v>
      </c>
      <c r="C120" s="3387">
        <f>B120</f>
        <v>0.91610000000000003</v>
      </c>
      <c r="D120" s="3387">
        <f>ROUND(0.937-0.0145*B116,4)</f>
        <v>0.90080000000000005</v>
      </c>
      <c r="E120" s="3387">
        <f t="shared" si="37"/>
        <v>0.90080000000000005</v>
      </c>
      <c r="F120" s="3387">
        <f t="shared" si="37"/>
        <v>0.90080000000000005</v>
      </c>
      <c r="G120" s="3387">
        <f t="shared" si="37"/>
        <v>0.90080000000000005</v>
      </c>
      <c r="H120" s="3387">
        <f t="shared" si="37"/>
        <v>0.90080000000000005</v>
      </c>
      <c r="I120" s="3387">
        <f>ROUND(0.7965-0.0185*B116,4)</f>
        <v>0.75029999999999997</v>
      </c>
      <c r="J120" s="3387">
        <f t="shared" si="36"/>
        <v>0.75029999999999997</v>
      </c>
      <c r="K120" s="3387">
        <f t="shared" si="36"/>
        <v>0.75029999999999997</v>
      </c>
      <c r="L120" s="3387">
        <f t="shared" si="36"/>
        <v>0.75029999999999997</v>
      </c>
      <c r="M120" s="3410">
        <f t="shared" si="36"/>
        <v>0.75029999999999997</v>
      </c>
      <c r="N120" s="3397"/>
    </row>
    <row r="121" spans="1:14" ht="13.5" thickBot="1">
      <c r="A121" s="3411" t="s">
        <v>3331</v>
      </c>
      <c r="B121" s="3412">
        <f>ROUND(0.7836-0.012*B116,4)</f>
        <v>0.75360000000000005</v>
      </c>
      <c r="C121" s="3412">
        <f>B121</f>
        <v>0.75360000000000005</v>
      </c>
      <c r="D121" s="3412">
        <f>ROUND(0.753-0.015*B116,4)</f>
        <v>0.71550000000000002</v>
      </c>
      <c r="E121" s="3412">
        <f>D121</f>
        <v>0.71550000000000002</v>
      </c>
      <c r="F121" s="3412">
        <f>E121</f>
        <v>0.71550000000000002</v>
      </c>
      <c r="G121" s="3412">
        <f>ROUND(0.6612-0.018*B116,4)</f>
        <v>0.61619999999999997</v>
      </c>
      <c r="H121" s="3412">
        <f>G121</f>
        <v>0.61619999999999997</v>
      </c>
      <c r="I121" s="3412">
        <f>ROUND(0.5905-0.019*B116,4)</f>
        <v>0.54300000000000004</v>
      </c>
      <c r="J121" s="3412">
        <f t="shared" si="36"/>
        <v>0.54300000000000004</v>
      </c>
      <c r="K121" s="3412">
        <f t="shared" si="36"/>
        <v>0.54300000000000004</v>
      </c>
      <c r="L121" s="3412">
        <f t="shared" si="36"/>
        <v>0.54300000000000004</v>
      </c>
      <c r="M121" s="3413">
        <f t="shared" si="36"/>
        <v>0.54300000000000004</v>
      </c>
      <c r="N121" s="3397"/>
    </row>
    <row r="122" spans="1:14">
      <c r="A122" s="3414" t="s">
        <v>2612</v>
      </c>
      <c r="B122" s="3387">
        <f>ROUND(0.9404-0.0106*B116,4)</f>
        <v>0.91390000000000005</v>
      </c>
      <c r="C122" s="3387">
        <f>B122</f>
        <v>0.91390000000000005</v>
      </c>
      <c r="D122" s="3387">
        <f>ROUND(0.8955-0.0135*B116,4)</f>
        <v>0.86180000000000001</v>
      </c>
      <c r="E122" s="3387">
        <f t="shared" ref="E122:H122" si="38">D122</f>
        <v>0.86180000000000001</v>
      </c>
      <c r="F122" s="3387">
        <f t="shared" si="38"/>
        <v>0.86180000000000001</v>
      </c>
      <c r="G122" s="3387">
        <f t="shared" si="38"/>
        <v>0.86180000000000001</v>
      </c>
      <c r="H122" s="3387">
        <f t="shared" si="38"/>
        <v>0.86180000000000001</v>
      </c>
      <c r="I122" s="3387">
        <f>ROUND(0.7632-0.0166*B116,4)</f>
        <v>0.72170000000000001</v>
      </c>
      <c r="J122" s="3387">
        <f t="shared" si="36"/>
        <v>0.72170000000000001</v>
      </c>
      <c r="K122" s="3387">
        <f t="shared" si="36"/>
        <v>0.72170000000000001</v>
      </c>
      <c r="L122" s="3387">
        <f t="shared" si="36"/>
        <v>0.72170000000000001</v>
      </c>
      <c r="M122" s="3410">
        <f t="shared" si="36"/>
        <v>0.72170000000000001</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40" priority="6" stopIfTrue="1" operator="notEqual">
      <formula>"——"</formula>
    </cfRule>
  </conditionalFormatting>
  <conditionalFormatting sqref="F61">
    <cfRule type="cellIs" dxfId="39" priority="5" stopIfTrue="1" operator="notEqual">
      <formula>"——"</formula>
    </cfRule>
  </conditionalFormatting>
  <conditionalFormatting sqref="F72">
    <cfRule type="cellIs" dxfId="38" priority="4" stopIfTrue="1" operator="notEqual">
      <formula>"——"</formula>
    </cfRule>
  </conditionalFormatting>
  <conditionalFormatting sqref="F83">
    <cfRule type="cellIs" dxfId="37" priority="3" stopIfTrue="1" operator="notEqual">
      <formula>"——"</formula>
    </cfRule>
  </conditionalFormatting>
  <conditionalFormatting sqref="H50:H58 H61:H69 H72:H80 H83:H91">
    <cfRule type="cellIs" dxfId="36" priority="2" operator="notEqual">
      <formula>"——"</formula>
    </cfRule>
  </conditionalFormatting>
  <conditionalFormatting sqref="H93:H101">
    <cfRule type="cellIs" dxfId="35"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2594</v>
      </c>
      <c r="B1" s="3071" t="s">
        <v>2595</v>
      </c>
      <c r="C1" s="3071" t="s">
        <v>2596</v>
      </c>
      <c r="D1" s="3071" t="s">
        <v>2597</v>
      </c>
      <c r="E1" s="3071" t="s">
        <v>2598</v>
      </c>
      <c r="F1" s="3071" t="s">
        <v>2599</v>
      </c>
      <c r="G1" s="3071" t="s">
        <v>2600</v>
      </c>
      <c r="H1" s="3071" t="s">
        <v>2601</v>
      </c>
      <c r="I1" s="3071" t="s">
        <v>2602</v>
      </c>
      <c r="J1" s="3071" t="s">
        <v>2603</v>
      </c>
      <c r="K1" s="3071" t="s">
        <v>2604</v>
      </c>
      <c r="L1" s="3071" t="s">
        <v>2605</v>
      </c>
      <c r="M1" s="3072" t="s">
        <v>2606</v>
      </c>
    </row>
    <row r="2" spans="1:13" ht="19.5" customHeight="1">
      <c r="A2" s="3074" t="s">
        <v>2607</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2608</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2609</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2610</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2611</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2612</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2613</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2614</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2615</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2616</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2617</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2618</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2619</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2620</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2621</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2622</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2623</v>
      </c>
      <c r="B18" s="3096"/>
      <c r="C18" s="3097"/>
      <c r="D18" s="3097"/>
      <c r="E18" s="3096"/>
      <c r="F18" s="3097"/>
      <c r="G18" s="3097"/>
    </row>
    <row r="19" spans="1:13" ht="19.5" customHeight="1" thickBot="1">
      <c r="A19" s="3094" t="s">
        <v>2624</v>
      </c>
      <c r="B19" s="3099" t="s">
        <v>2625</v>
      </c>
      <c r="C19" s="3099" t="s">
        <v>2626</v>
      </c>
      <c r="D19" s="3100"/>
      <c r="E19" s="3094" t="s">
        <v>2627</v>
      </c>
      <c r="F19" s="3101"/>
      <c r="G19" s="3101"/>
    </row>
    <row r="20" spans="1:13" ht="19.5" customHeight="1">
      <c r="A20" s="3812" t="s">
        <v>2607</v>
      </c>
      <c r="B20" s="3805" t="s">
        <v>2628</v>
      </c>
      <c r="C20" s="3102" t="s">
        <v>2439</v>
      </c>
      <c r="D20" s="3103"/>
      <c r="E20" s="3104">
        <v>1</v>
      </c>
      <c r="F20" s="3105" t="s">
        <v>2440</v>
      </c>
      <c r="G20" s="3105"/>
    </row>
    <row r="21" spans="1:13" ht="19.5" customHeight="1">
      <c r="A21" s="3813"/>
      <c r="B21" s="3806"/>
      <c r="C21" s="3106" t="s">
        <v>2441</v>
      </c>
      <c r="D21" s="3107"/>
      <c r="E21" s="3108">
        <v>1</v>
      </c>
      <c r="F21" s="3105" t="s">
        <v>2442</v>
      </c>
      <c r="G21" s="3105"/>
    </row>
    <row r="22" spans="1:13" ht="19.5" customHeight="1">
      <c r="A22" s="3813"/>
      <c r="B22" s="3806"/>
      <c r="C22" s="3106" t="s">
        <v>2443</v>
      </c>
      <c r="D22" s="3107"/>
      <c r="E22" s="3108">
        <v>0.9</v>
      </c>
      <c r="F22" s="3105" t="s">
        <v>2444</v>
      </c>
      <c r="G22" s="3105"/>
    </row>
    <row r="23" spans="1:13" ht="19.5" customHeight="1">
      <c r="A23" s="3813"/>
      <c r="B23" s="3806"/>
      <c r="C23" s="3106" t="s">
        <v>2445</v>
      </c>
      <c r="D23" s="3107"/>
      <c r="E23" s="3108">
        <v>0.9</v>
      </c>
      <c r="F23" s="3105" t="s">
        <v>2446</v>
      </c>
      <c r="G23" s="3105"/>
    </row>
    <row r="24" spans="1:13" ht="19.5" customHeight="1">
      <c r="A24" s="3813"/>
      <c r="B24" s="3806"/>
      <c r="C24" s="3106" t="s">
        <v>2447</v>
      </c>
      <c r="D24" s="3107"/>
      <c r="E24" s="3108">
        <v>0.8</v>
      </c>
      <c r="F24" s="3105" t="s">
        <v>2448</v>
      </c>
      <c r="G24" s="3105"/>
    </row>
    <row r="25" spans="1:13" ht="19.5" customHeight="1" thickBot="1">
      <c r="A25" s="3814"/>
      <c r="B25" s="3807"/>
      <c r="C25" s="3109" t="s">
        <v>2449</v>
      </c>
      <c r="D25" s="3110"/>
      <c r="E25" s="3111">
        <v>0.8</v>
      </c>
      <c r="F25" s="3105" t="s">
        <v>2450</v>
      </c>
      <c r="G25" s="3105"/>
    </row>
    <row r="26" spans="1:13" ht="19.5" customHeight="1" thickBot="1">
      <c r="A26" s="3112" t="s">
        <v>2629</v>
      </c>
      <c r="B26" s="3113" t="s">
        <v>2628</v>
      </c>
      <c r="C26" s="3114" t="s">
        <v>2630</v>
      </c>
      <c r="D26" s="3115"/>
      <c r="E26" s="3116">
        <v>1</v>
      </c>
      <c r="F26" s="3105" t="s">
        <v>2451</v>
      </c>
      <c r="G26" s="3105"/>
    </row>
    <row r="27" spans="1:13" ht="19.5" customHeight="1">
      <c r="A27" s="3808" t="s">
        <v>2631</v>
      </c>
      <c r="B27" s="3805" t="s">
        <v>2612</v>
      </c>
      <c r="C27" s="3102" t="s">
        <v>2452</v>
      </c>
      <c r="D27" s="3103"/>
      <c r="E27" s="3104">
        <v>1</v>
      </c>
      <c r="F27" s="3105" t="s">
        <v>2453</v>
      </c>
      <c r="G27" s="3105"/>
    </row>
    <row r="28" spans="1:13" ht="19.5" customHeight="1">
      <c r="A28" s="3809"/>
      <c r="B28" s="3806"/>
      <c r="C28" s="3106" t="s">
        <v>2454</v>
      </c>
      <c r="D28" s="3107"/>
      <c r="E28" s="3108">
        <v>1</v>
      </c>
      <c r="F28" s="3105" t="s">
        <v>2455</v>
      </c>
      <c r="G28" s="3105"/>
    </row>
    <row r="29" spans="1:13" ht="19.5" customHeight="1">
      <c r="A29" s="3809"/>
      <c r="B29" s="3806"/>
      <c r="C29" s="3106" t="s">
        <v>2456</v>
      </c>
      <c r="D29" s="3107"/>
      <c r="E29" s="3108">
        <v>0.8</v>
      </c>
      <c r="F29" s="3105" t="s">
        <v>2457</v>
      </c>
      <c r="G29" s="3105"/>
    </row>
    <row r="30" spans="1:13" ht="19.5" customHeight="1">
      <c r="A30" s="3809"/>
      <c r="B30" s="3806"/>
      <c r="C30" s="3106" t="s">
        <v>2458</v>
      </c>
      <c r="D30" s="3107"/>
      <c r="E30" s="3108">
        <v>0.8</v>
      </c>
      <c r="F30" s="3105" t="s">
        <v>2459</v>
      </c>
      <c r="G30" s="3105"/>
    </row>
    <row r="31" spans="1:13" ht="19.5" customHeight="1">
      <c r="A31" s="3809"/>
      <c r="B31" s="3806"/>
      <c r="C31" s="3106" t="s">
        <v>2460</v>
      </c>
      <c r="D31" s="3107"/>
      <c r="E31" s="3108">
        <v>0.8</v>
      </c>
      <c r="F31" s="3105" t="s">
        <v>2461</v>
      </c>
      <c r="G31" s="3105"/>
    </row>
    <row r="32" spans="1:13" ht="19.5" customHeight="1">
      <c r="A32" s="3809"/>
      <c r="B32" s="3806"/>
      <c r="C32" s="3106" t="s">
        <v>2462</v>
      </c>
      <c r="D32" s="3107"/>
      <c r="E32" s="3108">
        <v>0.7</v>
      </c>
      <c r="F32" s="3105" t="s">
        <v>2463</v>
      </c>
      <c r="G32" s="3105"/>
    </row>
    <row r="33" spans="1:7" ht="19.5" customHeight="1">
      <c r="A33" s="3809"/>
      <c r="B33" s="3806"/>
      <c r="C33" s="3106" t="s">
        <v>2464</v>
      </c>
      <c r="D33" s="3107"/>
      <c r="E33" s="3108">
        <v>0.8</v>
      </c>
      <c r="F33" s="3105" t="s">
        <v>2465</v>
      </c>
      <c r="G33" s="3105"/>
    </row>
    <row r="34" spans="1:7" ht="19.5" customHeight="1">
      <c r="A34" s="3809"/>
      <c r="B34" s="3806"/>
      <c r="C34" s="3106" t="s">
        <v>2466</v>
      </c>
      <c r="D34" s="3107"/>
      <c r="E34" s="3108">
        <v>0.6</v>
      </c>
      <c r="F34" s="3105" t="s">
        <v>2467</v>
      </c>
      <c r="G34" s="3105"/>
    </row>
    <row r="35" spans="1:7" ht="19.5" customHeight="1">
      <c r="A35" s="3809"/>
      <c r="B35" s="3806"/>
      <c r="C35" s="3106" t="s">
        <v>2468</v>
      </c>
      <c r="D35" s="3107"/>
      <c r="E35" s="3108">
        <v>0.2</v>
      </c>
      <c r="F35" s="3105" t="s">
        <v>2469</v>
      </c>
      <c r="G35" s="3105"/>
    </row>
    <row r="36" spans="1:7" ht="19.5" customHeight="1">
      <c r="A36" s="3809"/>
      <c r="B36" s="3806"/>
      <c r="C36" s="3106" t="s">
        <v>2470</v>
      </c>
      <c r="D36" s="3107"/>
      <c r="E36" s="3108">
        <v>0.2</v>
      </c>
      <c r="F36" s="3105" t="s">
        <v>2471</v>
      </c>
      <c r="G36" s="3105"/>
    </row>
    <row r="37" spans="1:7" ht="19.5" customHeight="1">
      <c r="A37" s="3809"/>
      <c r="B37" s="3811" t="s">
        <v>2632</v>
      </c>
      <c r="C37" s="3106" t="s">
        <v>2472</v>
      </c>
      <c r="D37" s="3107"/>
      <c r="E37" s="3108">
        <v>0.6</v>
      </c>
      <c r="F37" s="3105" t="s">
        <v>2473</v>
      </c>
      <c r="G37" s="3105"/>
    </row>
    <row r="38" spans="1:7" ht="19.5" customHeight="1">
      <c r="A38" s="3809"/>
      <c r="B38" s="3806"/>
      <c r="C38" s="3106" t="s">
        <v>2474</v>
      </c>
      <c r="D38" s="3107"/>
      <c r="E38" s="3108">
        <v>0.6</v>
      </c>
      <c r="F38" s="3105" t="s">
        <v>2475</v>
      </c>
      <c r="G38" s="3105"/>
    </row>
    <row r="39" spans="1:7" ht="19.5" customHeight="1" thickBot="1">
      <c r="A39" s="3810"/>
      <c r="B39" s="3807"/>
      <c r="C39" s="3109" t="s">
        <v>2476</v>
      </c>
      <c r="D39" s="3110"/>
      <c r="E39" s="3111">
        <v>0.6</v>
      </c>
      <c r="F39" s="3105" t="s">
        <v>2477</v>
      </c>
      <c r="G39" s="3105"/>
    </row>
    <row r="40" spans="1:7" ht="19.5" customHeight="1" thickBot="1">
      <c r="A40" s="3112" t="s">
        <v>2609</v>
      </c>
      <c r="B40" s="3113" t="s">
        <v>2609</v>
      </c>
      <c r="C40" s="3114" t="s">
        <v>2633</v>
      </c>
      <c r="D40" s="3115"/>
      <c r="E40" s="3116">
        <v>1</v>
      </c>
      <c r="F40" s="3105" t="s">
        <v>2478</v>
      </c>
      <c r="G40" s="3105"/>
    </row>
    <row r="41" spans="1:7" ht="19.5" customHeight="1">
      <c r="A41" s="3812" t="s">
        <v>2610</v>
      </c>
      <c r="B41" s="3805" t="s">
        <v>2634</v>
      </c>
      <c r="C41" s="3102" t="s">
        <v>2479</v>
      </c>
      <c r="D41" s="3103"/>
      <c r="E41" s="3104">
        <v>1</v>
      </c>
      <c r="F41" s="3105" t="s">
        <v>2480</v>
      </c>
      <c r="G41" s="3105"/>
    </row>
    <row r="42" spans="1:7" ht="19.5" customHeight="1">
      <c r="A42" s="3813"/>
      <c r="B42" s="3806"/>
      <c r="C42" s="3106" t="s">
        <v>2481</v>
      </c>
      <c r="D42" s="3107"/>
      <c r="E42" s="3108">
        <v>1</v>
      </c>
      <c r="F42" s="3105" t="s">
        <v>2482</v>
      </c>
      <c r="G42" s="3105"/>
    </row>
    <row r="43" spans="1:7" ht="19.5" customHeight="1">
      <c r="A43" s="3813"/>
      <c r="B43" s="3815"/>
      <c r="C43" s="3106" t="s">
        <v>2483</v>
      </c>
      <c r="D43" s="3107"/>
      <c r="E43" s="3108">
        <v>1.5</v>
      </c>
      <c r="F43" s="3105" t="s">
        <v>2484</v>
      </c>
      <c r="G43" s="3105"/>
    </row>
    <row r="44" spans="1:7" ht="19.5" customHeight="1">
      <c r="A44" s="3813"/>
      <c r="B44" s="3117" t="s">
        <v>2635</v>
      </c>
      <c r="C44" s="3106" t="s">
        <v>2636</v>
      </c>
      <c r="D44" s="3107"/>
      <c r="E44" s="3108">
        <v>2</v>
      </c>
      <c r="F44" s="3105" t="s">
        <v>2485</v>
      </c>
      <c r="G44" s="3105"/>
    </row>
    <row r="45" spans="1:7" ht="19.5" customHeight="1">
      <c r="A45" s="3813"/>
      <c r="B45" s="3811" t="s">
        <v>2637</v>
      </c>
      <c r="C45" s="3106" t="s">
        <v>2486</v>
      </c>
      <c r="D45" s="3107"/>
      <c r="E45" s="3108">
        <v>1</v>
      </c>
      <c r="F45" s="3105" t="s">
        <v>2487</v>
      </c>
      <c r="G45" s="3105"/>
    </row>
    <row r="46" spans="1:7" ht="19.5" customHeight="1">
      <c r="A46" s="3813"/>
      <c r="B46" s="3806"/>
      <c r="C46" s="3106" t="s">
        <v>2488</v>
      </c>
      <c r="D46" s="3107"/>
      <c r="E46" s="3108">
        <v>1</v>
      </c>
      <c r="F46" s="3105" t="s">
        <v>2489</v>
      </c>
      <c r="G46" s="3105"/>
    </row>
    <row r="47" spans="1:7" ht="19.5" customHeight="1">
      <c r="A47" s="3813"/>
      <c r="B47" s="3806"/>
      <c r="C47" s="3106" t="s">
        <v>2490</v>
      </c>
      <c r="D47" s="3107"/>
      <c r="E47" s="3108">
        <v>1</v>
      </c>
      <c r="F47" s="3105" t="s">
        <v>2491</v>
      </c>
      <c r="G47" s="3105"/>
    </row>
    <row r="48" spans="1:7" ht="19.5" customHeight="1">
      <c r="A48" s="3813"/>
      <c r="B48" s="3806"/>
      <c r="C48" s="3106" t="s">
        <v>2492</v>
      </c>
      <c r="D48" s="3107"/>
      <c r="E48" s="3108">
        <v>1</v>
      </c>
      <c r="F48" s="3105" t="s">
        <v>2493</v>
      </c>
      <c r="G48" s="3105"/>
    </row>
    <row r="49" spans="1:7" ht="19.5" customHeight="1">
      <c r="A49" s="3813"/>
      <c r="B49" s="3806"/>
      <c r="C49" s="3106" t="s">
        <v>2494</v>
      </c>
      <c r="D49" s="3107"/>
      <c r="E49" s="3108">
        <v>1</v>
      </c>
      <c r="F49" s="3105" t="s">
        <v>2495</v>
      </c>
      <c r="G49" s="3105"/>
    </row>
    <row r="50" spans="1:7" ht="19.5" customHeight="1">
      <c r="A50" s="3813"/>
      <c r="B50" s="3806"/>
      <c r="C50" s="3106" t="s">
        <v>2496</v>
      </c>
      <c r="D50" s="3107"/>
      <c r="E50" s="3108">
        <v>1</v>
      </c>
      <c r="F50" s="3105" t="s">
        <v>2497</v>
      </c>
      <c r="G50" s="3105"/>
    </row>
    <row r="51" spans="1:7" ht="19.5" customHeight="1" thickBot="1">
      <c r="A51" s="3814"/>
      <c r="B51" s="3807"/>
      <c r="C51" s="3109" t="s">
        <v>2498</v>
      </c>
      <c r="D51" s="3110"/>
      <c r="E51" s="3111">
        <v>1</v>
      </c>
      <c r="F51" s="3105" t="s">
        <v>2499</v>
      </c>
      <c r="G51" s="3105"/>
    </row>
    <row r="52" spans="1:7" ht="19.5" customHeight="1">
      <c r="A52" s="3118"/>
      <c r="B52" s="3118"/>
      <c r="C52" s="3118"/>
      <c r="D52" s="3118"/>
      <c r="E52" s="3118"/>
      <c r="F52" s="3118"/>
      <c r="G52" s="3118"/>
    </row>
    <row r="54" spans="1:7" ht="19.5" customHeight="1">
      <c r="A54" s="3119"/>
      <c r="B54" s="3091" t="s">
        <v>2638</v>
      </c>
      <c r="C54" s="3091" t="s">
        <v>2638</v>
      </c>
      <c r="D54" s="3091" t="s">
        <v>2638</v>
      </c>
      <c r="E54" s="3094" t="s">
        <v>2638</v>
      </c>
      <c r="F54" s="3094" t="s">
        <v>2639</v>
      </c>
      <c r="G54" s="3094" t="s">
        <v>2640</v>
      </c>
    </row>
    <row r="55" spans="1:7" ht="19.5" customHeight="1">
      <c r="A55" s="3120"/>
      <c r="B55" s="3094" t="s">
        <v>2607</v>
      </c>
      <c r="C55" s="3094" t="s">
        <v>2607</v>
      </c>
      <c r="D55" s="3094" t="s">
        <v>2607</v>
      </c>
      <c r="E55" s="3091" t="s">
        <v>2608</v>
      </c>
      <c r="F55" s="3091" t="s">
        <v>2610</v>
      </c>
      <c r="G55" s="3091" t="s">
        <v>2641</v>
      </c>
    </row>
    <row r="56" spans="1:7" ht="19.5" customHeight="1">
      <c r="A56" s="3121"/>
      <c r="B56" s="3091">
        <v>1</v>
      </c>
      <c r="C56" s="3091">
        <v>2</v>
      </c>
      <c r="D56" s="3091">
        <v>3</v>
      </c>
      <c r="E56" s="3122" t="s">
        <v>2642</v>
      </c>
      <c r="F56" s="3122" t="s">
        <v>2642</v>
      </c>
      <c r="G56" s="3122" t="s">
        <v>2642</v>
      </c>
    </row>
    <row r="57" spans="1:7" ht="19.5" customHeight="1">
      <c r="A57" s="3123" t="s">
        <v>2595</v>
      </c>
      <c r="B57" s="3091">
        <v>0.7</v>
      </c>
      <c r="C57" s="3091">
        <v>0.4</v>
      </c>
      <c r="D57" s="3091">
        <v>0.3</v>
      </c>
      <c r="E57" s="3122">
        <v>0.3</v>
      </c>
      <c r="F57" s="3091">
        <v>0.3</v>
      </c>
      <c r="G57" s="3091">
        <v>0.2</v>
      </c>
    </row>
    <row r="58" spans="1:7" ht="19.5" customHeight="1">
      <c r="A58" s="3123" t="s">
        <v>2596</v>
      </c>
      <c r="B58" s="3091">
        <v>0.7</v>
      </c>
      <c r="C58" s="3091">
        <v>0.4</v>
      </c>
      <c r="D58" s="3091">
        <v>0.3</v>
      </c>
      <c r="E58" s="3091">
        <v>0.3</v>
      </c>
      <c r="F58" s="3091">
        <v>0.3</v>
      </c>
      <c r="G58" s="3091">
        <v>0.2</v>
      </c>
    </row>
    <row r="59" spans="1:7" ht="19.5" customHeight="1">
      <c r="A59" s="3123" t="s">
        <v>2597</v>
      </c>
      <c r="B59" s="3091">
        <v>0.6</v>
      </c>
      <c r="C59" s="3091">
        <v>0.3</v>
      </c>
      <c r="D59" s="3091">
        <v>0.25</v>
      </c>
      <c r="E59" s="3091">
        <v>0.25</v>
      </c>
      <c r="F59" s="3091">
        <v>0.25</v>
      </c>
      <c r="G59" s="3091">
        <v>0.15</v>
      </c>
    </row>
    <row r="60" spans="1:7" ht="19.5" customHeight="1">
      <c r="A60" s="3123" t="s">
        <v>2598</v>
      </c>
      <c r="B60" s="3091">
        <v>0.6</v>
      </c>
      <c r="C60" s="3091">
        <v>0.3</v>
      </c>
      <c r="D60" s="3091">
        <v>0.25</v>
      </c>
      <c r="E60" s="3091">
        <v>0.25</v>
      </c>
      <c r="F60" s="3091">
        <v>0.25</v>
      </c>
      <c r="G60" s="3091">
        <v>0.15</v>
      </c>
    </row>
    <row r="61" spans="1:7" ht="19.5" customHeight="1">
      <c r="A61" s="3123" t="s">
        <v>2599</v>
      </c>
      <c r="B61" s="3091">
        <v>0.6</v>
      </c>
      <c r="C61" s="3091">
        <v>0.3</v>
      </c>
      <c r="D61" s="3091">
        <v>0.25</v>
      </c>
      <c r="E61" s="3091">
        <v>0.25</v>
      </c>
      <c r="F61" s="3091">
        <v>0.25</v>
      </c>
      <c r="G61" s="3091">
        <v>0.15</v>
      </c>
    </row>
    <row r="62" spans="1:7" ht="19.5" customHeight="1">
      <c r="A62" s="3123" t="s">
        <v>2600</v>
      </c>
      <c r="B62" s="3091">
        <v>0.6</v>
      </c>
      <c r="C62" s="3091">
        <v>0.3</v>
      </c>
      <c r="D62" s="3091">
        <v>0.25</v>
      </c>
      <c r="E62" s="3091">
        <v>0.25</v>
      </c>
      <c r="F62" s="3091">
        <v>0.25</v>
      </c>
      <c r="G62" s="3091">
        <v>0.15</v>
      </c>
    </row>
    <row r="63" spans="1:7" ht="19.5" customHeight="1">
      <c r="A63" s="3123" t="s">
        <v>2601</v>
      </c>
      <c r="B63" s="3091">
        <v>0.6</v>
      </c>
      <c r="C63" s="3091">
        <v>0.3</v>
      </c>
      <c r="D63" s="3091">
        <v>0.25</v>
      </c>
      <c r="E63" s="3091">
        <v>0.25</v>
      </c>
      <c r="F63" s="3091">
        <v>0.25</v>
      </c>
      <c r="G63" s="3091">
        <v>0.15</v>
      </c>
    </row>
    <row r="64" spans="1:7" ht="19.5" customHeight="1">
      <c r="A64" s="3123" t="s">
        <v>2602</v>
      </c>
      <c r="B64" s="3091">
        <v>0.5</v>
      </c>
      <c r="C64" s="3091">
        <v>0.2</v>
      </c>
      <c r="D64" s="3091">
        <v>0.2</v>
      </c>
      <c r="E64" s="3091">
        <v>0.2</v>
      </c>
      <c r="F64" s="3091">
        <v>0.2</v>
      </c>
      <c r="G64" s="3091">
        <v>0.1</v>
      </c>
    </row>
    <row r="65" spans="1:7" ht="19.5" customHeight="1">
      <c r="A65" s="3123" t="s">
        <v>2603</v>
      </c>
      <c r="B65" s="3091">
        <v>0.5</v>
      </c>
      <c r="C65" s="3091">
        <v>0.2</v>
      </c>
      <c r="D65" s="3091">
        <v>0.2</v>
      </c>
      <c r="E65" s="3091">
        <v>0.2</v>
      </c>
      <c r="F65" s="3091">
        <v>0.2</v>
      </c>
      <c r="G65" s="3091">
        <v>0.1</v>
      </c>
    </row>
    <row r="66" spans="1:7" ht="19.5" customHeight="1">
      <c r="A66" s="3123" t="s">
        <v>2604</v>
      </c>
      <c r="B66" s="3091">
        <v>0.5</v>
      </c>
      <c r="C66" s="3091">
        <v>0.2</v>
      </c>
      <c r="D66" s="3091">
        <v>0.2</v>
      </c>
      <c r="E66" s="3091">
        <v>0.2</v>
      </c>
      <c r="F66" s="3091">
        <v>0.2</v>
      </c>
      <c r="G66" s="3091">
        <v>0.1</v>
      </c>
    </row>
    <row r="67" spans="1:7" ht="19.5" customHeight="1">
      <c r="A67" s="3123" t="s">
        <v>2605</v>
      </c>
      <c r="B67" s="3091">
        <v>0.5</v>
      </c>
      <c r="C67" s="3091">
        <v>0.2</v>
      </c>
      <c r="D67" s="3091">
        <v>0.2</v>
      </c>
      <c r="E67" s="3091">
        <v>0.2</v>
      </c>
      <c r="F67" s="3091">
        <v>0.2</v>
      </c>
      <c r="G67" s="3091">
        <v>0.1</v>
      </c>
    </row>
    <row r="68" spans="1:7" ht="19.5" customHeight="1">
      <c r="A68" s="3123" t="s">
        <v>2606</v>
      </c>
      <c r="B68" s="3091">
        <v>0.5</v>
      </c>
      <c r="C68" s="3091">
        <v>0.2</v>
      </c>
      <c r="D68" s="3091">
        <v>0.2</v>
      </c>
      <c r="E68" s="3091">
        <v>0.2</v>
      </c>
      <c r="F68" s="3091">
        <v>0.2</v>
      </c>
      <c r="G68" s="3091">
        <v>0.1</v>
      </c>
    </row>
    <row r="70" spans="1:7" ht="19.5" customHeight="1">
      <c r="A70" s="3124"/>
      <c r="B70" s="3125"/>
      <c r="C70" s="3125"/>
      <c r="D70" s="3125" t="s">
        <v>2643</v>
      </c>
      <c r="E70" s="3125"/>
      <c r="F70" s="3125"/>
    </row>
    <row r="71" spans="1:7" ht="19.5" customHeight="1">
      <c r="A71" s="3117" t="s">
        <v>2644</v>
      </c>
      <c r="B71" s="3117" t="s">
        <v>2645</v>
      </c>
      <c r="C71" s="3117" t="s">
        <v>2646</v>
      </c>
      <c r="D71" s="3117" t="s">
        <v>2647</v>
      </c>
      <c r="E71" s="3117" t="s">
        <v>2648</v>
      </c>
      <c r="F71" s="3117" t="s">
        <v>2649</v>
      </c>
    </row>
    <row r="72" spans="1:7" ht="13.5">
      <c r="A72" s="3117"/>
      <c r="B72" s="3117"/>
      <c r="C72" s="3117" t="s">
        <v>2650</v>
      </c>
      <c r="D72" s="3117"/>
      <c r="E72" s="3117" t="s">
        <v>2621</v>
      </c>
      <c r="F72" s="3117" t="s">
        <v>2621</v>
      </c>
    </row>
    <row r="73" spans="1:7" ht="13.5">
      <c r="A73" s="3117">
        <v>1</v>
      </c>
      <c r="B73" s="3811" t="s">
        <v>2651</v>
      </c>
      <c r="C73" s="3091" t="s">
        <v>2652</v>
      </c>
      <c r="D73" s="3091" t="s">
        <v>2653</v>
      </c>
      <c r="E73" s="3117">
        <v>0.2</v>
      </c>
      <c r="F73" s="3117">
        <v>25</v>
      </c>
    </row>
    <row r="74" spans="1:7" ht="24">
      <c r="A74" s="3117">
        <v>2</v>
      </c>
      <c r="B74" s="3806"/>
      <c r="C74" s="3091" t="s">
        <v>2654</v>
      </c>
      <c r="D74" s="3091" t="s">
        <v>2655</v>
      </c>
      <c r="E74" s="3117">
        <v>0.2</v>
      </c>
      <c r="F74" s="3117">
        <v>25</v>
      </c>
    </row>
    <row r="75" spans="1:7" ht="24">
      <c r="A75" s="3117">
        <v>3</v>
      </c>
      <c r="B75" s="3806"/>
      <c r="C75" s="3091" t="s">
        <v>2656</v>
      </c>
      <c r="D75" s="3091" t="s">
        <v>2657</v>
      </c>
      <c r="E75" s="3117">
        <v>0.2</v>
      </c>
      <c r="F75" s="3117">
        <v>25</v>
      </c>
    </row>
    <row r="76" spans="1:7" ht="13.5">
      <c r="A76" s="3117">
        <v>4</v>
      </c>
      <c r="B76" s="3806"/>
      <c r="C76" s="3091" t="s">
        <v>2658</v>
      </c>
      <c r="D76" s="3091" t="s">
        <v>2659</v>
      </c>
      <c r="E76" s="3117">
        <v>0.15</v>
      </c>
      <c r="F76" s="3117">
        <v>20</v>
      </c>
    </row>
    <row r="77" spans="1:7" ht="24">
      <c r="A77" s="3117">
        <v>5</v>
      </c>
      <c r="B77" s="3806"/>
      <c r="C77" s="3091" t="s">
        <v>2660</v>
      </c>
      <c r="D77" s="3091" t="s">
        <v>2661</v>
      </c>
      <c r="E77" s="3117">
        <v>0.15</v>
      </c>
      <c r="F77" s="3117">
        <v>20</v>
      </c>
    </row>
    <row r="78" spans="1:7" ht="24">
      <c r="A78" s="3117">
        <v>6</v>
      </c>
      <c r="B78" s="3806"/>
      <c r="C78" s="3091" t="s">
        <v>2662</v>
      </c>
      <c r="D78" s="3091" t="s">
        <v>2663</v>
      </c>
      <c r="E78" s="3117">
        <v>0.15</v>
      </c>
      <c r="F78" s="3117">
        <v>20</v>
      </c>
    </row>
    <row r="79" spans="1:7" ht="24">
      <c r="A79" s="3117">
        <v>7</v>
      </c>
      <c r="B79" s="3806"/>
      <c r="C79" s="3091" t="s">
        <v>2664</v>
      </c>
      <c r="D79" s="3091" t="s">
        <v>2665</v>
      </c>
      <c r="E79" s="3117">
        <v>0.15</v>
      </c>
      <c r="F79" s="3117">
        <v>20</v>
      </c>
    </row>
    <row r="80" spans="1:7" ht="24">
      <c r="A80" s="3117">
        <v>8</v>
      </c>
      <c r="B80" s="3806"/>
      <c r="C80" s="3091" t="s">
        <v>2666</v>
      </c>
      <c r="D80" s="3091" t="s">
        <v>2667</v>
      </c>
      <c r="E80" s="3117">
        <v>0.1</v>
      </c>
      <c r="F80" s="3117">
        <v>15</v>
      </c>
    </row>
    <row r="81" spans="1:6" ht="24">
      <c r="A81" s="3117">
        <v>9</v>
      </c>
      <c r="B81" s="3806"/>
      <c r="C81" s="3091" t="s">
        <v>2668</v>
      </c>
      <c r="D81" s="3091" t="s">
        <v>2669</v>
      </c>
      <c r="E81" s="3117">
        <v>0.1</v>
      </c>
      <c r="F81" s="3117">
        <v>15</v>
      </c>
    </row>
    <row r="82" spans="1:6" ht="24">
      <c r="A82" s="3117">
        <v>10</v>
      </c>
      <c r="B82" s="3806"/>
      <c r="C82" s="3091" t="s">
        <v>2670</v>
      </c>
      <c r="D82" s="3091" t="s">
        <v>2671</v>
      </c>
      <c r="E82" s="3117">
        <v>0.1</v>
      </c>
      <c r="F82" s="3117">
        <v>15</v>
      </c>
    </row>
    <row r="83" spans="1:6" ht="24">
      <c r="A83" s="3117">
        <v>11</v>
      </c>
      <c r="B83" s="3806"/>
      <c r="C83" s="3091" t="s">
        <v>2672</v>
      </c>
      <c r="D83" s="3091" t="s">
        <v>2673</v>
      </c>
      <c r="E83" s="3117">
        <v>0.1</v>
      </c>
      <c r="F83" s="3117">
        <v>15</v>
      </c>
    </row>
    <row r="84" spans="1:6" ht="24">
      <c r="A84" s="3117">
        <v>12</v>
      </c>
      <c r="B84" s="3806"/>
      <c r="C84" s="3091" t="s">
        <v>2674</v>
      </c>
      <c r="D84" s="3091" t="s">
        <v>2675</v>
      </c>
      <c r="E84" s="3117">
        <v>0.1</v>
      </c>
      <c r="F84" s="3117">
        <v>15</v>
      </c>
    </row>
    <row r="85" spans="1:6" ht="13.5">
      <c r="A85" s="3117">
        <v>13</v>
      </c>
      <c r="B85" s="3806"/>
      <c r="C85" s="3091" t="s">
        <v>2676</v>
      </c>
      <c r="D85" s="3091" t="s">
        <v>2677</v>
      </c>
      <c r="E85" s="3117">
        <v>0.1</v>
      </c>
      <c r="F85" s="3117">
        <v>15</v>
      </c>
    </row>
    <row r="86" spans="1:6" ht="13.5">
      <c r="A86" s="3117">
        <v>14</v>
      </c>
      <c r="B86" s="3806"/>
      <c r="C86" s="3091" t="s">
        <v>2678</v>
      </c>
      <c r="D86" s="3091" t="s">
        <v>2679</v>
      </c>
      <c r="E86" s="3117">
        <v>0.1</v>
      </c>
      <c r="F86" s="3117">
        <v>15</v>
      </c>
    </row>
    <row r="87" spans="1:6" ht="13.5">
      <c r="A87" s="3117">
        <v>15</v>
      </c>
      <c r="B87" s="3806"/>
      <c r="C87" s="3091" t="s">
        <v>2680</v>
      </c>
      <c r="D87" s="3091" t="s">
        <v>2681</v>
      </c>
      <c r="E87" s="3117">
        <v>0.1</v>
      </c>
      <c r="F87" s="3117">
        <v>15</v>
      </c>
    </row>
    <row r="88" spans="1:6" ht="24">
      <c r="A88" s="3117">
        <v>16</v>
      </c>
      <c r="B88" s="3806"/>
      <c r="C88" s="3091" t="s">
        <v>2682</v>
      </c>
      <c r="D88" s="3091" t="s">
        <v>2683</v>
      </c>
      <c r="E88" s="3117">
        <v>0.1</v>
      </c>
      <c r="F88" s="3117">
        <v>15</v>
      </c>
    </row>
    <row r="89" spans="1:6" ht="24">
      <c r="A89" s="3117">
        <v>17</v>
      </c>
      <c r="B89" s="3815"/>
      <c r="C89" s="3091" t="s">
        <v>2684</v>
      </c>
      <c r="D89" s="3091" t="s">
        <v>2685</v>
      </c>
      <c r="E89" s="3117">
        <v>0.1</v>
      </c>
      <c r="F89" s="3117">
        <v>15</v>
      </c>
    </row>
    <row r="90" spans="1:6" ht="13.5">
      <c r="A90" s="3117">
        <v>18</v>
      </c>
      <c r="B90" s="3811" t="s">
        <v>2686</v>
      </c>
      <c r="C90" s="3091" t="s">
        <v>2687</v>
      </c>
      <c r="D90" s="3091" t="s">
        <v>2688</v>
      </c>
      <c r="E90" s="3117">
        <v>0.2</v>
      </c>
      <c r="F90" s="3117">
        <v>25</v>
      </c>
    </row>
    <row r="91" spans="1:6" ht="24">
      <c r="A91" s="3117">
        <v>19</v>
      </c>
      <c r="B91" s="3806"/>
      <c r="C91" s="3091" t="s">
        <v>2689</v>
      </c>
      <c r="D91" s="3091" t="s">
        <v>2690</v>
      </c>
      <c r="E91" s="3117">
        <v>0.2</v>
      </c>
      <c r="F91" s="3117">
        <v>25</v>
      </c>
    </row>
    <row r="92" spans="1:6" ht="13.5">
      <c r="A92" s="3117">
        <v>20</v>
      </c>
      <c r="B92" s="3806"/>
      <c r="C92" s="3091" t="s">
        <v>2691</v>
      </c>
      <c r="D92" s="3091" t="s">
        <v>2692</v>
      </c>
      <c r="E92" s="3117">
        <v>0.15</v>
      </c>
      <c r="F92" s="3117">
        <v>20</v>
      </c>
    </row>
    <row r="93" spans="1:6" ht="13.5">
      <c r="A93" s="3117">
        <v>21</v>
      </c>
      <c r="B93" s="3806"/>
      <c r="C93" s="3091" t="s">
        <v>2693</v>
      </c>
      <c r="D93" s="3091" t="s">
        <v>2694</v>
      </c>
      <c r="E93" s="3117">
        <v>0.15</v>
      </c>
      <c r="F93" s="3117">
        <v>20</v>
      </c>
    </row>
    <row r="94" spans="1:6" ht="13.5">
      <c r="A94" s="3117">
        <v>22</v>
      </c>
      <c r="B94" s="3806"/>
      <c r="C94" s="3091" t="s">
        <v>2695</v>
      </c>
      <c r="D94" s="3091" t="s">
        <v>2696</v>
      </c>
      <c r="E94" s="3117">
        <v>0.15</v>
      </c>
      <c r="F94" s="3117">
        <v>20</v>
      </c>
    </row>
    <row r="95" spans="1:6" ht="36">
      <c r="A95" s="3117">
        <v>23</v>
      </c>
      <c r="B95" s="3806"/>
      <c r="C95" s="3091" t="s">
        <v>2697</v>
      </c>
      <c r="D95" s="3091" t="s">
        <v>2698</v>
      </c>
      <c r="E95" s="3117">
        <v>0.15</v>
      </c>
      <c r="F95" s="3117">
        <v>20</v>
      </c>
    </row>
    <row r="96" spans="1:6" ht="13.5">
      <c r="A96" s="3117">
        <v>24</v>
      </c>
      <c r="B96" s="3806"/>
      <c r="C96" s="3091" t="s">
        <v>2699</v>
      </c>
      <c r="D96" s="3091" t="s">
        <v>2700</v>
      </c>
      <c r="E96" s="3117">
        <v>0.1</v>
      </c>
      <c r="F96" s="3117">
        <v>15</v>
      </c>
    </row>
    <row r="97" spans="1:6" ht="13.5">
      <c r="A97" s="3117">
        <v>25</v>
      </c>
      <c r="B97" s="3806"/>
      <c r="C97" s="3091" t="s">
        <v>2701</v>
      </c>
      <c r="D97" s="3091" t="s">
        <v>2702</v>
      </c>
      <c r="E97" s="3117">
        <v>0.1</v>
      </c>
      <c r="F97" s="3117">
        <v>15</v>
      </c>
    </row>
    <row r="98" spans="1:6" ht="24">
      <c r="A98" s="3117">
        <v>26</v>
      </c>
      <c r="B98" s="3806"/>
      <c r="C98" s="3091" t="s">
        <v>2703</v>
      </c>
      <c r="D98" s="3091" t="s">
        <v>2704</v>
      </c>
      <c r="E98" s="3117">
        <v>0.1</v>
      </c>
      <c r="F98" s="3117">
        <v>15</v>
      </c>
    </row>
    <row r="99" spans="1:6" ht="24">
      <c r="A99" s="3117">
        <v>27</v>
      </c>
      <c r="B99" s="3806"/>
      <c r="C99" s="3091" t="s">
        <v>2705</v>
      </c>
      <c r="D99" s="3091" t="s">
        <v>2706</v>
      </c>
      <c r="E99" s="3117">
        <v>0.1</v>
      </c>
      <c r="F99" s="3117">
        <v>15</v>
      </c>
    </row>
    <row r="100" spans="1:6" ht="13.5">
      <c r="A100" s="3117">
        <v>28</v>
      </c>
      <c r="B100" s="3806"/>
      <c r="C100" s="3091" t="s">
        <v>2707</v>
      </c>
      <c r="D100" s="3091" t="s">
        <v>2708</v>
      </c>
      <c r="E100" s="3117">
        <v>0.1</v>
      </c>
      <c r="F100" s="3117">
        <v>15</v>
      </c>
    </row>
    <row r="101" spans="1:6" ht="13.5">
      <c r="A101" s="3117">
        <v>29</v>
      </c>
      <c r="B101" s="3806"/>
      <c r="C101" s="3091" t="s">
        <v>2709</v>
      </c>
      <c r="D101" s="3091" t="s">
        <v>2710</v>
      </c>
      <c r="E101" s="3117">
        <v>0.1</v>
      </c>
      <c r="F101" s="3117">
        <v>15</v>
      </c>
    </row>
    <row r="102" spans="1:6" ht="13.5">
      <c r="A102" s="3117">
        <v>30</v>
      </c>
      <c r="B102" s="3806"/>
      <c r="C102" s="3091" t="s">
        <v>2711</v>
      </c>
      <c r="D102" s="3091" t="s">
        <v>2712</v>
      </c>
      <c r="E102" s="3117">
        <v>0.1</v>
      </c>
      <c r="F102" s="3117">
        <v>15</v>
      </c>
    </row>
    <row r="103" spans="1:6" ht="24">
      <c r="A103" s="3117">
        <v>31</v>
      </c>
      <c r="B103" s="3806"/>
      <c r="C103" s="3091" t="s">
        <v>2713</v>
      </c>
      <c r="D103" s="3091" t="s">
        <v>2714</v>
      </c>
      <c r="E103" s="3117">
        <v>0.1</v>
      </c>
      <c r="F103" s="3117">
        <v>15</v>
      </c>
    </row>
    <row r="104" spans="1:6" ht="24">
      <c r="A104" s="3117">
        <v>32</v>
      </c>
      <c r="B104" s="3806"/>
      <c r="C104" s="3091" t="s">
        <v>2715</v>
      </c>
      <c r="D104" s="3091" t="s">
        <v>2716</v>
      </c>
      <c r="E104" s="3117">
        <v>0.1</v>
      </c>
      <c r="F104" s="3117">
        <v>15</v>
      </c>
    </row>
    <row r="105" spans="1:6" ht="24">
      <c r="A105" s="3117">
        <v>33</v>
      </c>
      <c r="B105" s="3806"/>
      <c r="C105" s="3091" t="s">
        <v>2717</v>
      </c>
      <c r="D105" s="3091" t="s">
        <v>2718</v>
      </c>
      <c r="E105" s="3117">
        <v>0.1</v>
      </c>
      <c r="F105" s="3117">
        <v>15</v>
      </c>
    </row>
    <row r="106" spans="1:6" ht="24">
      <c r="A106" s="3117">
        <v>34</v>
      </c>
      <c r="B106" s="3815"/>
      <c r="C106" s="3091" t="s">
        <v>2719</v>
      </c>
      <c r="D106" s="3091" t="s">
        <v>2720</v>
      </c>
      <c r="E106" s="3117">
        <v>0.1</v>
      </c>
      <c r="F106" s="3117">
        <v>15</v>
      </c>
    </row>
    <row r="107" spans="1:6" ht="24">
      <c r="A107" s="3117">
        <v>35</v>
      </c>
      <c r="B107" s="3811" t="s">
        <v>2721</v>
      </c>
      <c r="C107" s="3117" t="s">
        <v>2722</v>
      </c>
      <c r="D107" s="3091" t="s">
        <v>2723</v>
      </c>
      <c r="E107" s="3117">
        <v>0.15</v>
      </c>
      <c r="F107" s="3117">
        <v>20</v>
      </c>
    </row>
    <row r="108" spans="1:6" ht="13.5">
      <c r="A108" s="3117">
        <v>36</v>
      </c>
      <c r="B108" s="3806"/>
      <c r="C108" s="3117" t="s">
        <v>2724</v>
      </c>
      <c r="D108" s="3091" t="s">
        <v>2725</v>
      </c>
      <c r="E108" s="3117">
        <v>0.15</v>
      </c>
      <c r="F108" s="3117">
        <v>20</v>
      </c>
    </row>
    <row r="109" spans="1:6" ht="13.5">
      <c r="A109" s="3117">
        <v>37</v>
      </c>
      <c r="B109" s="3806"/>
      <c r="C109" s="3117" t="s">
        <v>2726</v>
      </c>
      <c r="D109" s="3091" t="s">
        <v>2727</v>
      </c>
      <c r="E109" s="3117">
        <v>0.15</v>
      </c>
      <c r="F109" s="3117">
        <v>20</v>
      </c>
    </row>
    <row r="110" spans="1:6" ht="13.5">
      <c r="A110" s="3117">
        <v>38</v>
      </c>
      <c r="B110" s="3806"/>
      <c r="C110" s="3117" t="s">
        <v>2728</v>
      </c>
      <c r="D110" s="3091" t="s">
        <v>2729</v>
      </c>
      <c r="E110" s="3117">
        <v>0.1</v>
      </c>
      <c r="F110" s="3117">
        <v>15</v>
      </c>
    </row>
    <row r="111" spans="1:6" ht="24">
      <c r="A111" s="3117">
        <v>39</v>
      </c>
      <c r="B111" s="3806"/>
      <c r="C111" s="3117" t="s">
        <v>2730</v>
      </c>
      <c r="D111" s="3091" t="s">
        <v>2731</v>
      </c>
      <c r="E111" s="3117">
        <v>0.1</v>
      </c>
      <c r="F111" s="3117">
        <v>15</v>
      </c>
    </row>
    <row r="112" spans="1:6" ht="24">
      <c r="A112" s="3117">
        <v>40</v>
      </c>
      <c r="B112" s="3815"/>
      <c r="C112" s="3117" t="s">
        <v>2732</v>
      </c>
      <c r="D112" s="3091" t="s">
        <v>2733</v>
      </c>
      <c r="E112" s="3117">
        <v>0.1</v>
      </c>
      <c r="F112" s="3117">
        <v>15</v>
      </c>
    </row>
    <row r="113" spans="1:6" ht="13.5">
      <c r="A113" s="3117">
        <v>41</v>
      </c>
      <c r="B113" s="3816" t="s">
        <v>2734</v>
      </c>
      <c r="C113" s="3117" t="s">
        <v>2735</v>
      </c>
      <c r="D113" s="3091" t="s">
        <v>2736</v>
      </c>
      <c r="E113" s="3117">
        <v>0.1</v>
      </c>
      <c r="F113" s="3117">
        <v>15</v>
      </c>
    </row>
    <row r="114" spans="1:6" ht="13.5">
      <c r="A114" s="3117">
        <v>42</v>
      </c>
      <c r="B114" s="3816"/>
      <c r="C114" s="3117" t="s">
        <v>2737</v>
      </c>
      <c r="D114" s="3091" t="s">
        <v>2738</v>
      </c>
      <c r="E114" s="3117">
        <v>0.1</v>
      </c>
      <c r="F114" s="3117">
        <v>15</v>
      </c>
    </row>
    <row r="115" spans="1:6" ht="24">
      <c r="A115" s="3117">
        <v>43</v>
      </c>
      <c r="B115" s="3816"/>
      <c r="C115" s="3117" t="s">
        <v>2739</v>
      </c>
      <c r="D115" s="3091" t="s">
        <v>2740</v>
      </c>
      <c r="E115" s="3117">
        <v>0.1</v>
      </c>
      <c r="F115" s="3117">
        <v>15</v>
      </c>
    </row>
    <row r="116" spans="1:6" ht="13.5">
      <c r="A116" s="3117">
        <v>44</v>
      </c>
      <c r="B116" s="3811" t="s">
        <v>2741</v>
      </c>
      <c r="C116" s="3117" t="s">
        <v>2742</v>
      </c>
      <c r="D116" s="3091" t="s">
        <v>2743</v>
      </c>
      <c r="E116" s="3117">
        <v>0.1</v>
      </c>
      <c r="F116" s="3117">
        <v>15</v>
      </c>
    </row>
    <row r="117" spans="1:6" ht="24">
      <c r="A117" s="3117">
        <v>45</v>
      </c>
      <c r="B117" s="3815"/>
      <c r="C117" s="3091" t="s">
        <v>2744</v>
      </c>
      <c r="D117" s="3091" t="s">
        <v>2745</v>
      </c>
      <c r="E117" s="3117">
        <v>0.1</v>
      </c>
      <c r="F117" s="3117">
        <v>15</v>
      </c>
    </row>
    <row r="118" spans="1:6" ht="24">
      <c r="A118" s="3117">
        <v>46</v>
      </c>
      <c r="B118" s="3811" t="s">
        <v>2746</v>
      </c>
      <c r="C118" s="3117" t="s">
        <v>2747</v>
      </c>
      <c r="D118" s="3091" t="s">
        <v>2748</v>
      </c>
      <c r="E118" s="3117">
        <v>0.1</v>
      </c>
      <c r="F118" s="3117">
        <v>15</v>
      </c>
    </row>
    <row r="119" spans="1:6" ht="24">
      <c r="A119" s="3117">
        <v>47</v>
      </c>
      <c r="B119" s="3815"/>
      <c r="C119" s="3117" t="s">
        <v>2749</v>
      </c>
      <c r="D119" s="3091" t="s">
        <v>2750</v>
      </c>
      <c r="E119" s="3117">
        <v>0.1</v>
      </c>
      <c r="F119" s="3117">
        <v>15</v>
      </c>
    </row>
    <row r="120" spans="1:6" ht="13.5">
      <c r="A120" s="3117">
        <v>48</v>
      </c>
      <c r="B120" s="3811" t="s">
        <v>2751</v>
      </c>
      <c r="C120" s="3117" t="s">
        <v>2752</v>
      </c>
      <c r="D120" s="3091" t="s">
        <v>2753</v>
      </c>
      <c r="E120" s="3117">
        <v>0.1</v>
      </c>
      <c r="F120" s="3117">
        <v>15</v>
      </c>
    </row>
    <row r="121" spans="1:6" ht="13.5">
      <c r="A121" s="3117">
        <v>49</v>
      </c>
      <c r="B121" s="3815"/>
      <c r="C121" s="3117" t="s">
        <v>2754</v>
      </c>
      <c r="D121" s="3091" t="s">
        <v>2755</v>
      </c>
      <c r="E121" s="3117">
        <v>0.1</v>
      </c>
      <c r="F121" s="3117">
        <v>15</v>
      </c>
    </row>
    <row r="122" spans="1:6" ht="24">
      <c r="A122" s="3117">
        <v>50</v>
      </c>
      <c r="B122" s="3816" t="s">
        <v>2756</v>
      </c>
      <c r="C122" s="3117" t="s">
        <v>2757</v>
      </c>
      <c r="D122" s="3091" t="s">
        <v>2758</v>
      </c>
      <c r="E122" s="3117">
        <v>0.1</v>
      </c>
      <c r="F122" s="3117">
        <v>15</v>
      </c>
    </row>
    <row r="123" spans="1:6" ht="24">
      <c r="A123" s="3117">
        <v>51</v>
      </c>
      <c r="B123" s="3816"/>
      <c r="C123" s="3117" t="s">
        <v>2759</v>
      </c>
      <c r="D123" s="3091" t="s">
        <v>2760</v>
      </c>
      <c r="E123" s="3117">
        <v>0.1</v>
      </c>
      <c r="F123" s="3117">
        <v>15</v>
      </c>
    </row>
    <row r="124" spans="1:6" ht="24">
      <c r="A124" s="3117">
        <v>52</v>
      </c>
      <c r="B124" s="3816" t="s">
        <v>2761</v>
      </c>
      <c r="C124" s="3117" t="s">
        <v>2762</v>
      </c>
      <c r="D124" s="3091" t="s">
        <v>2763</v>
      </c>
      <c r="E124" s="3117">
        <v>0.1</v>
      </c>
      <c r="F124" s="3117">
        <v>15</v>
      </c>
    </row>
    <row r="125" spans="1:6" ht="24">
      <c r="A125" s="3117">
        <v>53</v>
      </c>
      <c r="B125" s="3816"/>
      <c r="C125" s="3117" t="s">
        <v>2764</v>
      </c>
      <c r="D125" s="3091" t="s">
        <v>2765</v>
      </c>
      <c r="E125" s="3117">
        <v>0.1</v>
      </c>
      <c r="F125" s="3117">
        <v>15</v>
      </c>
    </row>
    <row r="126" spans="1:6" ht="13.5">
      <c r="A126" s="3117">
        <v>54</v>
      </c>
      <c r="B126" s="3117" t="s">
        <v>2766</v>
      </c>
      <c r="C126" s="3117" t="s">
        <v>2767</v>
      </c>
      <c r="D126" s="3091" t="s">
        <v>2768</v>
      </c>
      <c r="E126" s="3117">
        <v>0.1</v>
      </c>
      <c r="F126" s="3117">
        <v>15</v>
      </c>
    </row>
    <row r="127" spans="1:6" ht="13.5">
      <c r="A127" s="3117">
        <v>55</v>
      </c>
      <c r="B127" s="3816" t="s">
        <v>2769</v>
      </c>
      <c r="C127" s="3117" t="s">
        <v>2770</v>
      </c>
      <c r="D127" s="3091" t="s">
        <v>2771</v>
      </c>
      <c r="E127" s="3117">
        <v>0.1</v>
      </c>
      <c r="F127" s="3117">
        <v>15</v>
      </c>
    </row>
    <row r="128" spans="1:6" ht="13.5">
      <c r="A128" s="3117">
        <v>56</v>
      </c>
      <c r="B128" s="3816"/>
      <c r="C128" s="3117" t="s">
        <v>2772</v>
      </c>
      <c r="D128" s="3091" t="s">
        <v>2773</v>
      </c>
      <c r="E128" s="3117">
        <v>0.1</v>
      </c>
      <c r="F128" s="3117">
        <v>15</v>
      </c>
    </row>
    <row r="129" spans="1:6" ht="24">
      <c r="A129" s="3117">
        <v>57</v>
      </c>
      <c r="B129" s="3816"/>
      <c r="C129" s="3117" t="s">
        <v>2774</v>
      </c>
      <c r="D129" s="3091" t="s">
        <v>2775</v>
      </c>
      <c r="E129" s="3117">
        <v>0.1</v>
      </c>
      <c r="F129" s="3117">
        <v>15</v>
      </c>
    </row>
    <row r="130" spans="1:6" ht="24">
      <c r="A130" s="3117">
        <v>58</v>
      </c>
      <c r="B130" s="3816" t="s">
        <v>2776</v>
      </c>
      <c r="C130" s="3117" t="s">
        <v>2777</v>
      </c>
      <c r="D130" s="3091" t="s">
        <v>2778</v>
      </c>
      <c r="E130" s="3117">
        <v>0.1</v>
      </c>
      <c r="F130" s="3117">
        <v>15</v>
      </c>
    </row>
    <row r="131" spans="1:6" ht="13.5">
      <c r="A131" s="3117">
        <v>59</v>
      </c>
      <c r="B131" s="3816"/>
      <c r="C131" s="3117" t="s">
        <v>2779</v>
      </c>
      <c r="D131" s="3091" t="s">
        <v>2780</v>
      </c>
      <c r="E131" s="3117">
        <v>0.1</v>
      </c>
      <c r="F131" s="3117">
        <v>15</v>
      </c>
    </row>
    <row r="132" spans="1:6" ht="13.5">
      <c r="A132" s="3117">
        <v>60</v>
      </c>
      <c r="B132" s="3811" t="s">
        <v>2781</v>
      </c>
      <c r="C132" s="3117" t="s">
        <v>2782</v>
      </c>
      <c r="D132" s="3091" t="s">
        <v>2783</v>
      </c>
      <c r="E132" s="3117">
        <v>0.1</v>
      </c>
      <c r="F132" s="3117">
        <v>15</v>
      </c>
    </row>
    <row r="133" spans="1:6" ht="13.5">
      <c r="A133" s="3117">
        <v>61</v>
      </c>
      <c r="B133" s="3815"/>
      <c r="C133" s="3117" t="s">
        <v>2784</v>
      </c>
      <c r="D133" s="3091" t="s">
        <v>2785</v>
      </c>
      <c r="E133" s="3117">
        <v>0.1</v>
      </c>
      <c r="F133" s="3117">
        <v>15</v>
      </c>
    </row>
    <row r="134" spans="1:6" ht="24">
      <c r="A134" s="3117">
        <v>62</v>
      </c>
      <c r="B134" s="3117" t="s">
        <v>2786</v>
      </c>
      <c r="C134" s="3117" t="s">
        <v>2787</v>
      </c>
      <c r="D134" s="3091" t="s">
        <v>2788</v>
      </c>
      <c r="E134" s="3117">
        <v>0.1</v>
      </c>
      <c r="F134" s="3117">
        <v>15</v>
      </c>
    </row>
    <row r="135" spans="1:6" ht="13.5">
      <c r="A135" s="3117">
        <v>63</v>
      </c>
      <c r="B135" s="3816" t="s">
        <v>2789</v>
      </c>
      <c r="C135" s="3117" t="s">
        <v>2790</v>
      </c>
      <c r="D135" s="3091" t="s">
        <v>2791</v>
      </c>
      <c r="E135" s="3117">
        <v>0.1</v>
      </c>
      <c r="F135" s="3117">
        <v>15</v>
      </c>
    </row>
    <row r="136" spans="1:6" ht="13.5">
      <c r="A136" s="3117">
        <v>64</v>
      </c>
      <c r="B136" s="3816"/>
      <c r="C136" s="3117" t="s">
        <v>2792</v>
      </c>
      <c r="D136" s="3091" t="s">
        <v>2793</v>
      </c>
      <c r="E136" s="3117">
        <v>0.1</v>
      </c>
      <c r="F136" s="3117">
        <v>15</v>
      </c>
    </row>
    <row r="137" spans="1:6" ht="13.5">
      <c r="A137" s="3117">
        <v>65</v>
      </c>
      <c r="B137" s="3117" t="s">
        <v>2794</v>
      </c>
      <c r="C137" s="3117" t="s">
        <v>2795</v>
      </c>
      <c r="D137" s="3091" t="s">
        <v>2796</v>
      </c>
      <c r="E137" s="3117">
        <v>0.1</v>
      </c>
      <c r="F137" s="3117">
        <v>15</v>
      </c>
    </row>
    <row r="138" spans="1:6" ht="13.5">
      <c r="A138" s="3117"/>
      <c r="B138" s="3117"/>
      <c r="C138" s="3117"/>
      <c r="D138" s="3117"/>
      <c r="E138" s="3117" t="s">
        <v>2797</v>
      </c>
      <c r="F138" s="3117" t="s">
        <v>2797</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0"/>
    <col min="14" max="16384" width="9" style="749"/>
  </cols>
  <sheetData>
    <row r="1" spans="1:20" ht="15" thickBot="1">
      <c r="A1" s="3126" t="s">
        <v>2798</v>
      </c>
      <c r="B1" s="3126"/>
      <c r="C1" s="3126"/>
      <c r="D1" s="3126"/>
      <c r="E1" s="3126"/>
      <c r="F1" s="3126"/>
      <c r="G1" s="3126"/>
      <c r="H1" s="3126"/>
      <c r="I1" s="3126"/>
      <c r="J1" s="3126"/>
      <c r="K1" s="3126"/>
      <c r="L1" s="3126"/>
      <c r="M1" s="3126"/>
      <c r="N1" s="748"/>
    </row>
    <row r="2" spans="1:20">
      <c r="A2" s="3127" t="s">
        <v>2799</v>
      </c>
      <c r="B2" s="3128" t="s">
        <v>2595</v>
      </c>
      <c r="C2" s="3128" t="s">
        <v>2596</v>
      </c>
      <c r="D2" s="3128" t="s">
        <v>2597</v>
      </c>
      <c r="E2" s="3128" t="s">
        <v>2598</v>
      </c>
      <c r="F2" s="3128" t="s">
        <v>2599</v>
      </c>
      <c r="G2" s="3128" t="s">
        <v>2600</v>
      </c>
      <c r="H2" s="3129" t="s">
        <v>2601</v>
      </c>
      <c r="I2" s="3129" t="s">
        <v>2602</v>
      </c>
      <c r="J2" s="3130" t="s">
        <v>2603</v>
      </c>
      <c r="K2" s="3130" t="s">
        <v>2604</v>
      </c>
      <c r="L2" s="3130" t="s">
        <v>2605</v>
      </c>
      <c r="M2" s="3131" t="s">
        <v>2606</v>
      </c>
      <c r="Q2" s="3141" t="s">
        <v>2804</v>
      </c>
      <c r="R2" s="3141" t="s">
        <v>2805</v>
      </c>
      <c r="S2" s="3141" t="s">
        <v>2806</v>
      </c>
      <c r="T2" s="3141" t="s">
        <v>2807</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0"/>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0"/>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0"/>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2800</v>
      </c>
      <c r="B93" s="3126"/>
      <c r="C93" s="3126"/>
      <c r="D93" s="3126"/>
      <c r="E93" s="3126"/>
      <c r="F93" s="3126"/>
      <c r="G93" s="3126"/>
      <c r="H93" s="3126"/>
      <c r="I93" s="3126"/>
      <c r="J93" s="3126"/>
      <c r="K93" s="3126"/>
      <c r="L93" s="3126"/>
      <c r="M93" s="3126"/>
    </row>
    <row r="94" spans="1:20">
      <c r="A94" s="3127" t="s">
        <v>2799</v>
      </c>
      <c r="B94" s="3128" t="s">
        <v>2595</v>
      </c>
      <c r="C94" s="3128" t="s">
        <v>2596</v>
      </c>
      <c r="D94" s="3128" t="s">
        <v>2597</v>
      </c>
      <c r="E94" s="3128" t="s">
        <v>2598</v>
      </c>
      <c r="F94" s="3128" t="s">
        <v>2599</v>
      </c>
      <c r="G94" s="3128" t="s">
        <v>2600</v>
      </c>
      <c r="H94" s="3129" t="s">
        <v>2601</v>
      </c>
      <c r="I94" s="3129" t="s">
        <v>2602</v>
      </c>
      <c r="J94" s="3130" t="s">
        <v>2603</v>
      </c>
      <c r="K94" s="3130" t="s">
        <v>2604</v>
      </c>
      <c r="L94" s="3130" t="s">
        <v>2605</v>
      </c>
      <c r="M94" s="3131" t="s">
        <v>2606</v>
      </c>
      <c r="N94" s="749">
        <f>SUMPRODUCT((A95:A184=ROUNDDOWN(基准地价修正!G3,1))*(B94:M94=基准地价修正!G2)*(B95:M184))</f>
        <v>1</v>
      </c>
      <c r="Q94" s="3141" t="s">
        <v>2804</v>
      </c>
      <c r="R94" s="3141" t="s">
        <v>2805</v>
      </c>
      <c r="S94" s="3141" t="s">
        <v>2806</v>
      </c>
      <c r="T94" s="3141" t="s">
        <v>2807</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8"/>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8"/>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2801</v>
      </c>
      <c r="B185" s="3126"/>
      <c r="C185" s="3126"/>
      <c r="D185" s="3126"/>
      <c r="E185" s="3126"/>
      <c r="F185" s="3126"/>
      <c r="G185" s="3126"/>
      <c r="H185" s="3126"/>
      <c r="I185" s="3126"/>
      <c r="J185" s="3126"/>
      <c r="K185" s="3126"/>
      <c r="L185" s="3126"/>
      <c r="M185" s="3126"/>
    </row>
    <row r="186" spans="1:20">
      <c r="A186" s="3127" t="s">
        <v>2799</v>
      </c>
      <c r="B186" s="3128" t="s">
        <v>2595</v>
      </c>
      <c r="C186" s="3128" t="s">
        <v>2596</v>
      </c>
      <c r="D186" s="3128" t="s">
        <v>2597</v>
      </c>
      <c r="E186" s="3128" t="s">
        <v>2598</v>
      </c>
      <c r="F186" s="3128" t="s">
        <v>2599</v>
      </c>
      <c r="G186" s="3128" t="s">
        <v>2600</v>
      </c>
      <c r="H186" s="3129" t="s">
        <v>2601</v>
      </c>
      <c r="I186" s="3129" t="s">
        <v>2602</v>
      </c>
      <c r="J186" s="3130" t="s">
        <v>2603</v>
      </c>
      <c r="K186" s="3130" t="s">
        <v>2604</v>
      </c>
      <c r="L186" s="3130" t="s">
        <v>2605</v>
      </c>
      <c r="M186" s="3131" t="s">
        <v>2606</v>
      </c>
      <c r="Q186" s="3141" t="s">
        <v>2804</v>
      </c>
      <c r="R186" s="3141" t="s">
        <v>2805</v>
      </c>
      <c r="S186" s="3141" t="s">
        <v>2806</v>
      </c>
      <c r="T186" s="3141" t="s">
        <v>2807</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2802</v>
      </c>
      <c r="B277" s="3126"/>
      <c r="C277" s="3126"/>
      <c r="D277" s="3126"/>
      <c r="E277" s="3126"/>
      <c r="F277" s="3126"/>
      <c r="G277" s="3126"/>
      <c r="H277" s="3126"/>
      <c r="I277" s="3126"/>
      <c r="J277" s="3126"/>
      <c r="K277" s="3126"/>
      <c r="L277" s="3126"/>
      <c r="M277" s="3126"/>
    </row>
    <row r="278" spans="1:21">
      <c r="A278" s="3127" t="s">
        <v>2799</v>
      </c>
      <c r="B278" s="3128" t="s">
        <v>2595</v>
      </c>
      <c r="C278" s="3128" t="s">
        <v>2596</v>
      </c>
      <c r="D278" s="3128" t="s">
        <v>2597</v>
      </c>
      <c r="E278" s="3128" t="s">
        <v>2598</v>
      </c>
      <c r="F278" s="3128" t="s">
        <v>2599</v>
      </c>
      <c r="G278" s="3128" t="s">
        <v>2600</v>
      </c>
      <c r="H278" s="3129" t="s">
        <v>2601</v>
      </c>
      <c r="I278" s="3129" t="s">
        <v>2602</v>
      </c>
      <c r="J278" s="3130" t="s">
        <v>2603</v>
      </c>
      <c r="K278" s="3130" t="s">
        <v>2604</v>
      </c>
      <c r="L278" s="3130" t="s">
        <v>2605</v>
      </c>
      <c r="M278" s="3131" t="s">
        <v>2606</v>
      </c>
      <c r="Q278" s="3141" t="s">
        <v>2804</v>
      </c>
      <c r="R278" s="3141" t="s">
        <v>2805</v>
      </c>
      <c r="S278" s="3141" t="s">
        <v>2808</v>
      </c>
      <c r="T278" s="3141" t="s">
        <v>2809</v>
      </c>
      <c r="U278" s="3141" t="s">
        <v>2807</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2803</v>
      </c>
      <c r="B369" s="3139"/>
      <c r="C369" s="3139"/>
      <c r="D369" s="3139"/>
      <c r="E369" s="3139"/>
      <c r="F369" s="3139"/>
      <c r="G369" s="3139"/>
      <c r="H369" s="3139"/>
      <c r="I369" s="3139"/>
      <c r="J369" s="3139"/>
      <c r="K369" s="3139"/>
      <c r="L369" s="3139"/>
      <c r="M369" s="3139"/>
    </row>
    <row r="370" spans="1:20">
      <c r="A370" s="3127" t="s">
        <v>2799</v>
      </c>
      <c r="B370" s="3128" t="s">
        <v>2595</v>
      </c>
      <c r="C370" s="3128" t="s">
        <v>2596</v>
      </c>
      <c r="D370" s="3128" t="s">
        <v>2597</v>
      </c>
      <c r="E370" s="3128" t="s">
        <v>2598</v>
      </c>
      <c r="F370" s="3128" t="s">
        <v>2599</v>
      </c>
      <c r="G370" s="3128" t="s">
        <v>2600</v>
      </c>
      <c r="H370" s="3129" t="s">
        <v>2601</v>
      </c>
      <c r="I370" s="3129" t="s">
        <v>2602</v>
      </c>
      <c r="J370" s="3130" t="s">
        <v>2603</v>
      </c>
      <c r="K370" s="3130" t="s">
        <v>2604</v>
      </c>
      <c r="L370" s="3130" t="s">
        <v>2605</v>
      </c>
      <c r="M370" s="3131" t="s">
        <v>2606</v>
      </c>
      <c r="N370" s="749">
        <f>SUMPRODUCT((A371:A460=ROUNDDOWN(基准地价修正!G3,1))*(B370:M370=基准地价修正!G2)*(B371:M460))</f>
        <v>0.95120000000000005</v>
      </c>
      <c r="Q370" s="3141" t="s">
        <v>2804</v>
      </c>
      <c r="R370" s="3141" t="s">
        <v>2805</v>
      </c>
      <c r="S370" s="3141" t="s">
        <v>2806</v>
      </c>
      <c r="T370" s="3141" t="s">
        <v>2807</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29710</v>
      </c>
      <c r="C2" s="2" t="s">
        <v>106</v>
      </c>
      <c r="D2" s="199"/>
      <c r="E2" s="199"/>
      <c r="F2" s="199"/>
      <c r="G2" s="199"/>
    </row>
    <row r="3" spans="1:7" s="200" customFormat="1" ht="18" customHeight="1" thickBot="1">
      <c r="A3" s="203" t="s">
        <v>58</v>
      </c>
      <c r="B3" s="204">
        <f ca="1">ROUND(B2*10000/'数据-汇总表'!E3,0)</f>
        <v>532456</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7" t="s">
        <v>346</v>
      </c>
      <c r="B6" s="215" t="s">
        <v>64</v>
      </c>
      <c r="C6" s="216">
        <v>20000</v>
      </c>
      <c r="D6" s="217"/>
      <c r="E6" s="218"/>
      <c r="F6" s="218"/>
      <c r="G6" s="219"/>
    </row>
    <row r="7" spans="1:7" s="214" customFormat="1" ht="13.5" customHeight="1">
      <c r="A7" s="777" t="s">
        <v>347</v>
      </c>
      <c r="B7" s="215" t="s">
        <v>30</v>
      </c>
      <c r="C7" s="220">
        <f>ROUND(C6*F7,0)</f>
        <v>610</v>
      </c>
      <c r="D7" s="220"/>
      <c r="E7" s="218"/>
      <c r="F7" s="221">
        <f>'数据-取费表'!B48+'数据-取费表'!B49</f>
        <v>3.0499999999999999E-2</v>
      </c>
      <c r="G7" s="219"/>
    </row>
    <row r="8" spans="1:7" s="223" customFormat="1">
      <c r="A8" s="777" t="s">
        <v>348</v>
      </c>
      <c r="B8" s="215" t="s">
        <v>65</v>
      </c>
      <c r="C8" s="220" t="str">
        <f>IF(G8="已包含在土地购买价格中","0",'数据-取费表'!B29)</f>
        <v>0</v>
      </c>
      <c r="D8" s="222"/>
      <c r="E8" s="220"/>
      <c r="F8" s="221"/>
      <c r="G8" s="1" t="s">
        <v>451</v>
      </c>
    </row>
    <row r="9" spans="1:7" s="214" customFormat="1" ht="13.5" customHeight="1">
      <c r="A9" s="778" t="s">
        <v>355</v>
      </c>
      <c r="B9" s="224" t="s">
        <v>66</v>
      </c>
      <c r="C9" s="225">
        <f>ROUND(D9*E9/10000,0)</f>
        <v>0</v>
      </c>
      <c r="D9" s="844">
        <f>'数据-汇总表'!E5</f>
        <v>0</v>
      </c>
      <c r="E9" s="225">
        <f>'数据-取费表'!B27</f>
        <v>0</v>
      </c>
      <c r="F9" s="221"/>
      <c r="G9" s="226"/>
    </row>
    <row r="10" spans="1:7" s="214" customFormat="1" ht="13.5" customHeight="1">
      <c r="A10" s="778" t="s">
        <v>356</v>
      </c>
      <c r="B10" s="224" t="s">
        <v>67</v>
      </c>
      <c r="C10" s="225">
        <f>ROUND(D10*E10/10000,0)</f>
        <v>11</v>
      </c>
      <c r="D10" s="844">
        <f>'数据-汇总表'!E6</f>
        <v>557.98</v>
      </c>
      <c r="E10" s="225">
        <f>'数据-取费表'!B28</f>
        <v>200</v>
      </c>
      <c r="F10" s="221"/>
      <c r="G10" s="226"/>
    </row>
    <row r="11" spans="1:7" s="214" customFormat="1" ht="13.5" hidden="1" customHeight="1">
      <c r="A11" s="227" t="s">
        <v>4</v>
      </c>
      <c r="B11" s="215" t="s">
        <v>68</v>
      </c>
      <c r="C11" s="211"/>
      <c r="D11" s="846"/>
      <c r="E11" s="218"/>
      <c r="F11" s="218"/>
      <c r="G11" s="219"/>
    </row>
    <row r="12" spans="1:7" s="214" customFormat="1" ht="13.5" hidden="1" customHeight="1">
      <c r="A12" s="227" t="s">
        <v>5</v>
      </c>
      <c r="B12" s="215" t="s">
        <v>69</v>
      </c>
      <c r="C12" s="211">
        <v>0</v>
      </c>
      <c r="D12" s="846"/>
      <c r="E12" s="228"/>
      <c r="F12" s="221">
        <v>3.0499999999999999E-2</v>
      </c>
      <c r="G12" s="219"/>
    </row>
    <row r="13" spans="1:7" s="214" customFormat="1" ht="13.5" hidden="1" customHeight="1">
      <c r="A13" s="227" t="s">
        <v>6</v>
      </c>
      <c r="B13" s="215" t="s">
        <v>70</v>
      </c>
      <c r="C13" s="211"/>
      <c r="D13" s="846"/>
      <c r="E13" s="218"/>
      <c r="F13" s="218"/>
      <c r="G13" s="219"/>
    </row>
    <row r="14" spans="1:7" s="214" customFormat="1" ht="13.5" hidden="1" customHeight="1">
      <c r="A14" s="227" t="s">
        <v>7</v>
      </c>
      <c r="B14" s="215" t="s">
        <v>65</v>
      </c>
      <c r="C14" s="211"/>
      <c r="D14" s="846"/>
      <c r="E14" s="218"/>
      <c r="F14" s="218"/>
      <c r="G14" s="219" t="s">
        <v>71</v>
      </c>
    </row>
    <row r="15" spans="1:7" s="214" customFormat="1" ht="13.5" hidden="1" customHeight="1">
      <c r="A15" s="227" t="s">
        <v>8</v>
      </c>
      <c r="B15" s="215" t="s">
        <v>72</v>
      </c>
      <c r="C15" s="220"/>
      <c r="D15" s="846"/>
      <c r="E15" s="218"/>
      <c r="F15" s="218"/>
      <c r="G15" s="219" t="s">
        <v>73</v>
      </c>
    </row>
    <row r="16" spans="1:7" s="214" customFormat="1" ht="13.5" hidden="1" customHeight="1">
      <c r="A16" s="227" t="s">
        <v>9</v>
      </c>
      <c r="B16" s="215" t="s">
        <v>65</v>
      </c>
      <c r="C16" s="220"/>
      <c r="D16" s="846"/>
      <c r="E16" s="218"/>
      <c r="F16" s="218"/>
      <c r="G16" s="219"/>
    </row>
    <row r="17" spans="1:7" s="214" customFormat="1" ht="13.5" hidden="1" customHeight="1">
      <c r="A17" s="227" t="s">
        <v>10</v>
      </c>
      <c r="B17" s="215" t="s">
        <v>74</v>
      </c>
      <c r="C17" s="229"/>
      <c r="D17" s="847"/>
      <c r="E17" s="229"/>
      <c r="F17" s="229"/>
      <c r="G17" s="219" t="s">
        <v>73</v>
      </c>
    </row>
    <row r="18" spans="1:7" s="214" customFormat="1" ht="13.5" hidden="1" customHeight="1">
      <c r="A18" s="227" t="s">
        <v>11</v>
      </c>
      <c r="B18" s="215" t="s">
        <v>75</v>
      </c>
      <c r="C18" s="220">
        <v>0</v>
      </c>
      <c r="D18" s="846"/>
      <c r="E18" s="218"/>
      <c r="F18" s="221">
        <v>3.0499999999999999E-2</v>
      </c>
      <c r="G18" s="219" t="s">
        <v>76</v>
      </c>
    </row>
    <row r="19" spans="1:7" s="223" customFormat="1" ht="13.5" customHeight="1">
      <c r="A19" s="776" t="s">
        <v>417</v>
      </c>
      <c r="B19" s="210" t="s">
        <v>84</v>
      </c>
      <c r="C19" s="211">
        <f>IF(G19="已包含在土地取得成本中","0",ROUND(D19*E19/10000,0))</f>
        <v>11</v>
      </c>
      <c r="D19" s="848">
        <f>'数据-汇总表'!E3</f>
        <v>557.98</v>
      </c>
      <c r="E19" s="211">
        <f>'数据-取费表'!B31</f>
        <v>200</v>
      </c>
      <c r="F19" s="231"/>
      <c r="G19" s="1" t="s">
        <v>436</v>
      </c>
    </row>
    <row r="20" spans="1:7" s="214" customFormat="1" ht="13.5" customHeight="1">
      <c r="A20" s="776" t="s">
        <v>419</v>
      </c>
      <c r="B20" s="210" t="s">
        <v>77</v>
      </c>
      <c r="C20" s="232">
        <f>ROUND((C5+C19)*F20,0)</f>
        <v>619</v>
      </c>
      <c r="D20" s="232"/>
      <c r="E20" s="232"/>
      <c r="F20" s="233">
        <f>'数据-取费表'!B37</f>
        <v>0.03</v>
      </c>
      <c r="G20" s="1066" t="s">
        <v>430</v>
      </c>
    </row>
    <row r="21" spans="1:7" s="214" customFormat="1" ht="13.5" customHeight="1">
      <c r="A21" s="776" t="s">
        <v>421</v>
      </c>
      <c r="B21" s="210" t="s">
        <v>78</v>
      </c>
      <c r="C21" s="235">
        <f>F21</f>
        <v>0.03</v>
      </c>
      <c r="D21" s="236" t="s">
        <v>99</v>
      </c>
      <c r="E21" s="232"/>
      <c r="F21" s="233">
        <f>'数据-取费表'!B38</f>
        <v>0.03</v>
      </c>
      <c r="G21" s="234" t="s">
        <v>79</v>
      </c>
    </row>
    <row r="22" spans="1:7" s="214" customFormat="1" ht="13.5" customHeight="1">
      <c r="A22" s="776" t="s">
        <v>341</v>
      </c>
      <c r="B22" s="210" t="s">
        <v>80</v>
      </c>
      <c r="C22" s="1103">
        <f ca="1">ROUND(SUM(C23:C25),0)</f>
        <v>1275</v>
      </c>
      <c r="D22" s="235">
        <f ca="1">C26</f>
        <v>8.9999999999999998E-4</v>
      </c>
      <c r="E22" s="236" t="s">
        <v>99</v>
      </c>
      <c r="F22" s="237">
        <f ca="1">'数据-取费表'!B40</f>
        <v>0.03</v>
      </c>
      <c r="G22" s="1066" t="str">
        <f>IF('数据-取费表'!B22&lt;=1,"单利计息","复利计息")</f>
        <v>复利计息</v>
      </c>
    </row>
    <row r="23" spans="1:7" s="214" customFormat="1" ht="13.5" customHeight="1">
      <c r="A23" s="779" t="s">
        <v>349</v>
      </c>
      <c r="B23" s="215" t="s">
        <v>423</v>
      </c>
      <c r="C23" s="1104">
        <f ca="1">ROUND(IF('数据-取费表'!B22&lt;=1,C5*F22*'数据-取费表'!B23,C5*(POWER((1+F22),'数据-取费表'!B23)-1)),0)</f>
        <v>1255</v>
      </c>
      <c r="D23" s="238"/>
      <c r="E23" s="238"/>
      <c r="F23" s="239"/>
      <c r="G23" s="240" t="s">
        <v>81</v>
      </c>
    </row>
    <row r="24" spans="1:7" s="214" customFormat="1" ht="13.5" customHeight="1">
      <c r="A24" s="779" t="s">
        <v>347</v>
      </c>
      <c r="B24" s="215" t="s">
        <v>418</v>
      </c>
      <c r="C24" s="1104">
        <f ca="1">ROUND(IF('数据-取费表'!B22&lt;=1,C19*F22*('数据-取费表'!B19/2+'数据-取费表'!B21),C19*(POWER((1+F22),('数据-取费表'!B19/2+'数据-取费表'!B21))-1)),0)</f>
        <v>1</v>
      </c>
      <c r="D24" s="238"/>
      <c r="E24" s="238"/>
      <c r="F24" s="239"/>
      <c r="G24" s="240" t="s">
        <v>82</v>
      </c>
    </row>
    <row r="25" spans="1:7" s="214" customFormat="1" ht="24">
      <c r="A25" s="779" t="s">
        <v>348</v>
      </c>
      <c r="B25" s="215" t="s">
        <v>420</v>
      </c>
      <c r="C25" s="1104">
        <f ca="1">ROUND(IF('数据-取费表'!B22&lt;=1,C20*F22*'数据-取费表'!B23/2,C20*(POWER((1+F22),'数据-取费表'!B23/2)-1)),0)</f>
        <v>19</v>
      </c>
      <c r="D25" s="238"/>
      <c r="E25" s="241"/>
      <c r="F25" s="239"/>
      <c r="G25" s="242" t="s">
        <v>83</v>
      </c>
    </row>
    <row r="26" spans="1:7" s="214" customFormat="1">
      <c r="A26" s="779" t="s">
        <v>350</v>
      </c>
      <c r="B26" s="215" t="s">
        <v>422</v>
      </c>
      <c r="C26" s="238">
        <f ca="1">ROUND(IF('数据-取费表'!B22&lt;=1,F21*F22*'数据-取费表'!B23/2,F21*(POWER((1+F22),'数据-取费表'!B23/2)-1)),4)</f>
        <v>8.9999999999999998E-4</v>
      </c>
      <c r="D26" s="238"/>
      <c r="E26" s="241"/>
      <c r="F26" s="239"/>
      <c r="G26" s="243"/>
    </row>
    <row r="27" spans="1:7" s="214" customFormat="1" ht="24.75">
      <c r="A27" s="776" t="s">
        <v>342</v>
      </c>
      <c r="B27" s="244" t="s">
        <v>85</v>
      </c>
      <c r="C27" s="245">
        <f>C28</f>
        <v>4248</v>
      </c>
      <c r="D27" s="235">
        <f>C29</f>
        <v>6.0000000000000001E-3</v>
      </c>
      <c r="E27" s="236" t="s">
        <v>99</v>
      </c>
      <c r="F27" s="246">
        <f>'数据-取费表'!Q16</f>
        <v>0.2</v>
      </c>
      <c r="G27" s="247" t="s">
        <v>431</v>
      </c>
    </row>
    <row r="28" spans="1:7" s="214" customFormat="1" ht="13.5" customHeight="1">
      <c r="A28" s="779" t="s">
        <v>349</v>
      </c>
      <c r="B28" s="248" t="s">
        <v>424</v>
      </c>
      <c r="C28" s="249">
        <f>ROUND((C5+C19+C20)*F27*'数据-取费表'!B21/'数据-取费表'!B20,0)</f>
        <v>4248</v>
      </c>
      <c r="D28" s="235"/>
      <c r="E28" s="236"/>
      <c r="F28" s="246"/>
      <c r="G28" s="247"/>
    </row>
    <row r="29" spans="1:7" s="214" customFormat="1" ht="13.5" customHeight="1">
      <c r="A29" s="779" t="s">
        <v>347</v>
      </c>
      <c r="B29" s="248" t="s">
        <v>425</v>
      </c>
      <c r="C29" s="238">
        <f>ROUND(C21*F27*'数据-取费表'!B21/'数据-取费表'!B20,4)</f>
        <v>6.0000000000000001E-3</v>
      </c>
      <c r="D29" s="235"/>
      <c r="E29" s="236"/>
      <c r="F29" s="246"/>
      <c r="G29" s="247"/>
    </row>
    <row r="30" spans="1:7" s="214" customFormat="1" ht="13.5" customHeight="1">
      <c r="A30" s="776"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29417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249</v>
      </c>
      <c r="D33" s="232"/>
      <c r="E33" s="212"/>
      <c r="F33" s="241"/>
      <c r="G33" s="234"/>
    </row>
    <row r="34" spans="1:7" s="258" customFormat="1" ht="13.5" customHeight="1">
      <c r="A34" s="779" t="s">
        <v>349</v>
      </c>
      <c r="B34" s="215" t="s">
        <v>32</v>
      </c>
      <c r="C34" s="220">
        <f>IF(F34=100%,'数据-取费表'!M16-SUMIF('数据-取费表'!C:C,"公共配套",'数据-取费表'!M:M),'数据-取费表'!O16-SUMIF('数据-取费表'!C:C,"公共配套",'数据-取费表'!O:O))</f>
        <v>223</v>
      </c>
      <c r="D34" s="217"/>
      <c r="E34" s="220"/>
      <c r="F34" s="257">
        <f>IF('数据-取费表'!B24=0,1,'数据-取费表'!N16)</f>
        <v>1</v>
      </c>
      <c r="G34" s="219" t="s">
        <v>89</v>
      </c>
    </row>
    <row r="35" spans="1:7" ht="13.5" customHeight="1">
      <c r="A35" s="779" t="s">
        <v>351</v>
      </c>
      <c r="B35" s="215" t="s">
        <v>33</v>
      </c>
      <c r="C35" s="220">
        <f>ROUND(C34*F35,0)</f>
        <v>11</v>
      </c>
      <c r="D35" s="220"/>
      <c r="E35" s="220"/>
      <c r="F35" s="259">
        <f>'数据-取费表'!B33</f>
        <v>0.05</v>
      </c>
      <c r="G35" s="219" t="s">
        <v>90</v>
      </c>
    </row>
    <row r="36" spans="1:7" ht="24">
      <c r="A36" s="779"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9" t="s">
        <v>353</v>
      </c>
      <c r="B37" s="215" t="s">
        <v>91</v>
      </c>
      <c r="C37" s="249">
        <f>ROUND(E37*D37*F34/10000,0)</f>
        <v>11</v>
      </c>
      <c r="D37" s="217">
        <f>'数据-汇总表'!E3</f>
        <v>557.98</v>
      </c>
      <c r="E37" s="249">
        <f>'数据-取费表'!B35</f>
        <v>200</v>
      </c>
      <c r="F37" s="259"/>
      <c r="G37" s="261" t="s">
        <v>92</v>
      </c>
    </row>
    <row r="38" spans="1:7" ht="13.5" customHeight="1">
      <c r="A38" s="779" t="s">
        <v>354</v>
      </c>
      <c r="B38" s="215" t="s">
        <v>36</v>
      </c>
      <c r="C38" s="220">
        <f>ROUND(C34*F38,0)</f>
        <v>4</v>
      </c>
      <c r="D38" s="220"/>
      <c r="E38" s="220"/>
      <c r="F38" s="259">
        <f>'数据-取费表'!B36</f>
        <v>0.02</v>
      </c>
      <c r="G38" s="219" t="s">
        <v>90</v>
      </c>
    </row>
    <row r="39" spans="1:7" s="214" customFormat="1" ht="13.5" customHeight="1">
      <c r="A39" s="776" t="s">
        <v>338</v>
      </c>
      <c r="B39" s="210" t="s">
        <v>77</v>
      </c>
      <c r="C39" s="232">
        <f>ROUND(C33*F20,0)</f>
        <v>7</v>
      </c>
      <c r="D39" s="232"/>
      <c r="E39" s="232"/>
      <c r="F39" s="233"/>
      <c r="G39" s="1066" t="s">
        <v>433</v>
      </c>
    </row>
    <row r="40" spans="1:7" s="214" customFormat="1" ht="13.5" customHeight="1">
      <c r="A40" s="776" t="s">
        <v>339</v>
      </c>
      <c r="B40" s="210" t="s">
        <v>78</v>
      </c>
      <c r="C40" s="262">
        <f>F21</f>
        <v>0.03</v>
      </c>
      <c r="D40" s="236" t="s">
        <v>102</v>
      </c>
      <c r="E40" s="232"/>
      <c r="F40" s="233"/>
      <c r="G40" s="234" t="s">
        <v>93</v>
      </c>
    </row>
    <row r="41" spans="1:7" s="214" customFormat="1" ht="13.5" customHeight="1">
      <c r="A41" s="776" t="s">
        <v>340</v>
      </c>
      <c r="B41" s="210" t="s">
        <v>80</v>
      </c>
      <c r="C41" s="232">
        <f ca="1">ROUND(SUM(C42:C43),0)</f>
        <v>7</v>
      </c>
      <c r="D41" s="235">
        <f ca="1">C44</f>
        <v>8.9999999999999998E-4</v>
      </c>
      <c r="E41" s="236" t="s">
        <v>102</v>
      </c>
      <c r="F41" s="237"/>
      <c r="G41" s="1066" t="str">
        <f>IF('数据-取费表'!B22&lt;=1,"单利计息","复利计息")</f>
        <v>复利计息</v>
      </c>
    </row>
    <row r="42" spans="1:7" ht="13.5" customHeight="1">
      <c r="A42" s="779" t="s">
        <v>349</v>
      </c>
      <c r="B42" s="215" t="s">
        <v>423</v>
      </c>
      <c r="C42" s="238">
        <f ca="1">ROUND(IF('数据-取费表'!B22&lt;=1,C33*F22*'数据-取费表'!B21/2,C33*(POWER((1+F22),'数据-取费表'!B21/2)-1)),0)</f>
        <v>7</v>
      </c>
      <c r="D42" s="238"/>
      <c r="E42" s="238"/>
      <c r="F42" s="239"/>
      <c r="G42" s="3681" t="s">
        <v>94</v>
      </c>
    </row>
    <row r="43" spans="1:7" ht="13.5" customHeight="1">
      <c r="A43" s="779" t="s">
        <v>347</v>
      </c>
      <c r="B43" s="215" t="s">
        <v>426</v>
      </c>
      <c r="C43" s="238">
        <f ca="1">ROUND(IF('数据-取费表'!B22&lt;=1,C39*F22*'数据-取费表'!B21/2,C39*(POWER((1+F22),'数据-取费表'!B21/2)-1)),0)</f>
        <v>0</v>
      </c>
      <c r="D43" s="238"/>
      <c r="E43" s="238"/>
      <c r="F43" s="239"/>
      <c r="G43" s="3682"/>
    </row>
    <row r="44" spans="1:7" ht="13.5" customHeight="1">
      <c r="A44" s="779" t="s">
        <v>348</v>
      </c>
      <c r="B44" s="215" t="s">
        <v>428</v>
      </c>
      <c r="C44" s="238">
        <f ca="1">ROUND(IF('数据-取费表'!B22&lt;=1,C40*F22*'数据-取费表'!B21/2,C40*(POWER((1+F22),'数据-取费表'!B21/2)-1)),4)</f>
        <v>8.9999999999999998E-4</v>
      </c>
      <c r="D44" s="238"/>
      <c r="E44" s="238"/>
      <c r="F44" s="239"/>
      <c r="G44" s="3683"/>
    </row>
    <row r="45" spans="1:7" s="214" customFormat="1" ht="13.5" customHeight="1">
      <c r="A45" s="776" t="s">
        <v>341</v>
      </c>
      <c r="B45" s="244" t="s">
        <v>85</v>
      </c>
      <c r="C45" s="245">
        <f>C46</f>
        <v>51</v>
      </c>
      <c r="D45" s="235">
        <f>C47</f>
        <v>6.0000000000000001E-3</v>
      </c>
      <c r="E45" s="236" t="s">
        <v>102</v>
      </c>
      <c r="F45" s="246"/>
      <c r="G45" s="247" t="s">
        <v>434</v>
      </c>
    </row>
    <row r="46" spans="1:7" s="214" customFormat="1" ht="13.5" customHeight="1">
      <c r="A46" s="779" t="s">
        <v>349</v>
      </c>
      <c r="B46" s="248" t="s">
        <v>427</v>
      </c>
      <c r="C46" s="249">
        <f>ROUND((C33+C39)*F27,0)</f>
        <v>51</v>
      </c>
      <c r="D46" s="263"/>
      <c r="E46" s="236"/>
      <c r="F46" s="246"/>
      <c r="G46" s="247"/>
    </row>
    <row r="47" spans="1:7" s="214" customFormat="1" ht="13.5" customHeight="1">
      <c r="A47" s="779" t="s">
        <v>347</v>
      </c>
      <c r="B47" s="248" t="s">
        <v>429</v>
      </c>
      <c r="C47" s="238">
        <f>ROUND(C40*F27,4)</f>
        <v>6.0000000000000001E-3</v>
      </c>
      <c r="D47" s="263"/>
      <c r="E47" s="236"/>
      <c r="F47" s="246"/>
      <c r="G47" s="247"/>
    </row>
    <row r="48" spans="1:7" s="214" customFormat="1" ht="13.5" customHeight="1">
      <c r="A48" s="776" t="s">
        <v>342</v>
      </c>
      <c r="B48" s="210" t="s">
        <v>95</v>
      </c>
      <c r="C48" s="262">
        <f>F30</f>
        <v>5.6000000000000001E-2</v>
      </c>
      <c r="D48" s="236" t="s">
        <v>103</v>
      </c>
      <c r="E48" s="232"/>
      <c r="F48" s="237"/>
      <c r="G48" s="234" t="s">
        <v>96</v>
      </c>
    </row>
    <row r="49" spans="1:7" ht="16.5" customHeight="1">
      <c r="A49" s="776" t="s">
        <v>343</v>
      </c>
      <c r="B49" s="210" t="s">
        <v>104</v>
      </c>
      <c r="C49" s="232">
        <f ca="1">ROUND((C33+C39+C41+C45)/(1-C40-D41-D45-C48/(1+'数据-取费表'!B42)),0)</f>
        <v>345</v>
      </c>
      <c r="D49" s="232"/>
      <c r="E49" s="232"/>
      <c r="F49" s="264"/>
      <c r="G49" s="234" t="s">
        <v>435</v>
      </c>
    </row>
    <row r="50" spans="1:7" s="258" customFormat="1" ht="24">
      <c r="A50" s="776" t="s">
        <v>344</v>
      </c>
      <c r="B50" s="210" t="s">
        <v>97</v>
      </c>
      <c r="C50" s="232"/>
      <c r="D50" s="232"/>
      <c r="E50" s="232"/>
      <c r="F50" s="264">
        <f>IF('数据-取费表'!B24=0,'数据-取费表'!N16,1)</f>
        <v>0.85</v>
      </c>
      <c r="G50" s="247" t="s">
        <v>98</v>
      </c>
    </row>
    <row r="51" spans="1:7" ht="16.5" customHeight="1">
      <c r="A51" s="776" t="s">
        <v>345</v>
      </c>
      <c r="B51" s="210" t="s">
        <v>105</v>
      </c>
      <c r="C51" s="232">
        <f ca="1">ROUND(C49*F50,0)</f>
        <v>293</v>
      </c>
      <c r="D51" s="232"/>
      <c r="E51" s="232"/>
      <c r="F51" s="264"/>
      <c r="G51" s="234" t="s">
        <v>37</v>
      </c>
    </row>
    <row r="52" spans="1:7" s="208" customFormat="1" ht="16.5" thickBot="1">
      <c r="A52" s="265" t="s">
        <v>38</v>
      </c>
      <c r="B52" s="266"/>
      <c r="C52" s="267">
        <f ca="1">C31+C51</f>
        <v>29710</v>
      </c>
      <c r="D52" s="266"/>
      <c r="E52" s="266"/>
      <c r="F52" s="266"/>
      <c r="G52" s="268"/>
    </row>
    <row r="55" spans="1:7" ht="15">
      <c r="B55" s="270" t="s">
        <v>39</v>
      </c>
      <c r="C55" s="271"/>
    </row>
    <row r="56" spans="1:7">
      <c r="B56" s="273" t="s">
        <v>40</v>
      </c>
      <c r="C56" s="274">
        <f ca="1">ROUND(C51/C52,3)</f>
        <v>0.01</v>
      </c>
    </row>
    <row r="57" spans="1:7">
      <c r="B57" s="273" t="s">
        <v>41</v>
      </c>
      <c r="C57" s="275">
        <f ca="1">1-C56</f>
        <v>0.99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817" t="s">
        <v>3181</v>
      </c>
      <c r="B1" s="3817"/>
    </row>
    <row r="2" spans="1:7" ht="14.25" thickBot="1">
      <c r="A2" s="3254"/>
      <c r="B2" s="3254"/>
    </row>
    <row r="3" spans="1:7" ht="14.25" thickBot="1">
      <c r="A3" s="3254"/>
      <c r="B3" s="3254"/>
      <c r="C3" s="3255" t="s">
        <v>2811</v>
      </c>
      <c r="D3" s="3255" t="s">
        <v>2867</v>
      </c>
      <c r="E3" s="3255" t="s">
        <v>2813</v>
      </c>
      <c r="F3" s="3255" t="s">
        <v>2868</v>
      </c>
      <c r="G3" s="3255" t="s">
        <v>2631</v>
      </c>
    </row>
    <row r="4" spans="1:7" ht="14.25" thickBot="1">
      <c r="A4" s="3256" t="s">
        <v>2866</v>
      </c>
      <c r="B4" s="3257" t="s">
        <v>2872</v>
      </c>
      <c r="C4" s="3255"/>
      <c r="D4" s="3255"/>
      <c r="E4" s="3255"/>
      <c r="F4" s="3255"/>
      <c r="G4" s="3255"/>
    </row>
    <row r="5" spans="1:7">
      <c r="A5" s="3258" t="s">
        <v>2840</v>
      </c>
      <c r="B5" s="3259" t="s">
        <v>2854</v>
      </c>
      <c r="C5" s="3260">
        <v>9.8000000000000004E-2</v>
      </c>
      <c r="D5" s="3260">
        <v>8.6999999999999994E-2</v>
      </c>
      <c r="E5" s="3260">
        <v>8.6999999999999994E-2</v>
      </c>
      <c r="F5" s="3260">
        <v>9.8000000000000004E-2</v>
      </c>
      <c r="G5" s="3261">
        <v>9.5000000000000001E-2</v>
      </c>
    </row>
    <row r="6" spans="1:7">
      <c r="A6" s="3262" t="s">
        <v>144</v>
      </c>
      <c r="B6" s="3263" t="s">
        <v>2869</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2855</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2905</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2923</v>
      </c>
      <c r="C29" s="3272"/>
      <c r="D29" s="3268">
        <v>5.1999999999999998E-2</v>
      </c>
      <c r="E29" s="3268">
        <v>7.0000000000000007E-2</v>
      </c>
      <c r="F29" s="3272"/>
      <c r="G29" s="3270">
        <v>7.0999999999999994E-2</v>
      </c>
    </row>
    <row r="30" spans="1:7">
      <c r="A30" s="3273" t="s">
        <v>296</v>
      </c>
      <c r="B30" s="3259" t="s">
        <v>2856</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2842</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2926</v>
      </c>
      <c r="C50" s="3264">
        <v>9.8000000000000004E-2</v>
      </c>
      <c r="D50" s="3264">
        <v>7.2999999999999995E-2</v>
      </c>
      <c r="E50" s="3264">
        <v>7.0999999999999994E-2</v>
      </c>
      <c r="F50" s="3275"/>
      <c r="G50" s="3265">
        <v>7.2999999999999995E-2</v>
      </c>
    </row>
    <row r="51" spans="1:7">
      <c r="A51" s="3274" t="s">
        <v>296</v>
      </c>
      <c r="B51" s="3263" t="s">
        <v>2928</v>
      </c>
      <c r="C51" s="3264">
        <v>9.9000000000000005E-2</v>
      </c>
      <c r="D51" s="3264">
        <v>8.5000000000000006E-2</v>
      </c>
      <c r="E51" s="3264">
        <v>6.3E-2</v>
      </c>
      <c r="F51" s="3275"/>
      <c r="G51" s="3265">
        <v>9.6000000000000002E-2</v>
      </c>
    </row>
    <row r="52" spans="1:7">
      <c r="A52" s="3274" t="s">
        <v>296</v>
      </c>
      <c r="B52" s="3263" t="s">
        <v>2932</v>
      </c>
      <c r="C52" s="3264">
        <v>7.3999999999999996E-2</v>
      </c>
      <c r="D52" s="3264">
        <v>9.6000000000000002E-2</v>
      </c>
      <c r="E52" s="3264">
        <v>0.05</v>
      </c>
      <c r="F52" s="3275"/>
      <c r="G52" s="3265">
        <v>9.8000000000000004E-2</v>
      </c>
    </row>
    <row r="53" spans="1:7">
      <c r="A53" s="3274" t="s">
        <v>296</v>
      </c>
      <c r="B53" s="3263" t="s">
        <v>2937</v>
      </c>
      <c r="C53" s="3264">
        <v>8.5999999999999993E-2</v>
      </c>
      <c r="D53" s="3275"/>
      <c r="E53" s="3264">
        <v>9.1999999999999998E-2</v>
      </c>
      <c r="F53" s="3275"/>
      <c r="G53" s="3276"/>
    </row>
    <row r="54" spans="1:7" ht="14.25" thickBot="1">
      <c r="A54" s="3277" t="s">
        <v>296</v>
      </c>
      <c r="B54" s="3267" t="s">
        <v>2940</v>
      </c>
      <c r="C54" s="3268">
        <v>9.6000000000000002E-2</v>
      </c>
      <c r="D54" s="3269"/>
      <c r="E54" s="3278"/>
      <c r="F54" s="3269"/>
      <c r="G54" s="3279"/>
    </row>
    <row r="55" spans="1:7">
      <c r="A55" s="3273" t="s">
        <v>110</v>
      </c>
      <c r="B55" s="3259" t="s">
        <v>2857</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2938</v>
      </c>
      <c r="C78" s="3264">
        <v>0.1</v>
      </c>
      <c r="D78" s="3264">
        <v>8.5000000000000006E-2</v>
      </c>
      <c r="E78" s="3264">
        <v>9.6000000000000002E-2</v>
      </c>
      <c r="F78" s="3275"/>
      <c r="G78" s="3265">
        <v>9.6000000000000002E-2</v>
      </c>
    </row>
    <row r="79" spans="1:7">
      <c r="A79" s="3274" t="s">
        <v>110</v>
      </c>
      <c r="B79" s="3263" t="s">
        <v>2941</v>
      </c>
      <c r="C79" s="3264">
        <v>0.05</v>
      </c>
      <c r="D79" s="3264">
        <v>9.6000000000000002E-2</v>
      </c>
      <c r="E79" s="3264">
        <v>9.5000000000000001E-2</v>
      </c>
      <c r="F79" s="3275"/>
      <c r="G79" s="3265">
        <v>9.8000000000000004E-2</v>
      </c>
    </row>
    <row r="80" spans="1:7">
      <c r="A80" s="3274" t="s">
        <v>110</v>
      </c>
      <c r="B80" s="3263" t="s">
        <v>2945</v>
      </c>
      <c r="C80" s="3264">
        <v>8.5999999999999993E-2</v>
      </c>
      <c r="D80" s="3280"/>
      <c r="E80" s="3264">
        <v>0.1</v>
      </c>
      <c r="F80" s="3275"/>
      <c r="G80" s="3276"/>
    </row>
    <row r="81" spans="1:7">
      <c r="A81" s="3274" t="s">
        <v>110</v>
      </c>
      <c r="B81" s="3263" t="s">
        <v>2950</v>
      </c>
      <c r="C81" s="3264">
        <v>9.6000000000000002E-2</v>
      </c>
      <c r="D81" s="3275"/>
      <c r="E81" s="3264">
        <v>9.8000000000000004E-2</v>
      </c>
      <c r="F81" s="3275"/>
      <c r="G81" s="3276"/>
    </row>
    <row r="82" spans="1:7">
      <c r="A82" s="3274" t="s">
        <v>110</v>
      </c>
      <c r="B82" s="3263" t="s">
        <v>2957</v>
      </c>
      <c r="C82" s="3280"/>
      <c r="D82" s="3275"/>
      <c r="E82" s="3264">
        <v>7.6999999999999999E-2</v>
      </c>
      <c r="F82" s="3275"/>
      <c r="G82" s="3276"/>
    </row>
    <row r="83" spans="1:7">
      <c r="A83" s="3274" t="s">
        <v>110</v>
      </c>
      <c r="B83" s="3263" t="s">
        <v>2963</v>
      </c>
      <c r="C83" s="3275"/>
      <c r="D83" s="3275"/>
      <c r="E83" s="3275"/>
      <c r="F83" s="3264">
        <v>0.1</v>
      </c>
      <c r="G83" s="3281"/>
    </row>
    <row r="84" spans="1:7">
      <c r="A84" s="3274" t="s">
        <v>110</v>
      </c>
      <c r="B84" s="3263" t="s">
        <v>2970</v>
      </c>
      <c r="C84" s="3275"/>
      <c r="D84" s="3275"/>
      <c r="E84" s="3275"/>
      <c r="F84" s="3264">
        <v>0.1</v>
      </c>
      <c r="G84" s="3281"/>
    </row>
    <row r="85" spans="1:7">
      <c r="A85" s="3274" t="s">
        <v>110</v>
      </c>
      <c r="B85" s="3263" t="s">
        <v>2977</v>
      </c>
      <c r="C85" s="3275"/>
      <c r="D85" s="3275"/>
      <c r="E85" s="3275"/>
      <c r="F85" s="3264">
        <v>0.1</v>
      </c>
      <c r="G85" s="3281"/>
    </row>
    <row r="86" spans="1:7" ht="14.25" thickBot="1">
      <c r="A86" s="3277" t="s">
        <v>110</v>
      </c>
      <c r="B86" s="3267" t="s">
        <v>2982</v>
      </c>
      <c r="C86" s="3268">
        <v>9.8000000000000004E-2</v>
      </c>
      <c r="D86" s="3268">
        <v>9.8000000000000004E-2</v>
      </c>
      <c r="E86" s="3268">
        <v>9.6000000000000002E-2</v>
      </c>
      <c r="F86" s="3278"/>
      <c r="G86" s="3270">
        <v>0.1</v>
      </c>
    </row>
    <row r="87" spans="1:7">
      <c r="A87" s="3273" t="s">
        <v>303</v>
      </c>
      <c r="B87" s="3259" t="s">
        <v>2858</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2951</v>
      </c>
      <c r="C113" s="3264">
        <v>0.1</v>
      </c>
      <c r="D113" s="3264">
        <v>0.1</v>
      </c>
      <c r="E113" s="3275"/>
      <c r="F113" s="3275"/>
      <c r="G113" s="3265">
        <v>0.1</v>
      </c>
    </row>
    <row r="114" spans="1:7">
      <c r="A114" s="3274" t="s">
        <v>303</v>
      </c>
      <c r="B114" s="3263" t="s">
        <v>2958</v>
      </c>
      <c r="C114" s="3264">
        <v>9.7000000000000003E-2</v>
      </c>
      <c r="D114" s="3264">
        <v>9.7000000000000003E-2</v>
      </c>
      <c r="E114" s="3275"/>
      <c r="F114" s="3275"/>
      <c r="G114" s="3265">
        <v>9.9000000000000005E-2</v>
      </c>
    </row>
    <row r="115" spans="1:7">
      <c r="A115" s="3274" t="s">
        <v>303</v>
      </c>
      <c r="B115" s="3263" t="s">
        <v>2964</v>
      </c>
      <c r="C115" s="3264">
        <v>0.1</v>
      </c>
      <c r="D115" s="3264">
        <v>0.1</v>
      </c>
      <c r="E115" s="3275"/>
      <c r="F115" s="3275"/>
      <c r="G115" s="3265">
        <v>0.1</v>
      </c>
    </row>
    <row r="116" spans="1:7">
      <c r="A116" s="3274" t="s">
        <v>303</v>
      </c>
      <c r="B116" s="3263" t="s">
        <v>2971</v>
      </c>
      <c r="C116" s="3264">
        <v>0.1</v>
      </c>
      <c r="D116" s="3264">
        <v>0.1</v>
      </c>
      <c r="E116" s="3275"/>
      <c r="F116" s="3275"/>
      <c r="G116" s="3265">
        <v>0.1</v>
      </c>
    </row>
    <row r="117" spans="1:7">
      <c r="A117" s="3274" t="s">
        <v>303</v>
      </c>
      <c r="B117" s="3263" t="s">
        <v>2978</v>
      </c>
      <c r="C117" s="3264">
        <v>9.7000000000000003E-2</v>
      </c>
      <c r="D117" s="3264">
        <v>9.7000000000000003E-2</v>
      </c>
      <c r="E117" s="3275"/>
      <c r="F117" s="3275"/>
      <c r="G117" s="3265">
        <v>9.7000000000000003E-2</v>
      </c>
    </row>
    <row r="118" spans="1:7">
      <c r="A118" s="3274" t="s">
        <v>303</v>
      </c>
      <c r="B118" s="3263" t="s">
        <v>2983</v>
      </c>
      <c r="C118" s="3264">
        <v>0.1</v>
      </c>
      <c r="D118" s="3264">
        <v>0.1</v>
      </c>
      <c r="E118" s="3275"/>
      <c r="F118" s="3275"/>
      <c r="G118" s="3265">
        <v>0.1</v>
      </c>
    </row>
    <row r="119" spans="1:7">
      <c r="A119" s="3274" t="s">
        <v>303</v>
      </c>
      <c r="B119" s="3263" t="s">
        <v>2987</v>
      </c>
      <c r="C119" s="3264">
        <v>5.0999999999999997E-2</v>
      </c>
      <c r="D119" s="3264">
        <v>5.1999999999999998E-2</v>
      </c>
      <c r="E119" s="3275"/>
      <c r="F119" s="3280"/>
      <c r="G119" s="3265">
        <v>0.06</v>
      </c>
    </row>
    <row r="120" spans="1:7">
      <c r="A120" s="3274" t="s">
        <v>303</v>
      </c>
      <c r="B120" s="3263" t="s">
        <v>2991</v>
      </c>
      <c r="C120" s="3275"/>
      <c r="D120" s="3275"/>
      <c r="E120" s="3275"/>
      <c r="F120" s="3264">
        <v>0.1</v>
      </c>
      <c r="G120" s="3281"/>
    </row>
    <row r="121" spans="1:7">
      <c r="A121" s="3274" t="s">
        <v>303</v>
      </c>
      <c r="B121" s="3263" t="s">
        <v>2996</v>
      </c>
      <c r="C121" s="3275"/>
      <c r="D121" s="3275"/>
      <c r="E121" s="3275"/>
      <c r="F121" s="3264">
        <v>0.1</v>
      </c>
      <c r="G121" s="3281"/>
    </row>
    <row r="122" spans="1:7">
      <c r="A122" s="3274" t="s">
        <v>303</v>
      </c>
      <c r="B122" s="3263" t="s">
        <v>3001</v>
      </c>
      <c r="C122" s="3264">
        <v>0.1</v>
      </c>
      <c r="D122" s="3264">
        <v>0.1</v>
      </c>
      <c r="E122" s="3264">
        <v>9.8000000000000004E-2</v>
      </c>
      <c r="F122" s="3264">
        <v>0.1</v>
      </c>
      <c r="G122" s="3265">
        <v>0.1</v>
      </c>
    </row>
    <row r="123" spans="1:7">
      <c r="A123" s="3274" t="s">
        <v>303</v>
      </c>
      <c r="B123" s="3263" t="s">
        <v>3006</v>
      </c>
      <c r="C123" s="3264">
        <v>0.1</v>
      </c>
      <c r="D123" s="3264">
        <v>0.1</v>
      </c>
      <c r="E123" s="3264">
        <v>9.8000000000000004E-2</v>
      </c>
      <c r="F123" s="3264">
        <v>0.1</v>
      </c>
      <c r="G123" s="3265">
        <v>0.1</v>
      </c>
    </row>
    <row r="124" spans="1:7">
      <c r="A124" s="3274" t="s">
        <v>303</v>
      </c>
      <c r="B124" s="3263" t="s">
        <v>3011</v>
      </c>
      <c r="C124" s="3264">
        <v>0.1</v>
      </c>
      <c r="D124" s="3264">
        <v>0.1</v>
      </c>
      <c r="E124" s="3264">
        <v>9.8000000000000004E-2</v>
      </c>
      <c r="F124" s="3280"/>
      <c r="G124" s="3265">
        <v>0.1</v>
      </c>
    </row>
    <row r="125" spans="1:7">
      <c r="A125" s="3274" t="s">
        <v>303</v>
      </c>
      <c r="B125" s="3263" t="s">
        <v>3016</v>
      </c>
      <c r="C125" s="3264">
        <v>9.8000000000000004E-2</v>
      </c>
      <c r="D125" s="3264">
        <v>9.8000000000000004E-2</v>
      </c>
      <c r="E125" s="3264">
        <v>9.6000000000000002E-2</v>
      </c>
      <c r="F125" s="3280"/>
      <c r="G125" s="3265">
        <v>0.1</v>
      </c>
    </row>
    <row r="126" spans="1:7" ht="14.25" thickBot="1">
      <c r="A126" s="3277" t="s">
        <v>303</v>
      </c>
      <c r="B126" s="3267" t="s">
        <v>3182</v>
      </c>
      <c r="C126" s="3268">
        <v>0.1</v>
      </c>
      <c r="D126" s="3268">
        <v>0.1</v>
      </c>
      <c r="E126" s="3268">
        <v>9.8000000000000004E-2</v>
      </c>
      <c r="F126" s="3268">
        <v>0.1</v>
      </c>
      <c r="G126" s="3270">
        <v>0.1</v>
      </c>
    </row>
    <row r="127" spans="1:7">
      <c r="A127" s="3273" t="s">
        <v>29</v>
      </c>
      <c r="B127" s="3259" t="s">
        <v>2859</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2929</v>
      </c>
      <c r="C148" s="3264">
        <v>0.13</v>
      </c>
      <c r="D148" s="3264">
        <v>0.13</v>
      </c>
      <c r="E148" s="3264">
        <v>0.13</v>
      </c>
      <c r="F148" s="3275"/>
      <c r="G148" s="3265">
        <v>0.13</v>
      </c>
    </row>
    <row r="149" spans="1:7">
      <c r="A149" s="3274" t="s">
        <v>29</v>
      </c>
      <c r="B149" s="3263" t="s">
        <v>2933</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2952</v>
      </c>
      <c r="C153" s="3264">
        <v>0.13</v>
      </c>
      <c r="D153" s="3264">
        <v>0.13</v>
      </c>
      <c r="E153" s="3264">
        <v>0.13</v>
      </c>
      <c r="F153" s="3264">
        <v>0.13</v>
      </c>
      <c r="G153" s="3265">
        <v>0.13</v>
      </c>
    </row>
    <row r="154" spans="1:7">
      <c r="A154" s="3274" t="s">
        <v>29</v>
      </c>
      <c r="B154" s="3263" t="s">
        <v>2959</v>
      </c>
      <c r="C154" s="3264">
        <v>0.121</v>
      </c>
      <c r="D154" s="3264">
        <v>0.121</v>
      </c>
      <c r="E154" s="3264">
        <v>0.105</v>
      </c>
      <c r="F154" s="3264">
        <v>0.121</v>
      </c>
      <c r="G154" s="3265">
        <v>0.123</v>
      </c>
    </row>
    <row r="155" spans="1:7">
      <c r="A155" s="3274" t="s">
        <v>29</v>
      </c>
      <c r="B155" s="3263" t="s">
        <v>2965</v>
      </c>
      <c r="C155" s="3264">
        <v>0.1</v>
      </c>
      <c r="D155" s="3264">
        <v>0.1</v>
      </c>
      <c r="E155" s="3264">
        <v>0.1</v>
      </c>
      <c r="F155" s="3264">
        <v>0.1</v>
      </c>
      <c r="G155" s="3265">
        <v>0.1</v>
      </c>
    </row>
    <row r="156" spans="1:7">
      <c r="A156" s="3274" t="s">
        <v>29</v>
      </c>
      <c r="B156" s="3263" t="s">
        <v>2972</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2992</v>
      </c>
      <c r="C160" s="3264">
        <v>0.13</v>
      </c>
      <c r="D160" s="3264">
        <v>0.13</v>
      </c>
      <c r="E160" s="3264">
        <v>0.124</v>
      </c>
      <c r="F160" s="3264">
        <v>0.126</v>
      </c>
      <c r="G160" s="3265">
        <v>0.13</v>
      </c>
    </row>
    <row r="161" spans="1:7">
      <c r="A161" s="3274" t="s">
        <v>29</v>
      </c>
      <c r="B161" s="3263" t="s">
        <v>2997</v>
      </c>
      <c r="C161" s="3264">
        <v>0.13</v>
      </c>
      <c r="D161" s="3264">
        <v>0.13</v>
      </c>
      <c r="E161" s="3264">
        <v>0.124</v>
      </c>
      <c r="F161" s="3264">
        <v>0.127</v>
      </c>
      <c r="G161" s="3265">
        <v>0.13</v>
      </c>
    </row>
    <row r="162" spans="1:7">
      <c r="A162" s="3274" t="s">
        <v>29</v>
      </c>
      <c r="B162" s="3263" t="s">
        <v>3002</v>
      </c>
      <c r="C162" s="3264">
        <v>0.1</v>
      </c>
      <c r="D162" s="3264">
        <v>0.1</v>
      </c>
      <c r="E162" s="3264">
        <v>0.1</v>
      </c>
      <c r="F162" s="3264">
        <v>0.121</v>
      </c>
      <c r="G162" s="3265">
        <v>0.105</v>
      </c>
    </row>
    <row r="163" spans="1:7">
      <c r="A163" s="3274" t="s">
        <v>29</v>
      </c>
      <c r="B163" s="3263" t="s">
        <v>3007</v>
      </c>
      <c r="C163" s="3264">
        <v>0.1</v>
      </c>
      <c r="D163" s="3264">
        <v>0.1</v>
      </c>
      <c r="E163" s="3264">
        <v>0.1</v>
      </c>
      <c r="F163" s="3264">
        <v>0.1</v>
      </c>
      <c r="G163" s="3265">
        <v>0.1</v>
      </c>
    </row>
    <row r="164" spans="1:7">
      <c r="A164" s="3274" t="s">
        <v>29</v>
      </c>
      <c r="B164" s="3263" t="s">
        <v>3012</v>
      </c>
      <c r="C164" s="3280"/>
      <c r="D164" s="3280"/>
      <c r="E164" s="3280"/>
      <c r="F164" s="3264">
        <v>0.1</v>
      </c>
      <c r="G164" s="3276"/>
    </row>
    <row r="165" spans="1:7">
      <c r="A165" s="3274" t="s">
        <v>29</v>
      </c>
      <c r="B165" s="3263" t="s">
        <v>3183</v>
      </c>
      <c r="C165" s="3264">
        <v>0.126</v>
      </c>
      <c r="D165" s="3264">
        <v>0.126</v>
      </c>
      <c r="E165" s="3264">
        <v>0.11899999999999999</v>
      </c>
      <c r="F165" s="3264">
        <v>0.13</v>
      </c>
      <c r="G165" s="3265">
        <v>0.128</v>
      </c>
    </row>
    <row r="166" spans="1:7">
      <c r="A166" s="3274" t="s">
        <v>29</v>
      </c>
      <c r="B166" s="3263" t="s">
        <v>3022</v>
      </c>
      <c r="C166" s="3264">
        <v>0.129</v>
      </c>
      <c r="D166" s="3264">
        <v>0.129</v>
      </c>
      <c r="E166" s="3264">
        <v>0.123</v>
      </c>
      <c r="F166" s="3264">
        <v>0.128</v>
      </c>
      <c r="G166" s="3265">
        <v>0.13</v>
      </c>
    </row>
    <row r="167" spans="1:7">
      <c r="A167" s="3274" t="s">
        <v>29</v>
      </c>
      <c r="B167" s="3263" t="s">
        <v>3026</v>
      </c>
      <c r="C167" s="3264">
        <v>0.125</v>
      </c>
      <c r="D167" s="3264">
        <v>0.125</v>
      </c>
      <c r="E167" s="3264">
        <v>0.11700000000000001</v>
      </c>
      <c r="F167" s="3264">
        <v>0.13</v>
      </c>
      <c r="G167" s="3265">
        <v>0.126</v>
      </c>
    </row>
    <row r="168" spans="1:7">
      <c r="A168" s="3274" t="s">
        <v>29</v>
      </c>
      <c r="B168" s="3263" t="s">
        <v>3031</v>
      </c>
      <c r="C168" s="3264">
        <v>0.128</v>
      </c>
      <c r="D168" s="3264">
        <v>0.128</v>
      </c>
      <c r="E168" s="3264">
        <v>0.123</v>
      </c>
      <c r="F168" s="3275"/>
      <c r="G168" s="3265">
        <v>0.13</v>
      </c>
    </row>
    <row r="169" spans="1:7">
      <c r="A169" s="3274" t="s">
        <v>29</v>
      </c>
      <c r="B169" s="3263" t="s">
        <v>3184</v>
      </c>
      <c r="C169" s="3280"/>
      <c r="D169" s="3280"/>
      <c r="E169" s="3280"/>
      <c r="F169" s="3264">
        <v>0.05</v>
      </c>
      <c r="G169" s="3276"/>
    </row>
    <row r="170" spans="1:7">
      <c r="A170" s="3274" t="s">
        <v>29</v>
      </c>
      <c r="B170" s="3263" t="s">
        <v>3185</v>
      </c>
      <c r="C170" s="3280"/>
      <c r="D170" s="3280"/>
      <c r="E170" s="3280"/>
      <c r="F170" s="3264">
        <v>0.05</v>
      </c>
      <c r="G170" s="3276"/>
    </row>
    <row r="171" spans="1:7">
      <c r="A171" s="3274" t="s">
        <v>29</v>
      </c>
      <c r="B171" s="3263" t="s">
        <v>3186</v>
      </c>
      <c r="C171" s="3280"/>
      <c r="D171" s="3280"/>
      <c r="E171" s="3280"/>
      <c r="F171" s="3264">
        <v>0.05</v>
      </c>
      <c r="G171" s="3281"/>
    </row>
    <row r="172" spans="1:7">
      <c r="A172" s="3274" t="s">
        <v>29</v>
      </c>
      <c r="B172" s="3263" t="s">
        <v>3187</v>
      </c>
      <c r="C172" s="3280"/>
      <c r="D172" s="3280"/>
      <c r="E172" s="3280"/>
      <c r="F172" s="3264">
        <v>0.05</v>
      </c>
      <c r="G172" s="3281"/>
    </row>
    <row r="173" spans="1:7">
      <c r="A173" s="3274" t="s">
        <v>29</v>
      </c>
      <c r="B173" s="3263" t="s">
        <v>3188</v>
      </c>
      <c r="C173" s="3280"/>
      <c r="D173" s="3280"/>
      <c r="E173" s="3280"/>
      <c r="F173" s="3264">
        <v>0.05</v>
      </c>
      <c r="G173" s="3276"/>
    </row>
    <row r="174" spans="1:7">
      <c r="A174" s="3274" t="s">
        <v>29</v>
      </c>
      <c r="B174" s="3263" t="s">
        <v>3189</v>
      </c>
      <c r="C174" s="3280"/>
      <c r="D174" s="3280"/>
      <c r="E174" s="3280"/>
      <c r="F174" s="3264">
        <v>0.05</v>
      </c>
      <c r="G174" s="3276"/>
    </row>
    <row r="175" spans="1:7">
      <c r="A175" s="3274" t="s">
        <v>29</v>
      </c>
      <c r="B175" s="3263" t="s">
        <v>3190</v>
      </c>
      <c r="C175" s="3280"/>
      <c r="D175" s="3280"/>
      <c r="E175" s="3280"/>
      <c r="F175" s="3264">
        <v>0.05</v>
      </c>
      <c r="G175" s="3276"/>
    </row>
    <row r="176" spans="1:7">
      <c r="A176" s="3274" t="s">
        <v>29</v>
      </c>
      <c r="B176" s="3263" t="s">
        <v>3191</v>
      </c>
      <c r="C176" s="3280"/>
      <c r="D176" s="3280"/>
      <c r="E176" s="3280"/>
      <c r="F176" s="3264">
        <v>0.05</v>
      </c>
      <c r="G176" s="3276"/>
    </row>
    <row r="177" spans="1:7">
      <c r="A177" s="3274" t="s">
        <v>29</v>
      </c>
      <c r="B177" s="3263" t="s">
        <v>3192</v>
      </c>
      <c r="C177" s="3275"/>
      <c r="D177" s="3275"/>
      <c r="E177" s="3275"/>
      <c r="F177" s="3264">
        <v>0.05</v>
      </c>
      <c r="G177" s="3281"/>
    </row>
    <row r="178" spans="1:7">
      <c r="A178" s="3274" t="s">
        <v>29</v>
      </c>
      <c r="B178" s="3263" t="s">
        <v>3193</v>
      </c>
      <c r="C178" s="3275"/>
      <c r="D178" s="3275"/>
      <c r="E178" s="3275"/>
      <c r="F178" s="3264">
        <v>0.05</v>
      </c>
      <c r="G178" s="3281"/>
    </row>
    <row r="179" spans="1:7">
      <c r="A179" s="3274" t="s">
        <v>29</v>
      </c>
      <c r="B179" s="3263" t="s">
        <v>3194</v>
      </c>
      <c r="C179" s="3275"/>
      <c r="D179" s="3275"/>
      <c r="E179" s="3275"/>
      <c r="F179" s="3264">
        <v>0.05</v>
      </c>
      <c r="G179" s="3281"/>
    </row>
    <row r="180" spans="1:7">
      <c r="A180" s="3274" t="s">
        <v>29</v>
      </c>
      <c r="B180" s="3263" t="s">
        <v>3195</v>
      </c>
      <c r="C180" s="3275"/>
      <c r="D180" s="3275"/>
      <c r="E180" s="3275"/>
      <c r="F180" s="3264">
        <v>0.05</v>
      </c>
      <c r="G180" s="3281"/>
    </row>
    <row r="181" spans="1:7">
      <c r="A181" s="3274" t="s">
        <v>29</v>
      </c>
      <c r="B181" s="3263" t="s">
        <v>3196</v>
      </c>
      <c r="C181" s="3275"/>
      <c r="D181" s="3275"/>
      <c r="E181" s="3275"/>
      <c r="F181" s="3264">
        <v>0.05</v>
      </c>
      <c r="G181" s="3281"/>
    </row>
    <row r="182" spans="1:7">
      <c r="A182" s="3274" t="s">
        <v>29</v>
      </c>
      <c r="B182" s="3263" t="s">
        <v>3197</v>
      </c>
      <c r="C182" s="3275"/>
      <c r="D182" s="3275"/>
      <c r="E182" s="3275"/>
      <c r="F182" s="3264">
        <v>0.05</v>
      </c>
      <c r="G182" s="3281"/>
    </row>
    <row r="183" spans="1:7">
      <c r="A183" s="3274" t="s">
        <v>29</v>
      </c>
      <c r="B183" s="3263" t="s">
        <v>3198</v>
      </c>
      <c r="C183" s="3275"/>
      <c r="D183" s="3275"/>
      <c r="E183" s="3275"/>
      <c r="F183" s="3264">
        <v>0.05</v>
      </c>
      <c r="G183" s="3281"/>
    </row>
    <row r="184" spans="1:7">
      <c r="A184" s="3274" t="s">
        <v>29</v>
      </c>
      <c r="B184" s="3263" t="s">
        <v>3199</v>
      </c>
      <c r="C184" s="3275"/>
      <c r="D184" s="3275"/>
      <c r="E184" s="3275"/>
      <c r="F184" s="3264">
        <v>0.05</v>
      </c>
      <c r="G184" s="3281"/>
    </row>
    <row r="185" spans="1:7">
      <c r="A185" s="3274" t="s">
        <v>29</v>
      </c>
      <c r="B185" s="3263" t="s">
        <v>3200</v>
      </c>
      <c r="C185" s="3275"/>
      <c r="D185" s="3275"/>
      <c r="E185" s="3275"/>
      <c r="F185" s="3264">
        <v>0.05</v>
      </c>
      <c r="G185" s="3281"/>
    </row>
    <row r="186" spans="1:7">
      <c r="A186" s="3274" t="s">
        <v>29</v>
      </c>
      <c r="B186" s="3263" t="s">
        <v>3201</v>
      </c>
      <c r="C186" s="3275"/>
      <c r="D186" s="3275"/>
      <c r="E186" s="3275"/>
      <c r="F186" s="3264">
        <v>0.05</v>
      </c>
      <c r="G186" s="3281"/>
    </row>
    <row r="187" spans="1:7">
      <c r="A187" s="3274" t="s">
        <v>29</v>
      </c>
      <c r="B187" s="3263" t="s">
        <v>3202</v>
      </c>
      <c r="C187" s="3275"/>
      <c r="D187" s="3275"/>
      <c r="E187" s="3275"/>
      <c r="F187" s="3264">
        <v>0.05</v>
      </c>
      <c r="G187" s="3281"/>
    </row>
    <row r="188" spans="1:7">
      <c r="A188" s="3274" t="s">
        <v>29</v>
      </c>
      <c r="B188" s="3263" t="s">
        <v>3203</v>
      </c>
      <c r="C188" s="3275"/>
      <c r="D188" s="3275"/>
      <c r="E188" s="3275"/>
      <c r="F188" s="3264">
        <v>0.05</v>
      </c>
      <c r="G188" s="3281"/>
    </row>
    <row r="189" spans="1:7" ht="14.25" thickBot="1">
      <c r="A189" s="3277" t="s">
        <v>29</v>
      </c>
      <c r="B189" s="3267" t="s">
        <v>3204</v>
      </c>
      <c r="C189" s="3269"/>
      <c r="D189" s="3269"/>
      <c r="E189" s="3269"/>
      <c r="F189" s="3268">
        <v>0.05</v>
      </c>
      <c r="G189" s="3282"/>
    </row>
    <row r="190" spans="1:7">
      <c r="A190" s="3273" t="s">
        <v>304</v>
      </c>
      <c r="B190" s="3259" t="s">
        <v>2860</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2896</v>
      </c>
      <c r="C199" s="3264">
        <v>0.13</v>
      </c>
      <c r="D199" s="3264">
        <v>0.13</v>
      </c>
      <c r="E199" s="3264">
        <v>0.13</v>
      </c>
      <c r="F199" s="3264">
        <v>0.13</v>
      </c>
      <c r="G199" s="3265">
        <v>0.13</v>
      </c>
    </row>
    <row r="200" spans="1:7">
      <c r="A200" s="3274" t="s">
        <v>304</v>
      </c>
      <c r="B200" s="3263" t="s">
        <v>2899</v>
      </c>
      <c r="C200" s="3280"/>
      <c r="D200" s="3280"/>
      <c r="E200" s="3280"/>
      <c r="F200" s="3264">
        <v>0.13</v>
      </c>
      <c r="G200" s="3276"/>
    </row>
    <row r="201" spans="1:7">
      <c r="A201" s="3274" t="s">
        <v>304</v>
      </c>
      <c r="B201" s="3263" t="s">
        <v>2904</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2907</v>
      </c>
      <c r="C203" s="3264">
        <v>0.129</v>
      </c>
      <c r="D203" s="3264">
        <v>0.129</v>
      </c>
      <c r="E203" s="3264">
        <v>0.13</v>
      </c>
      <c r="F203" s="3264">
        <v>0.13</v>
      </c>
      <c r="G203" s="3265">
        <v>0.13</v>
      </c>
    </row>
    <row r="204" spans="1:7">
      <c r="A204" s="3274" t="s">
        <v>304</v>
      </c>
      <c r="B204" s="3263" t="s">
        <v>2910</v>
      </c>
      <c r="C204" s="3264">
        <v>0.129</v>
      </c>
      <c r="D204" s="3264">
        <v>0.129</v>
      </c>
      <c r="E204" s="3264">
        <v>0.123</v>
      </c>
      <c r="F204" s="3264">
        <v>0.13</v>
      </c>
      <c r="G204" s="3265">
        <v>0.13</v>
      </c>
    </row>
    <row r="205" spans="1:7">
      <c r="A205" s="3274" t="s">
        <v>304</v>
      </c>
      <c r="B205" s="3263" t="s">
        <v>2912</v>
      </c>
      <c r="C205" s="3264">
        <v>0.13</v>
      </c>
      <c r="D205" s="3264">
        <v>0.13</v>
      </c>
      <c r="E205" s="3264">
        <v>0.13</v>
      </c>
      <c r="F205" s="3264">
        <v>0.13</v>
      </c>
      <c r="G205" s="3265">
        <v>0.13</v>
      </c>
    </row>
    <row r="206" spans="1:7">
      <c r="A206" s="3274" t="s">
        <v>304</v>
      </c>
      <c r="B206" s="3263" t="s">
        <v>2915</v>
      </c>
      <c r="C206" s="3264">
        <v>0.13</v>
      </c>
      <c r="D206" s="3264">
        <v>0.13</v>
      </c>
      <c r="E206" s="3264">
        <v>0.13</v>
      </c>
      <c r="F206" s="3264">
        <v>0.128</v>
      </c>
      <c r="G206" s="3265">
        <v>0.13</v>
      </c>
    </row>
    <row r="207" spans="1:7">
      <c r="A207" s="3274" t="s">
        <v>304</v>
      </c>
      <c r="B207" s="3263" t="s">
        <v>2917</v>
      </c>
      <c r="C207" s="3264">
        <v>0.13</v>
      </c>
      <c r="D207" s="3264">
        <v>0.13</v>
      </c>
      <c r="E207" s="3264">
        <v>0.13</v>
      </c>
      <c r="F207" s="3264">
        <v>0.13</v>
      </c>
      <c r="G207" s="3265">
        <v>0.13</v>
      </c>
    </row>
    <row r="208" spans="1:7">
      <c r="A208" s="3274" t="s">
        <v>304</v>
      </c>
      <c r="B208" s="3263" t="s">
        <v>2920</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2927</v>
      </c>
      <c r="C210" s="3264">
        <v>0.121</v>
      </c>
      <c r="D210" s="3264">
        <v>0.121</v>
      </c>
      <c r="E210" s="3264">
        <v>0.125</v>
      </c>
      <c r="F210" s="3264">
        <v>0.13</v>
      </c>
      <c r="G210" s="3265">
        <v>0.123</v>
      </c>
    </row>
    <row r="211" spans="1:7">
      <c r="A211" s="3274" t="s">
        <v>304</v>
      </c>
      <c r="B211" s="3263" t="s">
        <v>2930</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2942</v>
      </c>
      <c r="C214" s="3264">
        <v>0.128</v>
      </c>
      <c r="D214" s="3264">
        <v>0.128</v>
      </c>
      <c r="E214" s="3264">
        <v>0.13</v>
      </c>
      <c r="F214" s="3264">
        <v>0.13</v>
      </c>
      <c r="G214" s="3265">
        <v>0.13</v>
      </c>
    </row>
    <row r="215" spans="1:7">
      <c r="A215" s="3274" t="s">
        <v>304</v>
      </c>
      <c r="B215" s="3263" t="s">
        <v>2946</v>
      </c>
      <c r="C215" s="3264">
        <v>0.13</v>
      </c>
      <c r="D215" s="3264">
        <v>0.13</v>
      </c>
      <c r="E215" s="3264">
        <v>0.13</v>
      </c>
      <c r="F215" s="3264">
        <v>0.129</v>
      </c>
      <c r="G215" s="3265">
        <v>0.13</v>
      </c>
    </row>
    <row r="216" spans="1:7">
      <c r="A216" s="3274" t="s">
        <v>304</v>
      </c>
      <c r="B216" s="3263" t="s">
        <v>2953</v>
      </c>
      <c r="C216" s="3264">
        <v>0.13</v>
      </c>
      <c r="D216" s="3264">
        <v>0.13</v>
      </c>
      <c r="E216" s="3264">
        <v>0.13</v>
      </c>
      <c r="F216" s="3264">
        <v>0.13</v>
      </c>
      <c r="G216" s="3265">
        <v>0.13</v>
      </c>
    </row>
    <row r="217" spans="1:7">
      <c r="A217" s="3274" t="s">
        <v>304</v>
      </c>
      <c r="B217" s="3263" t="s">
        <v>2960</v>
      </c>
      <c r="C217" s="3264">
        <v>0.129</v>
      </c>
      <c r="D217" s="3264">
        <v>0.129</v>
      </c>
      <c r="E217" s="3264">
        <v>0.13</v>
      </c>
      <c r="F217" s="3264">
        <v>0.13</v>
      </c>
      <c r="G217" s="3265">
        <v>0.13</v>
      </c>
    </row>
    <row r="218" spans="1:7">
      <c r="A218" s="3274" t="s">
        <v>304</v>
      </c>
      <c r="B218" s="3263" t="s">
        <v>2966</v>
      </c>
      <c r="C218" s="3275"/>
      <c r="D218" s="3275"/>
      <c r="E218" s="3275"/>
      <c r="F218" s="3264">
        <v>0.05</v>
      </c>
      <c r="G218" s="3281"/>
    </row>
    <row r="219" spans="1:7">
      <c r="A219" s="3274" t="s">
        <v>304</v>
      </c>
      <c r="B219" s="3263" t="s">
        <v>2973</v>
      </c>
      <c r="C219" s="3275"/>
      <c r="D219" s="3275"/>
      <c r="E219" s="3275"/>
      <c r="F219" s="3264">
        <v>0.05</v>
      </c>
      <c r="G219" s="3281"/>
    </row>
    <row r="220" spans="1:7">
      <c r="A220" s="3274" t="s">
        <v>304</v>
      </c>
      <c r="B220" s="3263" t="s">
        <v>2979</v>
      </c>
      <c r="C220" s="3275"/>
      <c r="D220" s="3275"/>
      <c r="E220" s="3275"/>
      <c r="F220" s="3264">
        <v>0.05</v>
      </c>
      <c r="G220" s="3281"/>
    </row>
    <row r="221" spans="1:7">
      <c r="A221" s="3274" t="s">
        <v>304</v>
      </c>
      <c r="B221" s="3263" t="s">
        <v>2984</v>
      </c>
      <c r="C221" s="3275"/>
      <c r="D221" s="3275"/>
      <c r="E221" s="3275"/>
      <c r="F221" s="3264">
        <v>0.05</v>
      </c>
      <c r="G221" s="3281"/>
    </row>
    <row r="222" spans="1:7">
      <c r="A222" s="3274" t="s">
        <v>304</v>
      </c>
      <c r="B222" s="3263" t="s">
        <v>2988</v>
      </c>
      <c r="C222" s="3275"/>
      <c r="D222" s="3275"/>
      <c r="E222" s="3275"/>
      <c r="F222" s="3264">
        <v>0.05</v>
      </c>
      <c r="G222" s="3281"/>
    </row>
    <row r="223" spans="1:7">
      <c r="A223" s="3274" t="s">
        <v>304</v>
      </c>
      <c r="B223" s="3263" t="s">
        <v>2993</v>
      </c>
      <c r="C223" s="3275"/>
      <c r="D223" s="3275"/>
      <c r="E223" s="3275"/>
      <c r="F223" s="3264">
        <v>0.05</v>
      </c>
      <c r="G223" s="3281"/>
    </row>
    <row r="224" spans="1:7">
      <c r="A224" s="3274" t="s">
        <v>304</v>
      </c>
      <c r="B224" s="3263" t="s">
        <v>2998</v>
      </c>
      <c r="C224" s="3275"/>
      <c r="D224" s="3275"/>
      <c r="E224" s="3275"/>
      <c r="F224" s="3264">
        <v>0.05</v>
      </c>
      <c r="G224" s="3281"/>
    </row>
    <row r="225" spans="1:7">
      <c r="A225" s="3274" t="s">
        <v>304</v>
      </c>
      <c r="B225" s="3263" t="s">
        <v>3003</v>
      </c>
      <c r="C225" s="3275"/>
      <c r="D225" s="3275"/>
      <c r="E225" s="3275"/>
      <c r="F225" s="3264">
        <v>0.05</v>
      </c>
      <c r="G225" s="3281"/>
    </row>
    <row r="226" spans="1:7">
      <c r="A226" s="3274" t="s">
        <v>304</v>
      </c>
      <c r="B226" s="3263" t="s">
        <v>3205</v>
      </c>
      <c r="C226" s="3275"/>
      <c r="D226" s="3275"/>
      <c r="E226" s="3275"/>
      <c r="F226" s="3264">
        <v>0.05</v>
      </c>
      <c r="G226" s="3281"/>
    </row>
    <row r="227" spans="1:7">
      <c r="A227" s="3274" t="s">
        <v>304</v>
      </c>
      <c r="B227" s="3263" t="s">
        <v>3206</v>
      </c>
      <c r="C227" s="3275"/>
      <c r="D227" s="3275"/>
      <c r="E227" s="3275"/>
      <c r="F227" s="3264">
        <v>0.05</v>
      </c>
      <c r="G227" s="3281"/>
    </row>
    <row r="228" spans="1:7">
      <c r="A228" s="3274" t="s">
        <v>304</v>
      </c>
      <c r="B228" s="3263" t="s">
        <v>3207</v>
      </c>
      <c r="C228" s="3275"/>
      <c r="D228" s="3275"/>
      <c r="E228" s="3275"/>
      <c r="F228" s="3264">
        <v>0.05</v>
      </c>
      <c r="G228" s="3281"/>
    </row>
    <row r="229" spans="1:7">
      <c r="A229" s="3274" t="s">
        <v>304</v>
      </c>
      <c r="B229" s="3263" t="s">
        <v>3208</v>
      </c>
      <c r="C229" s="3275"/>
      <c r="D229" s="3275"/>
      <c r="E229" s="3275"/>
      <c r="F229" s="3264">
        <v>0.05</v>
      </c>
      <c r="G229" s="3281"/>
    </row>
    <row r="230" spans="1:7">
      <c r="A230" s="3274" t="s">
        <v>304</v>
      </c>
      <c r="B230" s="3263" t="s">
        <v>3209</v>
      </c>
      <c r="C230" s="3275"/>
      <c r="D230" s="3275"/>
      <c r="E230" s="3275"/>
      <c r="F230" s="3264">
        <v>0.05</v>
      </c>
      <c r="G230" s="3281"/>
    </row>
    <row r="231" spans="1:7">
      <c r="A231" s="3274" t="s">
        <v>304</v>
      </c>
      <c r="B231" s="3263" t="s">
        <v>3210</v>
      </c>
      <c r="C231" s="3275"/>
      <c r="D231" s="3275"/>
      <c r="E231" s="3275"/>
      <c r="F231" s="3264">
        <v>0.05</v>
      </c>
      <c r="G231" s="3281"/>
    </row>
    <row r="232" spans="1:7">
      <c r="A232" s="3274" t="s">
        <v>304</v>
      </c>
      <c r="B232" s="3263" t="s">
        <v>3211</v>
      </c>
      <c r="C232" s="3275"/>
      <c r="D232" s="3275"/>
      <c r="E232" s="3275"/>
      <c r="F232" s="3264">
        <v>0.05</v>
      </c>
      <c r="G232" s="3281"/>
    </row>
    <row r="233" spans="1:7" ht="14.25" thickBot="1">
      <c r="A233" s="3277" t="s">
        <v>304</v>
      </c>
      <c r="B233" s="3267" t="s">
        <v>3212</v>
      </c>
      <c r="C233" s="3269"/>
      <c r="D233" s="3269"/>
      <c r="E233" s="3269"/>
      <c r="F233" s="3268">
        <v>0.05</v>
      </c>
      <c r="G233" s="3282"/>
    </row>
    <row r="234" spans="1:7">
      <c r="A234" s="3273" t="s">
        <v>305</v>
      </c>
      <c r="B234" s="3259" t="s">
        <v>2861</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2881</v>
      </c>
      <c r="C238" s="3264">
        <v>0.14899999999999999</v>
      </c>
      <c r="D238" s="3264">
        <v>0.14899999999999999</v>
      </c>
      <c r="E238" s="3264">
        <v>0.15</v>
      </c>
      <c r="F238" s="3264">
        <v>0.15</v>
      </c>
      <c r="G238" s="3265">
        <v>0.15</v>
      </c>
    </row>
    <row r="239" spans="1:7">
      <c r="A239" s="3274" t="s">
        <v>305</v>
      </c>
      <c r="B239" s="3263" t="s">
        <v>2885</v>
      </c>
      <c r="C239" s="3264">
        <v>0.15</v>
      </c>
      <c r="D239" s="3264">
        <v>0.15</v>
      </c>
      <c r="E239" s="3264">
        <v>0.15</v>
      </c>
      <c r="F239" s="3264">
        <v>0.15</v>
      </c>
      <c r="G239" s="3265">
        <v>0.15</v>
      </c>
    </row>
    <row r="240" spans="1:7">
      <c r="A240" s="3274" t="s">
        <v>305</v>
      </c>
      <c r="B240" s="3263" t="s">
        <v>2890</v>
      </c>
      <c r="C240" s="3264">
        <v>0.15</v>
      </c>
      <c r="D240" s="3264">
        <v>0.15</v>
      </c>
      <c r="E240" s="3264">
        <v>0.15</v>
      </c>
      <c r="F240" s="3264">
        <v>0.15</v>
      </c>
      <c r="G240" s="3265">
        <v>0.15</v>
      </c>
    </row>
    <row r="241" spans="1:7">
      <c r="A241" s="3274" t="s">
        <v>305</v>
      </c>
      <c r="B241" s="3263" t="s">
        <v>2894</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2900</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2908</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2913</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2921</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2934</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2943</v>
      </c>
      <c r="C258" s="3264">
        <v>0.14299999999999999</v>
      </c>
      <c r="D258" s="3264">
        <v>0.14299999999999999</v>
      </c>
      <c r="E258" s="3264">
        <v>0.15</v>
      </c>
      <c r="F258" s="3264">
        <v>0.14799999999999999</v>
      </c>
      <c r="G258" s="3265">
        <v>0.14599999999999999</v>
      </c>
    </row>
    <row r="259" spans="1:7">
      <c r="A259" s="3274" t="s">
        <v>305</v>
      </c>
      <c r="B259" s="3263" t="s">
        <v>2947</v>
      </c>
      <c r="C259" s="3264">
        <v>0.14399999999999999</v>
      </c>
      <c r="D259" s="3264">
        <v>0.14399999999999999</v>
      </c>
      <c r="E259" s="3264">
        <v>0.14899999999999999</v>
      </c>
      <c r="F259" s="3264">
        <v>0.14699999999999999</v>
      </c>
      <c r="G259" s="3265">
        <v>0.14599999999999999</v>
      </c>
    </row>
    <row r="260" spans="1:7">
      <c r="A260" s="3274" t="s">
        <v>305</v>
      </c>
      <c r="B260" s="3263" t="s">
        <v>2954</v>
      </c>
      <c r="C260" s="3264">
        <v>0.109</v>
      </c>
      <c r="D260" s="3264">
        <v>0.111</v>
      </c>
      <c r="E260" s="3264">
        <v>0.13100000000000001</v>
      </c>
      <c r="F260" s="3264">
        <v>0.126</v>
      </c>
      <c r="G260" s="3265">
        <v>0.11899999999999999</v>
      </c>
    </row>
    <row r="261" spans="1:7">
      <c r="A261" s="3274" t="s">
        <v>305</v>
      </c>
      <c r="B261" s="3263" t="s">
        <v>2961</v>
      </c>
      <c r="C261" s="3264">
        <v>0.1</v>
      </c>
      <c r="D261" s="3264">
        <v>0.1</v>
      </c>
      <c r="E261" s="3264">
        <v>0.11799999999999999</v>
      </c>
      <c r="F261" s="3264">
        <v>0.108</v>
      </c>
      <c r="G261" s="3265">
        <v>0.107</v>
      </c>
    </row>
    <row r="262" spans="1:7">
      <c r="A262" s="3274" t="s">
        <v>305</v>
      </c>
      <c r="B262" s="3263" t="s">
        <v>2967</v>
      </c>
      <c r="C262" s="3264">
        <v>0.1</v>
      </c>
      <c r="D262" s="3264">
        <v>0.1</v>
      </c>
      <c r="E262" s="3264">
        <v>0.1</v>
      </c>
      <c r="F262" s="3264">
        <v>0.14099999999999999</v>
      </c>
      <c r="G262" s="3265">
        <v>0.1</v>
      </c>
    </row>
    <row r="263" spans="1:7">
      <c r="A263" s="3274" t="s">
        <v>305</v>
      </c>
      <c r="B263" s="3263" t="s">
        <v>2974</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2985</v>
      </c>
      <c r="C265" s="3275"/>
      <c r="D265" s="3275"/>
      <c r="E265" s="3275"/>
      <c r="F265" s="3264">
        <v>0.05</v>
      </c>
      <c r="G265" s="3281"/>
    </row>
    <row r="266" spans="1:7">
      <c r="A266" s="3274" t="s">
        <v>305</v>
      </c>
      <c r="B266" s="3263" t="s">
        <v>2989</v>
      </c>
      <c r="C266" s="3275"/>
      <c r="D266" s="3275"/>
      <c r="E266" s="3275"/>
      <c r="F266" s="3264">
        <v>0.05</v>
      </c>
      <c r="G266" s="3281"/>
    </row>
    <row r="267" spans="1:7">
      <c r="A267" s="3274" t="s">
        <v>305</v>
      </c>
      <c r="B267" s="3263" t="s">
        <v>2994</v>
      </c>
      <c r="C267" s="3275"/>
      <c r="D267" s="3275"/>
      <c r="E267" s="3275"/>
      <c r="F267" s="3264">
        <v>0.05</v>
      </c>
      <c r="G267" s="3281"/>
    </row>
    <row r="268" spans="1:7">
      <c r="A268" s="3274" t="s">
        <v>305</v>
      </c>
      <c r="B268" s="3263" t="s">
        <v>2999</v>
      </c>
      <c r="C268" s="3275"/>
      <c r="D268" s="3275"/>
      <c r="E268" s="3275"/>
      <c r="F268" s="3264">
        <v>0.05</v>
      </c>
      <c r="G268" s="3281"/>
    </row>
    <row r="269" spans="1:7">
      <c r="A269" s="3274" t="s">
        <v>305</v>
      </c>
      <c r="B269" s="3263" t="s">
        <v>3004</v>
      </c>
      <c r="C269" s="3275"/>
      <c r="D269" s="3275"/>
      <c r="E269" s="3275"/>
      <c r="F269" s="3264">
        <v>0.05</v>
      </c>
      <c r="G269" s="3281"/>
    </row>
    <row r="270" spans="1:7">
      <c r="A270" s="3274" t="s">
        <v>305</v>
      </c>
      <c r="B270" s="3263" t="s">
        <v>3009</v>
      </c>
      <c r="C270" s="3275"/>
      <c r="D270" s="3275"/>
      <c r="E270" s="3275"/>
      <c r="F270" s="3264">
        <v>0.05</v>
      </c>
      <c r="G270" s="3281"/>
    </row>
    <row r="271" spans="1:7">
      <c r="A271" s="3274" t="s">
        <v>305</v>
      </c>
      <c r="B271" s="3263" t="s">
        <v>3213</v>
      </c>
      <c r="C271" s="3275"/>
      <c r="D271" s="3275"/>
      <c r="E271" s="3275"/>
      <c r="F271" s="3264">
        <v>0.05</v>
      </c>
      <c r="G271" s="3281"/>
    </row>
    <row r="272" spans="1:7">
      <c r="A272" s="3274" t="s">
        <v>305</v>
      </c>
      <c r="B272" s="3263" t="s">
        <v>3214</v>
      </c>
      <c r="C272" s="3275"/>
      <c r="D272" s="3275"/>
      <c r="E272" s="3275"/>
      <c r="F272" s="3264">
        <v>0.05</v>
      </c>
      <c r="G272" s="3281"/>
    </row>
    <row r="273" spans="1:7">
      <c r="A273" s="3274" t="s">
        <v>305</v>
      </c>
      <c r="B273" s="3263" t="s">
        <v>3215</v>
      </c>
      <c r="C273" s="3275"/>
      <c r="D273" s="3275"/>
      <c r="E273" s="3275"/>
      <c r="F273" s="3264">
        <v>0.05</v>
      </c>
      <c r="G273" s="3281"/>
    </row>
    <row r="274" spans="1:7">
      <c r="A274" s="3274" t="s">
        <v>305</v>
      </c>
      <c r="B274" s="3263" t="s">
        <v>3216</v>
      </c>
      <c r="C274" s="3275"/>
      <c r="D274" s="3275"/>
      <c r="E274" s="3275"/>
      <c r="F274" s="3264">
        <v>0.05</v>
      </c>
      <c r="G274" s="3281"/>
    </row>
    <row r="275" spans="1:7">
      <c r="A275" s="3274" t="s">
        <v>305</v>
      </c>
      <c r="B275" s="3263" t="s">
        <v>3217</v>
      </c>
      <c r="C275" s="3275"/>
      <c r="D275" s="3275"/>
      <c r="E275" s="3275"/>
      <c r="F275" s="3264">
        <v>0.05</v>
      </c>
      <c r="G275" s="3281"/>
    </row>
    <row r="276" spans="1:7" ht="14.25" thickBot="1">
      <c r="A276" s="3277" t="s">
        <v>305</v>
      </c>
      <c r="B276" s="3267" t="s">
        <v>3218</v>
      </c>
      <c r="C276" s="3269"/>
      <c r="D276" s="3269"/>
      <c r="E276" s="3269"/>
      <c r="F276" s="3268">
        <v>0.05</v>
      </c>
      <c r="G276" s="3282"/>
    </row>
    <row r="277" spans="1:7">
      <c r="A277" s="3273" t="s">
        <v>306</v>
      </c>
      <c r="B277" s="3259" t="s">
        <v>2862</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2874</v>
      </c>
      <c r="C279" s="3264">
        <v>0.15</v>
      </c>
      <c r="D279" s="3264">
        <v>0.15</v>
      </c>
      <c r="E279" s="3264">
        <v>0.15</v>
      </c>
      <c r="F279" s="3264">
        <v>0.15</v>
      </c>
      <c r="G279" s="3265">
        <v>0.15</v>
      </c>
    </row>
    <row r="280" spans="1:7">
      <c r="A280" s="3274" t="s">
        <v>306</v>
      </c>
      <c r="B280" s="3263" t="s">
        <v>2878</v>
      </c>
      <c r="C280" s="3264">
        <v>0.15</v>
      </c>
      <c r="D280" s="3264">
        <v>0.15</v>
      </c>
      <c r="E280" s="3264">
        <v>0.15</v>
      </c>
      <c r="F280" s="3264">
        <v>0.15</v>
      </c>
      <c r="G280" s="3265">
        <v>0.15</v>
      </c>
    </row>
    <row r="281" spans="1:7">
      <c r="A281" s="3274" t="s">
        <v>306</v>
      </c>
      <c r="B281" s="3263" t="s">
        <v>2882</v>
      </c>
      <c r="C281" s="3264">
        <v>0.15</v>
      </c>
      <c r="D281" s="3264">
        <v>0.15</v>
      </c>
      <c r="E281" s="3264">
        <v>0.15</v>
      </c>
      <c r="F281" s="3264">
        <v>0.15</v>
      </c>
      <c r="G281" s="3265">
        <v>0.15</v>
      </c>
    </row>
    <row r="282" spans="1:7">
      <c r="A282" s="3274" t="s">
        <v>306</v>
      </c>
      <c r="B282" s="3263" t="s">
        <v>2886</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2901</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2906</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2916</v>
      </c>
      <c r="C293" s="3264">
        <v>0.15</v>
      </c>
      <c r="D293" s="3264">
        <v>0.15</v>
      </c>
      <c r="E293" s="3264">
        <v>0.15</v>
      </c>
      <c r="F293" s="3264">
        <v>0.14499999999999999</v>
      </c>
      <c r="G293" s="3265">
        <v>0.15</v>
      </c>
    </row>
    <row r="294" spans="1:7">
      <c r="A294" s="3274" t="s">
        <v>306</v>
      </c>
      <c r="B294" s="3263" t="s">
        <v>2918</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2935</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2948</v>
      </c>
      <c r="C302" s="3264">
        <v>0.15</v>
      </c>
      <c r="D302" s="3264">
        <v>0.15</v>
      </c>
      <c r="E302" s="3264">
        <v>0.15</v>
      </c>
      <c r="F302" s="3264">
        <v>0.14699999999999999</v>
      </c>
      <c r="G302" s="3265">
        <v>0.15</v>
      </c>
    </row>
    <row r="303" spans="1:7">
      <c r="A303" s="3274" t="s">
        <v>306</v>
      </c>
      <c r="B303" s="3263" t="s">
        <v>2955</v>
      </c>
      <c r="C303" s="3264">
        <v>0.15</v>
      </c>
      <c r="D303" s="3264">
        <v>0.15</v>
      </c>
      <c r="E303" s="3264">
        <v>0.15</v>
      </c>
      <c r="F303" s="3264">
        <v>0.14199999999999999</v>
      </c>
      <c r="G303" s="3265">
        <v>0.15</v>
      </c>
    </row>
    <row r="304" spans="1:7">
      <c r="A304" s="3274" t="s">
        <v>306</v>
      </c>
      <c r="B304" s="3263" t="s">
        <v>2962</v>
      </c>
      <c r="C304" s="3264">
        <v>0.15</v>
      </c>
      <c r="D304" s="3264">
        <v>0.15</v>
      </c>
      <c r="E304" s="3264">
        <v>0.15</v>
      </c>
      <c r="F304" s="3264">
        <v>0.14499999999999999</v>
      </c>
      <c r="G304" s="3265">
        <v>0.15</v>
      </c>
    </row>
    <row r="305" spans="1:7">
      <c r="A305" s="3274" t="s">
        <v>306</v>
      </c>
      <c r="B305" s="3263" t="s">
        <v>2968</v>
      </c>
      <c r="C305" s="3264">
        <v>0.15</v>
      </c>
      <c r="D305" s="3264">
        <v>0.15</v>
      </c>
      <c r="E305" s="3264">
        <v>0.15</v>
      </c>
      <c r="F305" s="3264">
        <v>0.111</v>
      </c>
      <c r="G305" s="3265">
        <v>0.15</v>
      </c>
    </row>
    <row r="306" spans="1:7">
      <c r="A306" s="3274" t="s">
        <v>306</v>
      </c>
      <c r="B306" s="3263" t="s">
        <v>2975</v>
      </c>
      <c r="C306" s="3264">
        <v>0.15</v>
      </c>
      <c r="D306" s="3264">
        <v>0.15</v>
      </c>
      <c r="E306" s="3264">
        <v>0.15</v>
      </c>
      <c r="F306" s="3264">
        <v>0.126</v>
      </c>
      <c r="G306" s="3265">
        <v>0.15</v>
      </c>
    </row>
    <row r="307" spans="1:7">
      <c r="A307" s="3274" t="s">
        <v>306</v>
      </c>
      <c r="B307" s="3263" t="s">
        <v>2980</v>
      </c>
      <c r="C307" s="3264">
        <v>0.15</v>
      </c>
      <c r="D307" s="3264">
        <v>0.15</v>
      </c>
      <c r="E307" s="3264">
        <v>0.15</v>
      </c>
      <c r="F307" s="3264">
        <v>0.12</v>
      </c>
      <c r="G307" s="3265">
        <v>0.15</v>
      </c>
    </row>
    <row r="308" spans="1:7">
      <c r="A308" s="3274" t="s">
        <v>306</v>
      </c>
      <c r="B308" s="3263" t="s">
        <v>2986</v>
      </c>
      <c r="C308" s="3264">
        <v>0.15</v>
      </c>
      <c r="D308" s="3264">
        <v>0.15</v>
      </c>
      <c r="E308" s="3264">
        <v>0.15</v>
      </c>
      <c r="F308" s="3264">
        <v>0.13</v>
      </c>
      <c r="G308" s="3265">
        <v>0.15</v>
      </c>
    </row>
    <row r="309" spans="1:7">
      <c r="A309" s="3274" t="s">
        <v>306</v>
      </c>
      <c r="B309" s="3263" t="s">
        <v>2990</v>
      </c>
      <c r="C309" s="3264">
        <v>0.15</v>
      </c>
      <c r="D309" s="3264">
        <v>0.15</v>
      </c>
      <c r="E309" s="3264">
        <v>0.15</v>
      </c>
      <c r="F309" s="3264">
        <v>0.14099999999999999</v>
      </c>
      <c r="G309" s="3265">
        <v>0.15</v>
      </c>
    </row>
    <row r="310" spans="1:7">
      <c r="A310" s="3274" t="s">
        <v>306</v>
      </c>
      <c r="B310" s="3263" t="s">
        <v>2995</v>
      </c>
      <c r="C310" s="3264">
        <v>0.15</v>
      </c>
      <c r="D310" s="3264">
        <v>0.15</v>
      </c>
      <c r="E310" s="3264">
        <v>0.15</v>
      </c>
      <c r="F310" s="3264">
        <v>0.15</v>
      </c>
      <c r="G310" s="3265">
        <v>0.15</v>
      </c>
    </row>
    <row r="311" spans="1:7">
      <c r="A311" s="3274" t="s">
        <v>306</v>
      </c>
      <c r="B311" s="3263" t="s">
        <v>3000</v>
      </c>
      <c r="C311" s="3264">
        <v>0.13200000000000001</v>
      </c>
      <c r="D311" s="3264">
        <v>0.13300000000000001</v>
      </c>
      <c r="E311" s="3264">
        <v>0.14499999999999999</v>
      </c>
      <c r="F311" s="3264">
        <v>0.14199999999999999</v>
      </c>
      <c r="G311" s="3265">
        <v>0.14000000000000001</v>
      </c>
    </row>
    <row r="312" spans="1:7">
      <c r="A312" s="3274" t="s">
        <v>306</v>
      </c>
      <c r="B312" s="3263" t="s">
        <v>3005</v>
      </c>
      <c r="C312" s="3264">
        <v>0.13800000000000001</v>
      </c>
      <c r="D312" s="3264">
        <v>0.14000000000000001</v>
      </c>
      <c r="E312" s="3264">
        <v>0.14599999999999999</v>
      </c>
      <c r="F312" s="3264">
        <v>0.14899999999999999</v>
      </c>
      <c r="G312" s="3265">
        <v>0.14199999999999999</v>
      </c>
    </row>
    <row r="313" spans="1:7">
      <c r="A313" s="3274" t="s">
        <v>306</v>
      </c>
      <c r="B313" s="3263" t="s">
        <v>3010</v>
      </c>
      <c r="C313" s="3264">
        <v>0.125</v>
      </c>
      <c r="D313" s="3264">
        <v>0.127</v>
      </c>
      <c r="E313" s="3264">
        <v>0.14399999999999999</v>
      </c>
      <c r="F313" s="3264">
        <v>0.115</v>
      </c>
      <c r="G313" s="3265">
        <v>0.13600000000000001</v>
      </c>
    </row>
    <row r="314" spans="1:7">
      <c r="A314" s="3274" t="s">
        <v>306</v>
      </c>
      <c r="B314" s="3263" t="s">
        <v>3219</v>
      </c>
      <c r="C314" s="3280"/>
      <c r="D314" s="3280"/>
      <c r="E314" s="3280"/>
      <c r="F314" s="3264">
        <v>0.05</v>
      </c>
      <c r="G314" s="3281"/>
    </row>
    <row r="315" spans="1:7">
      <c r="A315" s="3274" t="s">
        <v>306</v>
      </c>
      <c r="B315" s="3263" t="s">
        <v>3220</v>
      </c>
      <c r="C315" s="3280"/>
      <c r="D315" s="3280"/>
      <c r="E315" s="3280"/>
      <c r="F315" s="3264">
        <v>0.05</v>
      </c>
      <c r="G315" s="3281"/>
    </row>
    <row r="316" spans="1:7">
      <c r="A316" s="3274" t="s">
        <v>306</v>
      </c>
      <c r="B316" s="3263" t="s">
        <v>3221</v>
      </c>
      <c r="C316" s="3275"/>
      <c r="D316" s="3275"/>
      <c r="E316" s="3275"/>
      <c r="F316" s="3264">
        <v>0.05</v>
      </c>
      <c r="G316" s="3281"/>
    </row>
    <row r="317" spans="1:7">
      <c r="A317" s="3274" t="s">
        <v>306</v>
      </c>
      <c r="B317" s="3263" t="s">
        <v>3222</v>
      </c>
      <c r="C317" s="3275"/>
      <c r="D317" s="3275"/>
      <c r="E317" s="3275"/>
      <c r="F317" s="3264">
        <v>0.05</v>
      </c>
      <c r="G317" s="3281"/>
    </row>
    <row r="318" spans="1:7">
      <c r="A318" s="3274" t="s">
        <v>306</v>
      </c>
      <c r="B318" s="3263" t="s">
        <v>3223</v>
      </c>
      <c r="C318" s="3275"/>
      <c r="D318" s="3275"/>
      <c r="E318" s="3275"/>
      <c r="F318" s="3264">
        <v>0.05</v>
      </c>
      <c r="G318" s="3281"/>
    </row>
    <row r="319" spans="1:7">
      <c r="A319" s="3274" t="s">
        <v>306</v>
      </c>
      <c r="B319" s="3263" t="s">
        <v>3224</v>
      </c>
      <c r="C319" s="3275"/>
      <c r="D319" s="3275"/>
      <c r="E319" s="3275"/>
      <c r="F319" s="3264">
        <v>0.05</v>
      </c>
      <c r="G319" s="3281"/>
    </row>
    <row r="320" spans="1:7">
      <c r="A320" s="3274" t="s">
        <v>306</v>
      </c>
      <c r="B320" s="3263" t="s">
        <v>3225</v>
      </c>
      <c r="C320" s="3275"/>
      <c r="D320" s="3275"/>
      <c r="E320" s="3275"/>
      <c r="F320" s="3264">
        <v>0.05</v>
      </c>
      <c r="G320" s="3281"/>
    </row>
    <row r="321" spans="1:7">
      <c r="A321" s="3274" t="s">
        <v>306</v>
      </c>
      <c r="B321" s="3263" t="s">
        <v>3226</v>
      </c>
      <c r="C321" s="3275"/>
      <c r="D321" s="3275"/>
      <c r="E321" s="3275"/>
      <c r="F321" s="3264">
        <v>0.05</v>
      </c>
      <c r="G321" s="3281"/>
    </row>
    <row r="322" spans="1:7">
      <c r="A322" s="3274" t="s">
        <v>306</v>
      </c>
      <c r="B322" s="3263" t="s">
        <v>3227</v>
      </c>
      <c r="C322" s="3275"/>
      <c r="D322" s="3275"/>
      <c r="E322" s="3275"/>
      <c r="F322" s="3264">
        <v>0.05</v>
      </c>
      <c r="G322" s="3281"/>
    </row>
    <row r="323" spans="1:7">
      <c r="A323" s="3274" t="s">
        <v>306</v>
      </c>
      <c r="B323" s="3263" t="s">
        <v>3228</v>
      </c>
      <c r="C323" s="3275"/>
      <c r="D323" s="3275"/>
      <c r="E323" s="3275"/>
      <c r="F323" s="3264">
        <v>0.05</v>
      </c>
      <c r="G323" s="3281"/>
    </row>
    <row r="324" spans="1:7">
      <c r="A324" s="3274" t="s">
        <v>306</v>
      </c>
      <c r="B324" s="3263" t="s">
        <v>3229</v>
      </c>
      <c r="C324" s="3275"/>
      <c r="D324" s="3275"/>
      <c r="E324" s="3275"/>
      <c r="F324" s="3264">
        <v>0.05</v>
      </c>
      <c r="G324" s="3281"/>
    </row>
    <row r="325" spans="1:7">
      <c r="A325" s="3274" t="s">
        <v>306</v>
      </c>
      <c r="B325" s="3263" t="s">
        <v>3230</v>
      </c>
      <c r="C325" s="3275"/>
      <c r="D325" s="3275"/>
      <c r="E325" s="3275"/>
      <c r="F325" s="3264">
        <v>0.05</v>
      </c>
      <c r="G325" s="3281"/>
    </row>
    <row r="326" spans="1:7" ht="14.25" thickBot="1">
      <c r="A326" s="3277" t="s">
        <v>306</v>
      </c>
      <c r="B326" s="3267" t="s">
        <v>3231</v>
      </c>
      <c r="C326" s="3269"/>
      <c r="D326" s="3269"/>
      <c r="E326" s="3269"/>
      <c r="F326" s="3268">
        <v>0.05</v>
      </c>
      <c r="G326" s="3282"/>
    </row>
    <row r="327" spans="1:7">
      <c r="A327" s="3273" t="s">
        <v>307</v>
      </c>
      <c r="B327" s="3259" t="s">
        <v>2863</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2875</v>
      </c>
      <c r="C329" s="3264">
        <v>0.15</v>
      </c>
      <c r="D329" s="3264">
        <v>0.15</v>
      </c>
      <c r="E329" s="3264">
        <v>0.15</v>
      </c>
      <c r="F329" s="3264">
        <v>0.15</v>
      </c>
      <c r="G329" s="3265">
        <v>0.15</v>
      </c>
    </row>
    <row r="330" spans="1:7">
      <c r="A330" s="3274" t="s">
        <v>307</v>
      </c>
      <c r="B330" s="3263" t="s">
        <v>2879</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2887</v>
      </c>
      <c r="C332" s="3264">
        <v>0.15</v>
      </c>
      <c r="D332" s="3264">
        <v>0.15</v>
      </c>
      <c r="E332" s="3264">
        <v>0.15</v>
      </c>
      <c r="F332" s="3264">
        <v>0.15</v>
      </c>
      <c r="G332" s="3265">
        <v>0.15</v>
      </c>
    </row>
    <row r="333" spans="1:7">
      <c r="A333" s="3274" t="s">
        <v>307</v>
      </c>
      <c r="B333" s="3263" t="s">
        <v>2891</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2897</v>
      </c>
      <c r="C336" s="3264">
        <v>0.15</v>
      </c>
      <c r="D336" s="3264">
        <v>0.15</v>
      </c>
      <c r="E336" s="3264">
        <v>0.15</v>
      </c>
      <c r="F336" s="3264">
        <v>0.14199999999999999</v>
      </c>
      <c r="G336" s="3265">
        <v>0.15</v>
      </c>
    </row>
    <row r="337" spans="1:7">
      <c r="A337" s="3274" t="s">
        <v>307</v>
      </c>
      <c r="B337" s="3263" t="s">
        <v>2902</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2909</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2914</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2922</v>
      </c>
      <c r="C345" s="3264">
        <v>0.15</v>
      </c>
      <c r="D345" s="3264">
        <v>0.15</v>
      </c>
      <c r="E345" s="3264">
        <v>0.15</v>
      </c>
      <c r="F345" s="3264">
        <v>0.13800000000000001</v>
      </c>
      <c r="G345" s="3265">
        <v>0.15</v>
      </c>
    </row>
    <row r="346" spans="1:7">
      <c r="A346" s="3274" t="s">
        <v>307</v>
      </c>
      <c r="B346" s="3263" t="s">
        <v>2924</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2931</v>
      </c>
      <c r="C348" s="3264">
        <v>0.15</v>
      </c>
      <c r="D348" s="3264">
        <v>0.15</v>
      </c>
      <c r="E348" s="3264">
        <v>0.15</v>
      </c>
      <c r="F348" s="3264">
        <v>0.14399999999999999</v>
      </c>
      <c r="G348" s="3265">
        <v>0.15</v>
      </c>
    </row>
    <row r="349" spans="1:7">
      <c r="A349" s="3274" t="s">
        <v>307</v>
      </c>
      <c r="B349" s="3263" t="s">
        <v>2936</v>
      </c>
      <c r="C349" s="3264">
        <v>0.15</v>
      </c>
      <c r="D349" s="3264">
        <v>0.15</v>
      </c>
      <c r="E349" s="3264">
        <v>0.15</v>
      </c>
      <c r="F349" s="3264">
        <v>0.15</v>
      </c>
      <c r="G349" s="3265">
        <v>0.15</v>
      </c>
    </row>
    <row r="350" spans="1:7">
      <c r="A350" s="3274" t="s">
        <v>307</v>
      </c>
      <c r="B350" s="3263" t="s">
        <v>2939</v>
      </c>
      <c r="C350" s="3264">
        <v>0.15</v>
      </c>
      <c r="D350" s="3264">
        <v>0.15</v>
      </c>
      <c r="E350" s="3264">
        <v>0.15</v>
      </c>
      <c r="F350" s="3264">
        <v>0.14699999999999999</v>
      </c>
      <c r="G350" s="3265">
        <v>0.15</v>
      </c>
    </row>
    <row r="351" spans="1:7">
      <c r="A351" s="3274" t="s">
        <v>307</v>
      </c>
      <c r="B351" s="3263" t="s">
        <v>2944</v>
      </c>
      <c r="C351" s="3264">
        <v>0.15</v>
      </c>
      <c r="D351" s="3264">
        <v>0.15</v>
      </c>
      <c r="E351" s="3264">
        <v>0.15</v>
      </c>
      <c r="F351" s="3264">
        <v>0.13</v>
      </c>
      <c r="G351" s="3265">
        <v>0.15</v>
      </c>
    </row>
    <row r="352" spans="1:7">
      <c r="A352" s="3274" t="s">
        <v>307</v>
      </c>
      <c r="B352" s="3263" t="s">
        <v>2949</v>
      </c>
      <c r="C352" s="3264">
        <v>0.15</v>
      </c>
      <c r="D352" s="3264">
        <v>0.15</v>
      </c>
      <c r="E352" s="3264">
        <v>0.15</v>
      </c>
      <c r="F352" s="3264">
        <v>0.14599999999999999</v>
      </c>
      <c r="G352" s="3265">
        <v>0.15</v>
      </c>
    </row>
    <row r="353" spans="1:7">
      <c r="A353" s="3274" t="s">
        <v>307</v>
      </c>
      <c r="B353" s="3263" t="s">
        <v>2956</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2969</v>
      </c>
      <c r="C355" s="3264">
        <v>0.15</v>
      </c>
      <c r="D355" s="3264">
        <v>0.15</v>
      </c>
      <c r="E355" s="3264">
        <v>0.15</v>
      </c>
      <c r="F355" s="3264">
        <v>0.15</v>
      </c>
      <c r="G355" s="3265">
        <v>0.15</v>
      </c>
    </row>
    <row r="356" spans="1:7">
      <c r="A356" s="3274" t="s">
        <v>307</v>
      </c>
      <c r="B356" s="3263" t="s">
        <v>2976</v>
      </c>
      <c r="C356" s="3264">
        <v>0.15</v>
      </c>
      <c r="D356" s="3264">
        <v>0.15</v>
      </c>
      <c r="E356" s="3264">
        <v>0.15</v>
      </c>
      <c r="F356" s="3264">
        <v>0.15</v>
      </c>
      <c r="G356" s="3265">
        <v>0.15</v>
      </c>
    </row>
    <row r="357" spans="1:7" ht="14.25" thickBot="1">
      <c r="A357" s="3277" t="s">
        <v>307</v>
      </c>
      <c r="B357" s="3267" t="s">
        <v>2981</v>
      </c>
      <c r="C357" s="3268">
        <v>0.126</v>
      </c>
      <c r="D357" s="3268">
        <v>0.127</v>
      </c>
      <c r="E357" s="3268">
        <v>0.14299999999999999</v>
      </c>
      <c r="F357" s="3268">
        <v>0.125</v>
      </c>
      <c r="G357" s="3270">
        <v>0.129</v>
      </c>
    </row>
    <row r="358" spans="1:7">
      <c r="A358" s="3273" t="s">
        <v>2850</v>
      </c>
      <c r="B358" s="3259" t="s">
        <v>2864</v>
      </c>
      <c r="C358" s="3260">
        <v>0.15</v>
      </c>
      <c r="D358" s="3260">
        <v>0.15</v>
      </c>
      <c r="E358" s="3260">
        <v>0.15</v>
      </c>
      <c r="F358" s="3260">
        <v>0.15</v>
      </c>
      <c r="G358" s="3261">
        <v>0.15</v>
      </c>
    </row>
    <row r="359" spans="1:7">
      <c r="A359" s="3274" t="s">
        <v>2850</v>
      </c>
      <c r="B359" s="3263" t="s">
        <v>2870</v>
      </c>
      <c r="C359" s="3264">
        <v>0.1</v>
      </c>
      <c r="D359" s="3264">
        <v>0.1</v>
      </c>
      <c r="E359" s="3264">
        <v>0.1</v>
      </c>
      <c r="F359" s="3264">
        <v>0.1</v>
      </c>
      <c r="G359" s="3265">
        <v>0.1</v>
      </c>
    </row>
    <row r="360" spans="1:7">
      <c r="A360" s="3274" t="s">
        <v>2850</v>
      </c>
      <c r="B360" s="3263" t="s">
        <v>2876</v>
      </c>
      <c r="C360" s="3264">
        <v>0.15</v>
      </c>
      <c r="D360" s="3264">
        <v>0.15</v>
      </c>
      <c r="E360" s="3264">
        <v>0.15</v>
      </c>
      <c r="F360" s="3264">
        <v>0.14899999999999999</v>
      </c>
      <c r="G360" s="3265">
        <v>0.15</v>
      </c>
    </row>
    <row r="361" spans="1:7">
      <c r="A361" s="3274" t="s">
        <v>2850</v>
      </c>
      <c r="B361" s="3263" t="s">
        <v>153</v>
      </c>
      <c r="C361" s="3264">
        <v>0.15</v>
      </c>
      <c r="D361" s="3264">
        <v>0.15</v>
      </c>
      <c r="E361" s="3264">
        <v>0.15</v>
      </c>
      <c r="F361" s="3264">
        <v>0.115</v>
      </c>
      <c r="G361" s="3265">
        <v>0.15</v>
      </c>
    </row>
    <row r="362" spans="1:7">
      <c r="A362" s="3274" t="s">
        <v>2850</v>
      </c>
      <c r="B362" s="3263" t="s">
        <v>2883</v>
      </c>
      <c r="C362" s="3264">
        <v>0.15</v>
      </c>
      <c r="D362" s="3264">
        <v>0.15</v>
      </c>
      <c r="E362" s="3264">
        <v>0.15</v>
      </c>
      <c r="F362" s="3264">
        <v>0.106</v>
      </c>
      <c r="G362" s="3265">
        <v>0.15</v>
      </c>
    </row>
    <row r="363" spans="1:7">
      <c r="A363" s="3274" t="s">
        <v>2850</v>
      </c>
      <c r="B363" s="3263" t="s">
        <v>2888</v>
      </c>
      <c r="C363" s="3264">
        <v>0.15</v>
      </c>
      <c r="D363" s="3264">
        <v>0.15</v>
      </c>
      <c r="E363" s="3264">
        <v>0.15</v>
      </c>
      <c r="F363" s="3264">
        <v>0.14699999999999999</v>
      </c>
      <c r="G363" s="3265">
        <v>0.15</v>
      </c>
    </row>
    <row r="364" spans="1:7">
      <c r="A364" s="3274" t="s">
        <v>2850</v>
      </c>
      <c r="B364" s="3263" t="s">
        <v>2892</v>
      </c>
      <c r="C364" s="3264">
        <v>0.15</v>
      </c>
      <c r="D364" s="3264">
        <v>0.15</v>
      </c>
      <c r="E364" s="3264">
        <v>0.15</v>
      </c>
      <c r="F364" s="3264">
        <v>0.14799999999999999</v>
      </c>
      <c r="G364" s="3265">
        <v>0.15</v>
      </c>
    </row>
    <row r="365" spans="1:7">
      <c r="A365" s="3274" t="s">
        <v>2850</v>
      </c>
      <c r="B365" s="3263" t="s">
        <v>200</v>
      </c>
      <c r="C365" s="3264">
        <v>0.15</v>
      </c>
      <c r="D365" s="3264">
        <v>0.15</v>
      </c>
      <c r="E365" s="3264">
        <v>0.15</v>
      </c>
      <c r="F365" s="3264">
        <v>0.15</v>
      </c>
      <c r="G365" s="3265">
        <v>0.15</v>
      </c>
    </row>
    <row r="366" spans="1:7">
      <c r="A366" s="3274" t="s">
        <v>2850</v>
      </c>
      <c r="B366" s="3263" t="s">
        <v>2895</v>
      </c>
      <c r="C366" s="3264">
        <v>0.15</v>
      </c>
      <c r="D366" s="3264">
        <v>0.15</v>
      </c>
      <c r="E366" s="3264">
        <v>0.15</v>
      </c>
      <c r="F366" s="3264">
        <v>0.15</v>
      </c>
      <c r="G366" s="3265">
        <v>0.15</v>
      </c>
    </row>
    <row r="367" spans="1:7">
      <c r="A367" s="3274" t="s">
        <v>2850</v>
      </c>
      <c r="B367" s="3263" t="s">
        <v>2898</v>
      </c>
      <c r="C367" s="3264">
        <v>0.15</v>
      </c>
      <c r="D367" s="3264">
        <v>0.15</v>
      </c>
      <c r="E367" s="3264">
        <v>0.15</v>
      </c>
      <c r="F367" s="3264">
        <v>0.14699999999999999</v>
      </c>
      <c r="G367" s="3265">
        <v>0.15</v>
      </c>
    </row>
    <row r="368" spans="1:7">
      <c r="A368" s="3274" t="s">
        <v>2850</v>
      </c>
      <c r="B368" s="3263" t="s">
        <v>2903</v>
      </c>
      <c r="C368" s="3264">
        <v>0.15</v>
      </c>
      <c r="D368" s="3264">
        <v>0.15</v>
      </c>
      <c r="E368" s="3264">
        <v>0.15</v>
      </c>
      <c r="F368" s="3264">
        <v>0.13600000000000001</v>
      </c>
      <c r="G368" s="3265">
        <v>0.15</v>
      </c>
    </row>
    <row r="369" spans="1:7">
      <c r="A369" s="3274" t="s">
        <v>2850</v>
      </c>
      <c r="B369" s="3263" t="s">
        <v>214</v>
      </c>
      <c r="C369" s="3264">
        <v>0.15</v>
      </c>
      <c r="D369" s="3264">
        <v>0.15</v>
      </c>
      <c r="E369" s="3264">
        <v>0.15</v>
      </c>
      <c r="F369" s="3264">
        <v>0.14399999999999999</v>
      </c>
      <c r="G369" s="3265">
        <v>0.15</v>
      </c>
    </row>
    <row r="370" spans="1:7">
      <c r="A370" s="3274" t="s">
        <v>2850</v>
      </c>
      <c r="B370" s="3263" t="s">
        <v>221</v>
      </c>
      <c r="C370" s="3264">
        <v>0.15</v>
      </c>
      <c r="D370" s="3264">
        <v>0.15</v>
      </c>
      <c r="E370" s="3264">
        <v>0.15</v>
      </c>
      <c r="F370" s="3264">
        <v>0.14599999999999999</v>
      </c>
      <c r="G370" s="3265">
        <v>0.15</v>
      </c>
    </row>
    <row r="371" spans="1:7">
      <c r="A371" s="3274" t="s">
        <v>2850</v>
      </c>
      <c r="B371" s="3263" t="s">
        <v>229</v>
      </c>
      <c r="C371" s="3264">
        <v>0.15</v>
      </c>
      <c r="D371" s="3264">
        <v>0.15</v>
      </c>
      <c r="E371" s="3264">
        <v>0.15</v>
      </c>
      <c r="F371" s="3264">
        <v>0.12</v>
      </c>
      <c r="G371" s="3265">
        <v>0.15</v>
      </c>
    </row>
    <row r="372" spans="1:7">
      <c r="A372" s="3274" t="s">
        <v>2850</v>
      </c>
      <c r="B372" s="3263" t="s">
        <v>2911</v>
      </c>
      <c r="C372" s="3264">
        <v>0.15</v>
      </c>
      <c r="D372" s="3264">
        <v>0.15</v>
      </c>
      <c r="E372" s="3264">
        <v>0.15</v>
      </c>
      <c r="F372" s="3264">
        <v>0.14299999999999999</v>
      </c>
      <c r="G372" s="3265">
        <v>0.15</v>
      </c>
    </row>
    <row r="373" spans="1:7">
      <c r="A373" s="3274" t="s">
        <v>2850</v>
      </c>
      <c r="B373" s="3263" t="s">
        <v>258</v>
      </c>
      <c r="C373" s="3264">
        <v>0.15</v>
      </c>
      <c r="D373" s="3264">
        <v>0.15</v>
      </c>
      <c r="E373" s="3264">
        <v>0.15</v>
      </c>
      <c r="F373" s="3264">
        <v>0.14599999999999999</v>
      </c>
      <c r="G373" s="3265">
        <v>0.15</v>
      </c>
    </row>
    <row r="374" spans="1:7">
      <c r="A374" s="3274" t="s">
        <v>2850</v>
      </c>
      <c r="B374" s="3263" t="s">
        <v>266</v>
      </c>
      <c r="C374" s="3264">
        <v>0.15</v>
      </c>
      <c r="D374" s="3264">
        <v>0.15</v>
      </c>
      <c r="E374" s="3264">
        <v>0.15</v>
      </c>
      <c r="F374" s="3264">
        <v>0.14399999999999999</v>
      </c>
      <c r="G374" s="3265">
        <v>0.15</v>
      </c>
    </row>
    <row r="375" spans="1:7">
      <c r="A375" s="3274" t="s">
        <v>2850</v>
      </c>
      <c r="B375" s="3263" t="s">
        <v>2919</v>
      </c>
      <c r="C375" s="3264">
        <v>0.15</v>
      </c>
      <c r="D375" s="3264">
        <v>0.15</v>
      </c>
      <c r="E375" s="3264">
        <v>0.15</v>
      </c>
      <c r="F375" s="3264">
        <v>0.13</v>
      </c>
      <c r="G375" s="3265">
        <v>0.15</v>
      </c>
    </row>
    <row r="376" spans="1:7">
      <c r="A376" s="3274" t="s">
        <v>2850</v>
      </c>
      <c r="B376" s="3263" t="s">
        <v>277</v>
      </c>
      <c r="C376" s="3264">
        <v>0.15</v>
      </c>
      <c r="D376" s="3264">
        <v>0.15</v>
      </c>
      <c r="E376" s="3264">
        <v>0.15</v>
      </c>
      <c r="F376" s="3264">
        <v>0.14199999999999999</v>
      </c>
      <c r="G376" s="3265">
        <v>0.15</v>
      </c>
    </row>
    <row r="377" spans="1:7" ht="14.25" thickBot="1">
      <c r="A377" s="3277" t="s">
        <v>2850</v>
      </c>
      <c r="B377" s="3267" t="s">
        <v>2925</v>
      </c>
      <c r="C377" s="3268">
        <v>0.15</v>
      </c>
      <c r="D377" s="3268">
        <v>0.15</v>
      </c>
      <c r="E377" s="3268">
        <v>0.15</v>
      </c>
      <c r="F377" s="3268">
        <v>0.14000000000000001</v>
      </c>
      <c r="G377" s="3270">
        <v>0.15</v>
      </c>
    </row>
    <row r="378" spans="1:7">
      <c r="A378" s="3273" t="s">
        <v>2851</v>
      </c>
      <c r="B378" s="3259" t="s">
        <v>2865</v>
      </c>
      <c r="C378" s="3260">
        <v>0.15</v>
      </c>
      <c r="D378" s="3260">
        <v>0.15</v>
      </c>
      <c r="E378" s="3260">
        <v>0.15</v>
      </c>
      <c r="F378" s="3260">
        <v>0.107</v>
      </c>
      <c r="G378" s="3261">
        <v>0.15</v>
      </c>
    </row>
    <row r="379" spans="1:7">
      <c r="A379" s="3274" t="s">
        <v>2851</v>
      </c>
      <c r="B379" s="3263" t="s">
        <v>2871</v>
      </c>
      <c r="C379" s="3264">
        <v>0.15</v>
      </c>
      <c r="D379" s="3264">
        <v>0.15</v>
      </c>
      <c r="E379" s="3264">
        <v>0.15</v>
      </c>
      <c r="F379" s="3264">
        <v>0.115</v>
      </c>
      <c r="G379" s="3265">
        <v>0.14899999999999999</v>
      </c>
    </row>
    <row r="380" spans="1:7">
      <c r="A380" s="3274" t="s">
        <v>2851</v>
      </c>
      <c r="B380" s="3263" t="s">
        <v>2877</v>
      </c>
      <c r="C380" s="3264">
        <v>0.15</v>
      </c>
      <c r="D380" s="3264">
        <v>0.15</v>
      </c>
      <c r="E380" s="3264">
        <v>0.15</v>
      </c>
      <c r="F380" s="3264">
        <v>0.1</v>
      </c>
      <c r="G380" s="3265">
        <v>0.14799999999999999</v>
      </c>
    </row>
    <row r="381" spans="1:7">
      <c r="A381" s="3274" t="s">
        <v>2851</v>
      </c>
      <c r="B381" s="3263" t="s">
        <v>2880</v>
      </c>
      <c r="C381" s="3264">
        <v>0.15</v>
      </c>
      <c r="D381" s="3264">
        <v>0.15</v>
      </c>
      <c r="E381" s="3264">
        <v>0.15</v>
      </c>
      <c r="F381" s="3264">
        <v>0.126</v>
      </c>
      <c r="G381" s="3265">
        <v>0.15</v>
      </c>
    </row>
    <row r="382" spans="1:7">
      <c r="A382" s="3274" t="s">
        <v>2851</v>
      </c>
      <c r="B382" s="3263" t="s">
        <v>2884</v>
      </c>
      <c r="C382" s="3264">
        <v>0.15</v>
      </c>
      <c r="D382" s="3264">
        <v>0.15</v>
      </c>
      <c r="E382" s="3264">
        <v>0.15</v>
      </c>
      <c r="F382" s="3264">
        <v>0.15</v>
      </c>
      <c r="G382" s="3265">
        <v>0.15</v>
      </c>
    </row>
    <row r="383" spans="1:7">
      <c r="A383" s="3274" t="s">
        <v>2851</v>
      </c>
      <c r="B383" s="3263" t="s">
        <v>2889</v>
      </c>
      <c r="C383" s="3264">
        <v>0.15</v>
      </c>
      <c r="D383" s="3264">
        <v>0.15</v>
      </c>
      <c r="E383" s="3264">
        <v>0.15</v>
      </c>
      <c r="F383" s="3264">
        <v>0.14699999999999999</v>
      </c>
      <c r="G383" s="3265">
        <v>0.15</v>
      </c>
    </row>
    <row r="384" spans="1:7" ht="14.25" thickBot="1">
      <c r="A384" s="3284" t="s">
        <v>2851</v>
      </c>
      <c r="B384" s="3285" t="s">
        <v>2893</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818" t="s">
        <v>3232</v>
      </c>
      <c r="B1" s="3818"/>
      <c r="C1" s="3818"/>
      <c r="D1" s="3818"/>
      <c r="E1" s="3818"/>
      <c r="F1" s="3819"/>
    </row>
    <row r="2" spans="1:6">
      <c r="A2" s="3290" t="s">
        <v>3233</v>
      </c>
      <c r="B2" s="3291"/>
      <c r="C2" s="3291"/>
      <c r="D2" s="3291"/>
      <c r="E2" s="3291"/>
      <c r="F2" s="3291"/>
    </row>
    <row r="3" spans="1:6">
      <c r="A3" s="3290" t="s">
        <v>3234</v>
      </c>
      <c r="B3" s="3291"/>
      <c r="C3" s="3291"/>
      <c r="D3" s="3291"/>
      <c r="E3" s="3291"/>
      <c r="F3" s="3292" t="s">
        <v>3235</v>
      </c>
    </row>
    <row r="4" spans="1:6">
      <c r="A4" s="3293" t="s">
        <v>672</v>
      </c>
      <c r="B4" s="3293" t="s">
        <v>673</v>
      </c>
      <c r="C4" s="3293" t="s">
        <v>21</v>
      </c>
      <c r="D4" s="3293" t="s">
        <v>674</v>
      </c>
      <c r="E4" s="3293" t="s">
        <v>3</v>
      </c>
      <c r="F4" s="3293" t="s">
        <v>3236</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5" zoomScale="70" zoomScaleNormal="70" zoomScaleSheetLayoutView="70" workbookViewId="0">
      <selection activeCell="F52" sqref="F52"/>
    </sheetView>
  </sheetViews>
  <sheetFormatPr defaultColWidth="9" defaultRowHeight="12.75"/>
  <cols>
    <col min="1" max="1" width="9" style="258" customWidth="1"/>
    <col min="2" max="2" width="20.625" style="654" customWidth="1"/>
    <col min="3" max="3" width="11.875" style="654"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t="s">
        <v>3446</v>
      </c>
      <c r="D1" s="1361" t="s">
        <v>43</v>
      </c>
      <c r="E1" s="1362" t="s">
        <v>678</v>
      </c>
      <c r="F1" s="1061">
        <f ca="1">J53</f>
        <v>29.32</v>
      </c>
      <c r="G1" s="1377">
        <f>MATCH(C1,'数据-取费表'!A6:A16,0)+5</f>
        <v>6</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878</v>
      </c>
      <c r="B2" s="3424">
        <f ca="1">ROUND(D2/10000,4)</f>
        <v>277.2319</v>
      </c>
      <c r="C2" s="1386" t="s">
        <v>879</v>
      </c>
      <c r="D2" s="1470">
        <f ca="1">C40+J29+L46</f>
        <v>2772319</v>
      </c>
      <c r="E2" s="1387" t="s">
        <v>880</v>
      </c>
      <c r="F2" s="1388"/>
      <c r="G2" s="2705"/>
      <c r="H2" s="2694"/>
      <c r="I2" s="2694"/>
      <c r="J2" s="2694"/>
      <c r="K2" s="2695"/>
      <c r="L2" s="2694"/>
      <c r="M2" s="2694"/>
    </row>
    <row r="3" spans="1:37" ht="18" customHeight="1" thickBot="1">
      <c r="A3" s="1389" t="s">
        <v>881</v>
      </c>
      <c r="B3" s="1390">
        <f ca="1">IF(ISERROR(D2/F43),0,ROUND(D2/F43,0))</f>
        <v>22761</v>
      </c>
      <c r="C3" s="1386" t="s">
        <v>882</v>
      </c>
      <c r="D3" s="1386"/>
      <c r="E3" s="1387"/>
      <c r="F3" s="1388"/>
      <c r="G3" s="2705"/>
      <c r="H3" s="682"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69">
        <f ca="1">C6+C10+C12</f>
        <v>100153</v>
      </c>
      <c r="D5" s="1363" t="s">
        <v>889</v>
      </c>
      <c r="E5" s="1070"/>
      <c r="F5" s="1071"/>
      <c r="G5" s="1383"/>
      <c r="H5" s="299">
        <v>1</v>
      </c>
      <c r="I5" s="300" t="s">
        <v>888</v>
      </c>
      <c r="J5" s="1069">
        <f ca="1">J6+J10+J12</f>
        <v>240368</v>
      </c>
      <c r="K5" s="1363" t="s">
        <v>889</v>
      </c>
      <c r="L5" s="1070"/>
      <c r="M5" s="1071"/>
    </row>
    <row r="6" spans="1:37" ht="18" customHeight="1">
      <c r="A6" s="1068" t="s">
        <v>398</v>
      </c>
      <c r="B6" s="3686" t="s">
        <v>694</v>
      </c>
      <c r="C6" s="1073">
        <f ca="1">ROUND(F6*F8*F7*(1-F9),0)</f>
        <v>100028</v>
      </c>
      <c r="D6" s="155" t="s">
        <v>2106</v>
      </c>
      <c r="E6" s="302" t="s">
        <v>696</v>
      </c>
      <c r="F6" s="303">
        <f ca="1">INDIRECT("'数据-取费表'!u"&amp;$G$1)</f>
        <v>2.25</v>
      </c>
      <c r="G6" s="1383"/>
      <c r="H6" s="1068" t="s">
        <v>398</v>
      </c>
      <c r="I6" s="3686" t="s">
        <v>694</v>
      </c>
      <c r="J6" s="301">
        <f ca="1">ROUND(M6*M8*M7*(1-M9),0)</f>
        <v>240068</v>
      </c>
      <c r="K6" s="1375" t="s">
        <v>2107</v>
      </c>
      <c r="L6" s="302" t="s">
        <v>696</v>
      </c>
      <c r="M6" s="303">
        <f ca="1">INDIRECT("'数据-取费表'!z"&amp;$G$1)</f>
        <v>6</v>
      </c>
    </row>
    <row r="7" spans="1:37" ht="18" customHeight="1">
      <c r="A7" s="1072"/>
      <c r="B7" s="3687"/>
      <c r="C7" s="1074"/>
      <c r="D7" s="307"/>
      <c r="E7" s="1075" t="s">
        <v>697</v>
      </c>
      <c r="F7" s="303">
        <f ca="1">IF(INDIRECT("'数据-取费表'!ah"&amp;$G$1)="",INDIRECT("'数据-取费表'!k"&amp;$G$1),INDIRECT("'数据-取费表'!ah"&amp;$G$1))</f>
        <v>121.8</v>
      </c>
      <c r="G7" s="1383"/>
      <c r="H7" s="304"/>
      <c r="I7" s="3687"/>
      <c r="J7" s="306"/>
      <c r="K7" s="307"/>
      <c r="L7" s="302" t="s">
        <v>697</v>
      </c>
      <c r="M7" s="303">
        <f ca="1">F7</f>
        <v>121.8</v>
      </c>
    </row>
    <row r="8" spans="1:37" ht="18" customHeight="1">
      <c r="A8" s="304"/>
      <c r="B8" s="3687"/>
      <c r="C8" s="306"/>
      <c r="D8" s="307"/>
      <c r="E8" s="302" t="s">
        <v>698</v>
      </c>
      <c r="F8" s="303">
        <f ca="1">INDIRECT("'数据-取费表'!ai"&amp;$G$1)</f>
        <v>365</v>
      </c>
      <c r="G8" s="1383"/>
      <c r="H8" s="304"/>
      <c r="I8" s="3687"/>
      <c r="J8" s="306"/>
      <c r="K8" s="307"/>
      <c r="L8" s="302" t="s">
        <v>698</v>
      </c>
      <c r="M8" s="303">
        <f ca="1">INDIRECT("'数据-取费表'!ai"&amp;$G$1)</f>
        <v>365</v>
      </c>
    </row>
    <row r="9" spans="1:37" ht="18" customHeight="1">
      <c r="A9" s="304"/>
      <c r="B9" s="3688"/>
      <c r="C9" s="306"/>
      <c r="D9" s="307"/>
      <c r="E9" s="302" t="s">
        <v>699</v>
      </c>
      <c r="F9" s="312">
        <f ca="1">INDIRECT("'数据-取费表'!w"&amp;$G$1)</f>
        <v>0</v>
      </c>
      <c r="G9" s="1383"/>
      <c r="H9" s="304"/>
      <c r="I9" s="3688"/>
      <c r="J9" s="306"/>
      <c r="K9" s="307"/>
      <c r="L9" s="313" t="s">
        <v>699</v>
      </c>
      <c r="M9" s="314">
        <f ca="1">INDIRECT("'数据-取费表'!ab"&amp;$G$1)</f>
        <v>0.1</v>
      </c>
    </row>
    <row r="10" spans="1:37" ht="18" customHeight="1">
      <c r="A10" s="1068" t="s">
        <v>402</v>
      </c>
      <c r="B10" s="1364" t="s">
        <v>700</v>
      </c>
      <c r="C10" s="316">
        <f ca="1">ROUND(IF(F10="押一",C6/12*F11,IF(F10="押二",C6/12*2*F11,IF(F10="押三",C6/12*3*F11,C11*F11))),0)</f>
        <v>125</v>
      </c>
      <c r="D10" s="1365" t="s">
        <v>2116</v>
      </c>
      <c r="E10" s="313" t="s">
        <v>701</v>
      </c>
      <c r="F10" s="1115" t="s">
        <v>3437</v>
      </c>
      <c r="G10" s="1383"/>
      <c r="H10" s="1068" t="s">
        <v>402</v>
      </c>
      <c r="I10" s="1364" t="s">
        <v>700</v>
      </c>
      <c r="J10" s="301">
        <f ca="1">ROUND(IF(M10="押一",J6/12*M11,IF(M10="押二",J6/12*2*M11,IF(M10="押三",J6/12*3*M11,J11*M11))),0)</f>
        <v>300</v>
      </c>
      <c r="K10" s="1376" t="s">
        <v>2118</v>
      </c>
      <c r="L10" s="313" t="s">
        <v>701</v>
      </c>
      <c r="M10" s="1115" t="s">
        <v>3437</v>
      </c>
    </row>
    <row r="11" spans="1:37" ht="18" customHeight="1">
      <c r="A11" s="308"/>
      <c r="B11" s="1366" t="s">
        <v>890</v>
      </c>
      <c r="C11" s="958"/>
      <c r="D11" s="307"/>
      <c r="E11" s="313" t="s">
        <v>702</v>
      </c>
      <c r="F11" s="314">
        <f ca="1">'数据-取费表'!B39</f>
        <v>1.4999999999999999E-2</v>
      </c>
      <c r="G11" s="1383"/>
      <c r="H11" s="1076"/>
      <c r="I11" s="1366" t="s">
        <v>891</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645864</v>
      </c>
      <c r="D13" s="1080" t="s">
        <v>705</v>
      </c>
      <c r="E13" s="1080" t="s">
        <v>706</v>
      </c>
      <c r="F13" s="1081">
        <f ca="1">INDIRECT("'数据-取费表'!y"&amp;$G$1)</f>
        <v>0.85</v>
      </c>
      <c r="G13" s="1383"/>
      <c r="H13" s="1078">
        <v>2</v>
      </c>
      <c r="I13" s="1079" t="s">
        <v>704</v>
      </c>
      <c r="J13" s="1067">
        <f ca="1">ROUND(J14*J15,0)</f>
        <v>607872</v>
      </c>
      <c r="K13" s="1086" t="s">
        <v>705</v>
      </c>
      <c r="L13" s="1391"/>
      <c r="M13" s="1392"/>
    </row>
    <row r="14" spans="1:37" ht="18" customHeight="1">
      <c r="A14" s="981" t="s">
        <v>397</v>
      </c>
      <c r="B14" s="302" t="s">
        <v>707</v>
      </c>
      <c r="C14" s="318">
        <f ca="1">ROUND(INDIRECT("'数据-取费表'!l"&amp;$G$1)*F43+'数据-取费表'!L14*INDIRECT("'数据-取费表'!S"&amp;$G$1),0)</f>
        <v>487200</v>
      </c>
      <c r="D14" s="1344" t="s">
        <v>708</v>
      </c>
      <c r="E14" s="1341"/>
      <c r="F14" s="319"/>
      <c r="G14" s="1383"/>
      <c r="H14" s="981" t="s">
        <v>398</v>
      </c>
      <c r="I14" s="302" t="s">
        <v>709</v>
      </c>
      <c r="J14" s="21">
        <f ca="1">C29</f>
        <v>759840</v>
      </c>
      <c r="K14" s="12"/>
      <c r="L14" s="806"/>
      <c r="M14" s="807"/>
    </row>
    <row r="15" spans="1:37" s="1396" customFormat="1" ht="18" customHeight="1" thickBot="1">
      <c r="A15" s="981" t="s">
        <v>399</v>
      </c>
      <c r="B15" s="302" t="s">
        <v>710</v>
      </c>
      <c r="C15" s="21">
        <f ca="1">ROUND(C14*F15,0)</f>
        <v>24360</v>
      </c>
      <c r="D15" s="320" t="s">
        <v>711</v>
      </c>
      <c r="E15" s="320" t="s">
        <v>712</v>
      </c>
      <c r="F15" s="321">
        <f>'数据-取费表'!B33</f>
        <v>0.05</v>
      </c>
      <c r="G15" s="1395"/>
      <c r="H15" s="1088" t="s">
        <v>402</v>
      </c>
      <c r="I15" s="1089" t="s">
        <v>706</v>
      </c>
      <c r="J15" s="1098">
        <f ca="1">INDIRECT("'数据-取费表'!ad"&amp;$G$1)</f>
        <v>0.8</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ROUND(INDIRECT("'数据-取费表'!l"&amp;$G$1)*F43*F16,0)</f>
        <v>0</v>
      </c>
      <c r="D16" s="302" t="s">
        <v>711</v>
      </c>
      <c r="E16" s="302" t="s">
        <v>712</v>
      </c>
      <c r="F16" s="322">
        <f ca="1">IF(INDIRECT("'数据-取费表'!c"&amp;$G$1)="住宅",'数据-取费表'!B34,0)</f>
        <v>0</v>
      </c>
      <c r="G16" s="1383"/>
      <c r="H16" s="1078" t="s">
        <v>393</v>
      </c>
      <c r="I16" s="1079" t="s">
        <v>714</v>
      </c>
      <c r="J16" s="310">
        <f ca="1">ROUND(J17+J22+J23+J24,0)</f>
        <v>43570</v>
      </c>
      <c r="K16" s="1086" t="s">
        <v>715</v>
      </c>
      <c r="L16" s="1087"/>
      <c r="M16" s="1071"/>
    </row>
    <row r="17" spans="1:37" s="1396" customFormat="1" ht="18" customHeight="1">
      <c r="A17" s="981" t="s">
        <v>681</v>
      </c>
      <c r="B17" s="302" t="s">
        <v>716</v>
      </c>
      <c r="C17" s="21">
        <f ca="1">ROUND(F17*(F43+INDIRECT("'数据-取费表'!S"&amp;$G$1)),0)</f>
        <v>24360</v>
      </c>
      <c r="D17" s="302" t="s">
        <v>717</v>
      </c>
      <c r="E17" s="302" t="s">
        <v>718</v>
      </c>
      <c r="F17" s="23">
        <f>'数据-取费表'!B35</f>
        <v>200</v>
      </c>
      <c r="G17" s="1395"/>
      <c r="H17" s="981" t="s">
        <v>398</v>
      </c>
      <c r="I17" s="302" t="s">
        <v>719</v>
      </c>
      <c r="J17" s="2315">
        <f ca="1">ROUND(IF(AND(项目基本情况!B11="自然人",项目基本情况!B10="北京市"),J6*M17/(1+'数据-取费表'!C42),J18+J19+J20),0)</f>
        <v>40240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9744</v>
      </c>
      <c r="D18" s="302" t="s">
        <v>711</v>
      </c>
      <c r="E18" s="302" t="s">
        <v>712</v>
      </c>
      <c r="F18" s="322">
        <f>'数据-取费表'!B36</f>
        <v>0.02</v>
      </c>
      <c r="G18" s="1395"/>
      <c r="H18" s="981" t="s">
        <v>397</v>
      </c>
      <c r="I18" s="302" t="s">
        <v>723</v>
      </c>
      <c r="J18" s="21">
        <f ca="1">ROUND(J6*M18/(1+'数据-取费表'!C42),0)</f>
        <v>12804</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545664</v>
      </c>
      <c r="D19" s="131" t="s">
        <v>726</v>
      </c>
      <c r="E19" s="1359"/>
      <c r="F19" s="23"/>
      <c r="G19" s="1383"/>
      <c r="H19" s="981" t="s">
        <v>399</v>
      </c>
      <c r="I19" s="302" t="s">
        <v>727</v>
      </c>
      <c r="J19" s="21">
        <f ca="1">IF(K19="按租金收入计税",ROUND(J6*M19/(1+'数据-取费表'!C42),0),ROUND(C29*M19*0.7,0))</f>
        <v>27436</v>
      </c>
      <c r="K19" s="1369" t="s">
        <v>3335</v>
      </c>
      <c r="L19" s="302" t="s">
        <v>712</v>
      </c>
      <c r="M19" s="322">
        <f>IF(K19="按租金收入计税",'数据-取费表'!B51,'数据-取费表'!B50)</f>
        <v>0.12</v>
      </c>
    </row>
    <row r="20" spans="1:37" s="1396" customFormat="1" ht="18" customHeight="1">
      <c r="A20" s="981" t="s">
        <v>402</v>
      </c>
      <c r="B20" s="302" t="s">
        <v>728</v>
      </c>
      <c r="C20" s="21">
        <f ca="1">ROUND(C19*F20,0)</f>
        <v>16370</v>
      </c>
      <c r="D20" s="323" t="s">
        <v>729</v>
      </c>
      <c r="E20" s="302" t="s">
        <v>712</v>
      </c>
      <c r="F20" s="322">
        <f>'数据-取费表'!B37</f>
        <v>0.03</v>
      </c>
      <c r="G20" s="1395"/>
      <c r="H20" s="981" t="s">
        <v>680</v>
      </c>
      <c r="I20" s="155" t="s">
        <v>730</v>
      </c>
      <c r="J20" s="22">
        <f ca="1">ROUND(M20*M21,0)</f>
        <v>0</v>
      </c>
      <c r="K20" s="324" t="s">
        <v>731</v>
      </c>
      <c r="L20" s="302" t="s">
        <v>732</v>
      </c>
      <c r="M20" s="325">
        <f>'数据-取费表'!B52</f>
        <v>0</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9"/>
      <c r="F22" s="23"/>
      <c r="G22" s="1383"/>
      <c r="H22" s="981" t="s">
        <v>402</v>
      </c>
      <c r="I22" s="302" t="s">
        <v>738</v>
      </c>
      <c r="J22" s="21">
        <f ca="1">ROUND(J14*M22,0)</f>
        <v>1520</v>
      </c>
      <c r="K22" s="1343" t="s">
        <v>739</v>
      </c>
      <c r="L22" s="302" t="s">
        <v>712</v>
      </c>
      <c r="M22" s="328">
        <f ca="1">INDIRECT("'数据-取费表'!Ak"&amp;$G$1)</f>
        <v>2E-3</v>
      </c>
    </row>
    <row r="23" spans="1:37" s="1396" customFormat="1" ht="18" customHeight="1">
      <c r="A23" s="981" t="s">
        <v>397</v>
      </c>
      <c r="B23" s="302" t="s">
        <v>740</v>
      </c>
      <c r="C23" s="21">
        <f ca="1">IF('数据-取费表'!B22&lt;=1,ROUND(C19*F24*F23/2,0)+ROUND(C20*F24*F23/2,0),ROUND(C19*(POWER((1+F24),F23/2)-1),0)+ROUND(C20*(POWER((1+F24),F23/2)-1),0))</f>
        <v>16861</v>
      </c>
      <c r="D23" s="329" t="str">
        <f>IF(F23&lt;=1,"(建造成本+管理费用)×利率×(建设周期÷2)","(建造成本+管理费用)×((1+利率)^(建设周期÷2)-1)")</f>
        <v>(建造成本+管理费用)×((1+利率)^(建设周期÷2)-1)</v>
      </c>
      <c r="E23" s="302" t="s">
        <v>741</v>
      </c>
      <c r="F23" s="325">
        <f>'数据-取费表'!B20</f>
        <v>2</v>
      </c>
      <c r="G23" s="1395"/>
      <c r="H23" s="981" t="s">
        <v>437</v>
      </c>
      <c r="I23" s="302" t="s">
        <v>742</v>
      </c>
      <c r="J23" s="21">
        <f ca="1">ROUND(J13*M23,0)</f>
        <v>608</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0.03</v>
      </c>
      <c r="G24" s="1395"/>
      <c r="H24" s="1088" t="s">
        <v>684</v>
      </c>
      <c r="I24" s="1089" t="s">
        <v>728</v>
      </c>
      <c r="J24" s="1090">
        <f ca="1">ROUND(J5*M24,0)</f>
        <v>1202</v>
      </c>
      <c r="K24" s="1091" t="s">
        <v>748</v>
      </c>
      <c r="L24" s="1089" t="s">
        <v>744</v>
      </c>
      <c r="M24" s="1085">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749</v>
      </c>
      <c r="B25" s="302" t="s">
        <v>750</v>
      </c>
      <c r="C25" s="21"/>
      <c r="D25" s="131" t="s">
        <v>751</v>
      </c>
      <c r="E25" s="1359"/>
      <c r="F25" s="23"/>
      <c r="G25" s="1383"/>
      <c r="H25" s="1078" t="s">
        <v>394</v>
      </c>
      <c r="I25" s="1093" t="s">
        <v>752</v>
      </c>
      <c r="J25" s="310">
        <f ca="1">J5-J16</f>
        <v>196798</v>
      </c>
      <c r="K25" s="1094" t="s">
        <v>753</v>
      </c>
      <c r="L25" s="1095"/>
      <c r="M25" s="1096"/>
    </row>
    <row r="26" spans="1:37" ht="18" customHeight="1">
      <c r="A26" s="981" t="s">
        <v>397</v>
      </c>
      <c r="B26" s="302" t="s">
        <v>754</v>
      </c>
      <c r="C26" s="21">
        <f ca="1">ROUND((C19+C20)*F26,0)</f>
        <v>112407</v>
      </c>
      <c r="D26" s="323" t="s">
        <v>755</v>
      </c>
      <c r="E26" s="313" t="s">
        <v>756</v>
      </c>
      <c r="F26" s="312">
        <f ca="1">INDIRECT("'数据-取费表'!q"&amp;$G$1)</f>
        <v>0.2</v>
      </c>
      <c r="G26" s="1383"/>
      <c r="H26" s="299" t="s">
        <v>395</v>
      </c>
      <c r="I26" s="300" t="s">
        <v>757</v>
      </c>
      <c r="J26" s="301">
        <f ca="1">IF(J5&lt;&gt;0,ROUND(J25*(1-((1+M28)/(1+M26))^M27)/(M26-M28),0),0)</f>
        <v>3136727</v>
      </c>
      <c r="K26" s="324" t="s">
        <v>758</v>
      </c>
      <c r="L26" s="302" t="s">
        <v>759</v>
      </c>
      <c r="M26" s="312">
        <f ca="1">INDIRECT("'数据-取费表'!I"&amp;$G$1)</f>
        <v>5.5E-2</v>
      </c>
    </row>
    <row r="27" spans="1:37" ht="18" customHeight="1">
      <c r="A27" s="981" t="s">
        <v>399</v>
      </c>
      <c r="B27" s="302" t="s">
        <v>760</v>
      </c>
      <c r="C27" s="21">
        <f ca="1">ROUND(F21*F26,4)</f>
        <v>6.0000000000000001E-3</v>
      </c>
      <c r="D27" s="323" t="s">
        <v>761</v>
      </c>
      <c r="E27" s="320"/>
      <c r="F27" s="321"/>
      <c r="G27" s="1383"/>
      <c r="H27" s="304"/>
      <c r="I27" s="305"/>
      <c r="J27" s="306"/>
      <c r="K27" s="332" t="s">
        <v>762</v>
      </c>
      <c r="L27" s="302" t="s">
        <v>763</v>
      </c>
      <c r="M27" s="333">
        <f ca="1">INDIRECT("'数据-取费表'!ag"&amp;$G$1)</f>
        <v>24.19</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0.02</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759840</v>
      </c>
      <c r="D29" s="1091"/>
      <c r="E29" s="1089"/>
      <c r="F29" s="1092"/>
      <c r="G29" s="1395"/>
      <c r="H29" s="334" t="s">
        <v>396</v>
      </c>
      <c r="I29" s="335" t="s">
        <v>768</v>
      </c>
      <c r="J29" s="336">
        <f ca="1">ROUND(J26/(1+F40)^F41,0)</f>
        <v>2383371</v>
      </c>
      <c r="K29" s="337" t="s">
        <v>769</v>
      </c>
      <c r="L29" s="338"/>
      <c r="M29" s="339">
        <f ca="1">INDIRECT("'数据-取费表'!k"&amp;$G$1)</f>
        <v>121.8</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19434</v>
      </c>
      <c r="D30" s="1086" t="s">
        <v>715</v>
      </c>
      <c r="E30" s="1087"/>
      <c r="F30" s="1071"/>
      <c r="G30" s="1383"/>
      <c r="H30" s="2696"/>
      <c r="I30" s="1397"/>
      <c r="J30" s="1398"/>
      <c r="K30" s="2474"/>
      <c r="L30" s="2697"/>
      <c r="M30" s="2698"/>
    </row>
    <row r="31" spans="1:37" ht="18" customHeight="1">
      <c r="A31" s="981" t="s">
        <v>398</v>
      </c>
      <c r="B31" s="302" t="s">
        <v>719</v>
      </c>
      <c r="C31" s="2315">
        <f ca="1">ROUND(IF(AND(项目基本情况!B11="自然人",项目基本情况!B10="北京市"),C6*F31/(1+'数据-取费表'!C42),C32+C33+C34),0)</f>
        <v>16767</v>
      </c>
      <c r="D31" s="1344" t="s">
        <v>720</v>
      </c>
      <c r="E31" s="1343" t="s">
        <v>770</v>
      </c>
      <c r="F31" s="2314" t="str">
        <f>IF(项目基本情况!B11="企业","——",IF(M47="住宅",IF(F6*F7*F8/12/(1+'数据-取费表'!F30)&gt;100000,4%,2.5%),IF(F6*F7*F8/12/(1+'数据-取费表'!F30)&gt;100000,12%,7%)))</f>
        <v>——</v>
      </c>
      <c r="G31" s="1383"/>
      <c r="H31" s="2807" t="s">
        <v>2306</v>
      </c>
      <c r="I31" s="1397"/>
      <c r="J31" s="1398"/>
      <c r="K31" s="2474"/>
      <c r="L31" s="2697"/>
      <c r="M31" s="2698"/>
    </row>
    <row r="32" spans="1:37" ht="18" customHeight="1">
      <c r="A32" s="981" t="s">
        <v>397</v>
      </c>
      <c r="B32" s="302" t="s">
        <v>723</v>
      </c>
      <c r="C32" s="21">
        <f ca="1">IF(项目基本情况!B11="自然人","——",ROUND(C6*F32/(1+'数据-取费表'!C42),0))</f>
        <v>5335</v>
      </c>
      <c r="D32" s="1343" t="s">
        <v>724</v>
      </c>
      <c r="E32" s="302" t="s">
        <v>712</v>
      </c>
      <c r="F32" s="331">
        <f>'数据-取费表'!B41</f>
        <v>5.6000000000000001E-2</v>
      </c>
      <c r="G32" s="1383"/>
      <c r="H32" s="2696"/>
      <c r="I32" s="1397"/>
      <c r="J32" s="1398"/>
      <c r="K32" s="2474"/>
      <c r="L32" s="2697"/>
      <c r="M32" s="2698"/>
    </row>
    <row r="33" spans="1:18" ht="18" customHeight="1">
      <c r="A33" s="981" t="s">
        <v>399</v>
      </c>
      <c r="B33" s="302" t="s">
        <v>727</v>
      </c>
      <c r="C33" s="21">
        <f ca="1">IF(项目基本情况!B11="自然人","——",IF(D33="按租金收入计税",ROUND(C6*F33/(1+'数据-取费表'!C42),0),IF(D33="按房产原值计税",ROUND(C29*F33*0.7,0),INDIRECT("'数据-取费表'!Aj"&amp;$G$1))))</f>
        <v>11432</v>
      </c>
      <c r="D33" s="1369" t="s">
        <v>3335</v>
      </c>
      <c r="E33" s="302" t="s">
        <v>712</v>
      </c>
      <c r="F33" s="322">
        <f>IF(D33="按票据","——",IF(D33="按租金收入计税",'数据-取费表'!B51,'数据-取费表'!B50))</f>
        <v>0.12</v>
      </c>
      <c r="G33" s="1383"/>
      <c r="H33" s="2699"/>
      <c r="I33" s="1397"/>
      <c r="J33" s="1398"/>
      <c r="K33" s="2700"/>
      <c r="L33" s="2699"/>
      <c r="M33" s="2699"/>
    </row>
    <row r="34" spans="1:18" ht="18" customHeight="1">
      <c r="A34" s="1068" t="s">
        <v>680</v>
      </c>
      <c r="B34" s="155" t="s">
        <v>730</v>
      </c>
      <c r="C34" s="22">
        <f ca="1">IF(项目基本情况!B11="自然人","——",ROUND(F34*F35,0))</f>
        <v>0</v>
      </c>
      <c r="D34" s="324" t="s">
        <v>731</v>
      </c>
      <c r="E34" s="302" t="s">
        <v>732</v>
      </c>
      <c r="F34" s="325">
        <f>'数据-取费表'!B52</f>
        <v>0</v>
      </c>
      <c r="G34" s="1383"/>
      <c r="H34" s="2696"/>
      <c r="I34" s="1397"/>
      <c r="J34" s="1398"/>
      <c r="K34" s="2701"/>
      <c r="L34" s="2702"/>
      <c r="M34" s="2702"/>
    </row>
    <row r="35" spans="1:18" ht="18" customHeight="1">
      <c r="A35" s="1102"/>
      <c r="B35" s="1100"/>
      <c r="C35" s="26"/>
      <c r="D35" s="327"/>
      <c r="E35" s="302" t="s">
        <v>736</v>
      </c>
      <c r="F35" s="303">
        <f ca="1">INDIRECT("'数据-取费表'!r"&amp;$G$1)</f>
        <v>0</v>
      </c>
      <c r="G35" s="1383"/>
      <c r="H35" s="2696"/>
      <c r="I35" s="1397"/>
      <c r="J35" s="1398"/>
      <c r="K35" s="2700"/>
      <c r="L35" s="2699"/>
      <c r="M35" s="2699"/>
    </row>
    <row r="36" spans="1:18" ht="18" customHeight="1">
      <c r="A36" s="1101" t="s">
        <v>402</v>
      </c>
      <c r="B36" s="302" t="s">
        <v>738</v>
      </c>
      <c r="C36" s="21">
        <f ca="1">ROUND(C29*F36,0)</f>
        <v>1520</v>
      </c>
      <c r="D36" s="1343" t="s">
        <v>771</v>
      </c>
      <c r="E36" s="302" t="s">
        <v>712</v>
      </c>
      <c r="F36" s="328">
        <f ca="1">INDIRECT("'数据-取费表'!Ak"&amp;$G$1)</f>
        <v>2E-3</v>
      </c>
      <c r="G36" s="1383"/>
      <c r="H36" s="2699"/>
      <c r="I36" s="1397"/>
      <c r="J36" s="1398"/>
      <c r="K36" s="2543"/>
      <c r="L36" s="2699"/>
      <c r="M36" s="2699"/>
    </row>
    <row r="37" spans="1:18" ht="18" customHeight="1">
      <c r="A37" s="981" t="s">
        <v>437</v>
      </c>
      <c r="B37" s="302" t="s">
        <v>742</v>
      </c>
      <c r="C37" s="21">
        <f ca="1">ROUND(C13*F37,0)</f>
        <v>646</v>
      </c>
      <c r="D37" s="1343" t="s">
        <v>743</v>
      </c>
      <c r="E37" s="302" t="s">
        <v>744</v>
      </c>
      <c r="F37" s="330">
        <f ca="1">INDIRECT("'数据-取费表'!Al"&amp;$G$1)</f>
        <v>1E-3</v>
      </c>
      <c r="G37" s="1383"/>
      <c r="H37" s="2699"/>
      <c r="I37" s="1397"/>
      <c r="J37" s="1398"/>
      <c r="K37" s="2543"/>
      <c r="L37" s="2699"/>
      <c r="M37" s="2699"/>
    </row>
    <row r="38" spans="1:18" ht="18" customHeight="1" thickBot="1">
      <c r="A38" s="1088" t="s">
        <v>684</v>
      </c>
      <c r="B38" s="1089" t="s">
        <v>728</v>
      </c>
      <c r="C38" s="1090">
        <f ca="1">ROUND(C5*F38,0)</f>
        <v>501</v>
      </c>
      <c r="D38" s="1091" t="s">
        <v>748</v>
      </c>
      <c r="E38" s="1089" t="s">
        <v>744</v>
      </c>
      <c r="F38" s="1085">
        <f ca="1">INDIRECT("'数据-取费表'!Am"&amp;$G$1)</f>
        <v>5.0000000000000001E-3</v>
      </c>
      <c r="G38" s="1383"/>
      <c r="H38" s="2699"/>
      <c r="I38" s="1397"/>
      <c r="J38" s="1398"/>
      <c r="K38" s="2703"/>
      <c r="L38" s="2699"/>
      <c r="M38" s="2699"/>
    </row>
    <row r="39" spans="1:18" ht="24.6" customHeight="1" thickTop="1">
      <c r="A39" s="1078" t="s">
        <v>394</v>
      </c>
      <c r="B39" s="1093" t="s">
        <v>772</v>
      </c>
      <c r="C39" s="310">
        <f ca="1">C5-C30</f>
        <v>80719</v>
      </c>
      <c r="D39" s="1094" t="s">
        <v>773</v>
      </c>
      <c r="E39" s="1095"/>
      <c r="F39" s="1096"/>
      <c r="G39" s="1383"/>
      <c r="H39" s="2699"/>
      <c r="I39" s="1397"/>
      <c r="J39" s="1398"/>
      <c r="K39" s="2703"/>
      <c r="L39" s="2699"/>
      <c r="M39" s="2699"/>
    </row>
    <row r="40" spans="1:18" ht="18" customHeight="1">
      <c r="A40" s="299" t="s">
        <v>395</v>
      </c>
      <c r="B40" s="300" t="s">
        <v>774</v>
      </c>
      <c r="C40" s="301">
        <f ca="1">ROUND(C39*(1-((1+F42)/(1+F40))^F41)/(F40-F42),0)</f>
        <v>352482</v>
      </c>
      <c r="D40" s="324" t="s">
        <v>758</v>
      </c>
      <c r="E40" s="302" t="s">
        <v>759</v>
      </c>
      <c r="F40" s="312">
        <f ca="1">INDIRECT("'数据-取费表'!I"&amp;$G$1)</f>
        <v>5.5E-2</v>
      </c>
      <c r="G40" s="1383"/>
      <c r="H40" s="1460"/>
      <c r="I40" s="1397"/>
      <c r="J40" s="1398"/>
      <c r="K40" s="2703"/>
      <c r="L40" s="1460"/>
      <c r="M40" s="1460"/>
    </row>
    <row r="41" spans="1:18" ht="18" customHeight="1">
      <c r="A41" s="304"/>
      <c r="B41" s="305"/>
      <c r="C41" s="306"/>
      <c r="D41" s="332" t="s">
        <v>775</v>
      </c>
      <c r="E41" s="302" t="s">
        <v>763</v>
      </c>
      <c r="F41" s="333">
        <f ca="1">IF(INDIRECT("'数据-取费表'!af"&amp;$G$1)=0,INDIRECT("'数据-取费表'!ae"&amp;$G$1),INDIRECT("'数据-取费表'!af"&amp;$G$1))</f>
        <v>5.13</v>
      </c>
      <c r="G41" s="1383"/>
      <c r="H41" s="1190"/>
      <c r="I41" s="1397"/>
      <c r="J41" s="1398"/>
      <c r="K41" s="2543"/>
      <c r="L41" s="1190"/>
      <c r="M41" s="1190"/>
    </row>
    <row r="42" spans="1:18" ht="18" customHeight="1">
      <c r="A42" s="308"/>
      <c r="B42" s="309"/>
      <c r="C42" s="310"/>
      <c r="D42" s="327"/>
      <c r="E42" s="302" t="s">
        <v>766</v>
      </c>
      <c r="F42" s="312">
        <f ca="1">INDIRECT("'数据-取费表'!v"&amp;$G$1)</f>
        <v>0</v>
      </c>
      <c r="G42" s="1383"/>
      <c r="H42" s="1190"/>
      <c r="I42" s="1397"/>
      <c r="J42" s="1398"/>
      <c r="K42" s="2543"/>
      <c r="L42" s="1190"/>
      <c r="M42" s="1190"/>
    </row>
    <row r="43" spans="1:18" ht="18" customHeight="1" thickBot="1">
      <c r="A43" s="334" t="s">
        <v>396</v>
      </c>
      <c r="B43" s="335" t="s">
        <v>776</v>
      </c>
      <c r="C43" s="336">
        <f ca="1">ROUND(C40/F43,0)</f>
        <v>2894</v>
      </c>
      <c r="D43" s="337" t="s">
        <v>777</v>
      </c>
      <c r="E43" s="338" t="s">
        <v>778</v>
      </c>
      <c r="F43" s="339">
        <f ca="1">INDIRECT("'数据-取费表'!k"&amp;$G$1)</f>
        <v>121.8</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3430" t="s">
        <v>3351</v>
      </c>
      <c r="B45" s="1399"/>
      <c r="C45" s="1471">
        <f ca="1">ROUND((C68-C40)/10000,4)</f>
        <v>50.665500000000002</v>
      </c>
      <c r="D45" s="3431" t="s">
        <v>3352</v>
      </c>
      <c r="E45" s="1399"/>
      <c r="F45" s="1399"/>
      <c r="O45" s="1402" t="s">
        <v>808</v>
      </c>
      <c r="P45" s="1460"/>
      <c r="Q45" s="1460"/>
      <c r="R45" s="1460"/>
    </row>
    <row r="46" spans="1:18" s="1383" customFormat="1" ht="13.5" thickBot="1">
      <c r="A46" s="1403" t="s">
        <v>809</v>
      </c>
      <c r="C46" s="1404">
        <f ca="1">ROUND(C45,0)</f>
        <v>51</v>
      </c>
      <c r="D46" s="1405" t="str">
        <f>C2</f>
        <v>万元</v>
      </c>
      <c r="I46" s="1406" t="s">
        <v>810</v>
      </c>
      <c r="J46" s="1407"/>
      <c r="K46" s="1408"/>
      <c r="L46" s="1409">
        <f ca="1">IF(M47="住宅",0,IF(L48&gt;J51,L60,J60))</f>
        <v>36466</v>
      </c>
      <c r="O46" s="1410" t="s">
        <v>811</v>
      </c>
      <c r="P46" s="1411" t="s">
        <v>812</v>
      </c>
      <c r="Q46" s="1412" t="s">
        <v>813</v>
      </c>
      <c r="R46" s="1412" t="s">
        <v>814</v>
      </c>
    </row>
    <row r="47" spans="1:18" s="1383" customFormat="1" ht="13.5" thickBot="1">
      <c r="A47" s="945" t="s">
        <v>687</v>
      </c>
      <c r="B47" s="977" t="s">
        <v>688</v>
      </c>
      <c r="C47" s="977" t="s">
        <v>689</v>
      </c>
      <c r="D47" s="977" t="s">
        <v>690</v>
      </c>
      <c r="E47" s="1057" t="s">
        <v>691</v>
      </c>
      <c r="F47" s="1058"/>
      <c r="G47" s="721"/>
      <c r="I47" s="1413" t="s">
        <v>815</v>
      </c>
      <c r="J47" s="1414" t="s">
        <v>3438</v>
      </c>
      <c r="K47" s="1415" t="s">
        <v>816</v>
      </c>
      <c r="L47" s="1416">
        <f ca="1">INDIRECT("'数据-取费表'!d"&amp;$G$1)</f>
        <v>40</v>
      </c>
      <c r="M47" s="1379" t="str">
        <f>IF(ISNUMBER(FIND("住宅",C1)),"住宅","非住宅")</f>
        <v>非住宅</v>
      </c>
      <c r="O47" s="1417" t="s">
        <v>403</v>
      </c>
      <c r="P47" s="1418" t="s">
        <v>817</v>
      </c>
      <c r="Q47" s="1419">
        <f ca="1">C40+J29</f>
        <v>2735853</v>
      </c>
      <c r="R47" s="1419" t="s">
        <v>818</v>
      </c>
    </row>
    <row r="48" spans="1:18" s="1383" customFormat="1" ht="28.5" thickBot="1">
      <c r="A48" s="1109" t="s">
        <v>438</v>
      </c>
      <c r="B48" s="300" t="s">
        <v>692</v>
      </c>
      <c r="C48" s="1358">
        <f ca="1">C49+C53+C55</f>
        <v>240368</v>
      </c>
      <c r="D48" s="1111"/>
      <c r="E48" s="1112"/>
      <c r="F48" s="961"/>
      <c r="G48" s="721"/>
      <c r="H48" s="722"/>
      <c r="I48" s="1420" t="s">
        <v>819</v>
      </c>
      <c r="J48" s="1421" t="s">
        <v>3439</v>
      </c>
      <c r="K48" s="1422" t="s">
        <v>820</v>
      </c>
      <c r="L48" s="1423">
        <f ca="1">INDIRECT("'数据-取费表'!f"&amp;$G$1)</f>
        <v>29.32</v>
      </c>
      <c r="O48" s="1417" t="s">
        <v>404</v>
      </c>
      <c r="P48" s="1418" t="s">
        <v>821</v>
      </c>
      <c r="Q48" s="1419">
        <f ca="1">J60</f>
        <v>36466</v>
      </c>
      <c r="R48" s="1419" t="s">
        <v>822</v>
      </c>
    </row>
    <row r="49" spans="1:18" s="1383" customFormat="1" ht="13.5" thickBot="1">
      <c r="A49" s="974" t="s">
        <v>439</v>
      </c>
      <c r="B49" s="1370" t="s">
        <v>779</v>
      </c>
      <c r="C49" s="1113">
        <f ca="1">ROUND(F49*F51*F50*(1-F52),0)</f>
        <v>240068</v>
      </c>
      <c r="D49" s="1054" t="s">
        <v>695</v>
      </c>
      <c r="E49" s="1371" t="s">
        <v>780</v>
      </c>
      <c r="F49" s="1059">
        <v>6</v>
      </c>
      <c r="G49" s="1424"/>
      <c r="H49" s="722"/>
      <c r="I49" s="1420" t="s">
        <v>823</v>
      </c>
      <c r="J49" s="1425">
        <f>'数据-取费表'!N17</f>
        <v>2016</v>
      </c>
      <c r="K49" s="1422" t="s">
        <v>824</v>
      </c>
      <c r="L49" s="1426"/>
      <c r="O49" s="1427" t="s">
        <v>405</v>
      </c>
      <c r="P49" s="1418" t="s">
        <v>825</v>
      </c>
      <c r="Q49" s="1419">
        <f ca="1">C29</f>
        <v>759840</v>
      </c>
      <c r="R49" s="1419" t="s">
        <v>818</v>
      </c>
    </row>
    <row r="50" spans="1:18" s="1383" customFormat="1" ht="13.5" thickBot="1">
      <c r="A50" s="975"/>
      <c r="B50" s="978"/>
      <c r="C50" s="979"/>
      <c r="D50" s="952"/>
      <c r="E50" s="1055" t="s">
        <v>697</v>
      </c>
      <c r="F50" s="1056">
        <f ca="1">F7</f>
        <v>121.8</v>
      </c>
      <c r="H50" s="722"/>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6"/>
      <c r="B51" s="978"/>
      <c r="C51" s="979"/>
      <c r="D51" s="952"/>
      <c r="E51" s="980" t="s">
        <v>698</v>
      </c>
      <c r="F51" s="303">
        <f ca="1">F8</f>
        <v>365</v>
      </c>
      <c r="I51" s="1431" t="s">
        <v>829</v>
      </c>
      <c r="J51" s="1432">
        <f>IF(J49="",J50,J49+J50-YEAR('数据-取费表'!B2))</f>
        <v>51</v>
      </c>
      <c r="K51" s="1433" t="s">
        <v>830</v>
      </c>
      <c r="L51" s="1434">
        <f ca="1">ROUND(-PV(INDIRECT("'数据-取费表'!h"&amp;$G$1),J51,(C39-C13*C76),0),0)</f>
        <v>651190</v>
      </c>
      <c r="M51" s="1435"/>
      <c r="O51" s="1427" t="s">
        <v>407</v>
      </c>
      <c r="P51" s="1418" t="s">
        <v>831</v>
      </c>
      <c r="Q51" s="1430">
        <f>J52</f>
        <v>7.4999999999999997E-2</v>
      </c>
      <c r="R51" s="1419"/>
    </row>
    <row r="52" spans="1:18" s="1383" customFormat="1" ht="13.5" thickBot="1">
      <c r="A52" s="976"/>
      <c r="B52" s="978"/>
      <c r="C52" s="979"/>
      <c r="D52" s="952"/>
      <c r="E52" s="980" t="s">
        <v>699</v>
      </c>
      <c r="F52" s="1053">
        <v>0.1</v>
      </c>
      <c r="I52" s="1436" t="s">
        <v>832</v>
      </c>
      <c r="J52" s="1437">
        <v>7.4999999999999997E-2</v>
      </c>
      <c r="K52" s="1436" t="s">
        <v>833</v>
      </c>
      <c r="L52" s="1437"/>
      <c r="O52" s="1427" t="s">
        <v>408</v>
      </c>
      <c r="P52" s="1418" t="s">
        <v>834</v>
      </c>
      <c r="Q52" s="1419">
        <f ca="1">J53</f>
        <v>29.32</v>
      </c>
      <c r="R52" s="1419" t="s">
        <v>835</v>
      </c>
    </row>
    <row r="53" spans="1:18" s="1383" customFormat="1" ht="30.75" customHeight="1" thickBot="1">
      <c r="A53" s="1110" t="s">
        <v>440</v>
      </c>
      <c r="B53" s="323" t="s">
        <v>700</v>
      </c>
      <c r="C53" s="316">
        <f ca="1">ROUND(IF(F53="押一",C49/12*F11,IF(F53="押二",C49/12*2*F11,IF(F53="押三",C49/12*3*F11,C54*F11))),0)</f>
        <v>300</v>
      </c>
      <c r="D53" s="1365" t="s">
        <v>2119</v>
      </c>
      <c r="E53" s="313" t="s">
        <v>701</v>
      </c>
      <c r="F53" s="1115" t="s">
        <v>3437</v>
      </c>
      <c r="I53" s="1438" t="s">
        <v>836</v>
      </c>
      <c r="J53" s="2167">
        <f ca="1">IF(M47="住宅",IF(D1="——",MAX(J51,L48),MAX(J51,L48-'数据-取费表'!B24)),IF(D1="——",MIN(J51,L48),MIN(J51,L48-'数据-取费表'!B24)))</f>
        <v>29.32</v>
      </c>
      <c r="K53" s="3684" t="s">
        <v>837</v>
      </c>
      <c r="L53" s="3685"/>
      <c r="O53" s="1417" t="s">
        <v>409</v>
      </c>
      <c r="P53" s="1418" t="s">
        <v>838</v>
      </c>
      <c r="Q53" s="1419">
        <f ca="1">Q47+Q48</f>
        <v>2772319</v>
      </c>
      <c r="R53" s="1419" t="s">
        <v>410</v>
      </c>
    </row>
    <row r="54" spans="1:18" s="1383" customFormat="1" ht="13.5" thickBot="1">
      <c r="A54" s="974"/>
      <c r="B54" s="1472" t="s">
        <v>891</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f ca="1">ROUND(IF(J47="钢混",J57/J50,1-(1-2%)*(J50-J57)/J50),3)</f>
        <v>0.36099999999999999</v>
      </c>
      <c r="K55" s="1444" t="s">
        <v>841</v>
      </c>
      <c r="L55" s="1445"/>
      <c r="O55" s="1410" t="s">
        <v>811</v>
      </c>
      <c r="P55" s="1411" t="s">
        <v>812</v>
      </c>
      <c r="Q55" s="1412" t="s">
        <v>813</v>
      </c>
      <c r="R55" s="1412" t="s">
        <v>814</v>
      </c>
    </row>
    <row r="56" spans="1:18" s="1383" customFormat="1" ht="36" customHeight="1" thickTop="1" thickBot="1">
      <c r="A56" s="956">
        <v>2</v>
      </c>
      <c r="B56" s="957" t="s">
        <v>704</v>
      </c>
      <c r="C56" s="232">
        <f ca="1">C13</f>
        <v>645864</v>
      </c>
      <c r="D56" s="1446"/>
      <c r="E56" s="1447"/>
      <c r="F56" s="1439"/>
      <c r="I56" s="1448" t="s">
        <v>842</v>
      </c>
      <c r="J56" s="1449" t="s">
        <v>3416</v>
      </c>
      <c r="K56" s="1420" t="s">
        <v>843</v>
      </c>
      <c r="L56" s="1423" t="str">
        <f ca="1">IF(L48&lt;J51,"——",L48-J51)</f>
        <v>——</v>
      </c>
      <c r="O56" s="1417" t="s">
        <v>403</v>
      </c>
      <c r="P56" s="1418" t="s">
        <v>817</v>
      </c>
      <c r="Q56" s="1419">
        <f ca="1">C40+J29</f>
        <v>2735853</v>
      </c>
      <c r="R56" s="1419" t="s">
        <v>818</v>
      </c>
    </row>
    <row r="57" spans="1:18" s="1383" customFormat="1" ht="24.75" thickBot="1">
      <c r="A57" s="1450"/>
      <c r="B57" s="949" t="s">
        <v>767</v>
      </c>
      <c r="C57" s="238">
        <f ca="1">C29</f>
        <v>759840</v>
      </c>
      <c r="D57" s="1451"/>
      <c r="E57" s="1452"/>
      <c r="F57" s="1453"/>
      <c r="I57" s="1454" t="s">
        <v>844</v>
      </c>
      <c r="J57" s="1455">
        <f ca="1">IF(OR(M47="住宅",J51&lt;L48,J56="是"),"——",J51-L48)</f>
        <v>21.68</v>
      </c>
      <c r="K57" s="1420" t="s">
        <v>892</v>
      </c>
      <c r="L57" s="1423" t="str">
        <f ca="1">IF(L48&lt;J51,"——",IF(L55="比较法",L49,IF(L55="基准地价",L50,L51)))</f>
        <v>——</v>
      </c>
      <c r="O57" s="1417" t="s">
        <v>404</v>
      </c>
      <c r="P57" s="1418" t="s">
        <v>893</v>
      </c>
      <c r="Q57" s="1419">
        <f ca="1">L60</f>
        <v>0</v>
      </c>
      <c r="R57" s="1419" t="s">
        <v>894</v>
      </c>
    </row>
    <row r="58" spans="1:18" s="1383" customFormat="1" ht="24.75" thickBot="1">
      <c r="A58" s="315" t="s">
        <v>393</v>
      </c>
      <c r="B58" s="957" t="s">
        <v>714</v>
      </c>
      <c r="C58" s="316">
        <f ca="1">ROUND(C59+C64+C65+C66,0)</f>
        <v>43624</v>
      </c>
      <c r="D58" s="959" t="s">
        <v>715</v>
      </c>
      <c r="E58" s="960"/>
      <c r="F58" s="961"/>
      <c r="I58" s="1454" t="s">
        <v>848</v>
      </c>
      <c r="J58" s="1456">
        <f ca="1">IF(J55&lt;0.4,0.4,J55)</f>
        <v>0.4</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40256</v>
      </c>
      <c r="D59" s="962" t="s">
        <v>720</v>
      </c>
      <c r="E59" s="963" t="s">
        <v>721</v>
      </c>
      <c r="F59" s="2314" t="str">
        <f>IF(项目基本情况!B11="企业","——",IF('数据-取费表'!B10="住宅",IF(F49*F50*F51/12/(1+'数据-取费表'!F30)&gt;100000,4%,2.5%),IF(F49*F50*F51/12/(1+'数据-取费表'!F30)&gt;100000,12%,7%)))</f>
        <v>——</v>
      </c>
      <c r="I59" s="1454" t="s">
        <v>851</v>
      </c>
      <c r="J59" s="1455">
        <f ca="1">IF(OR(M47="住宅",J51&lt;L48,J56="是"),"——",ROUND(C29*J58,0))</f>
        <v>303936</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IF(项目基本情况!B11="自然人","——",ROUND(C48*F60/(1+'数据-取费表'!C42),0))</f>
        <v>12820</v>
      </c>
      <c r="D60" s="963" t="s">
        <v>724</v>
      </c>
      <c r="E60" s="949" t="s">
        <v>712</v>
      </c>
      <c r="F60" s="331">
        <f t="shared" ref="F60:F66" si="0">F32</f>
        <v>5.6000000000000001E-2</v>
      </c>
      <c r="I60" s="1457" t="s">
        <v>853</v>
      </c>
      <c r="J60" s="1458">
        <f ca="1">IF(OR(M47="住宅",J51&lt;L48,J56="是"),"0",ROUND(J59/(1+J52)^J53,0))</f>
        <v>36466</v>
      </c>
      <c r="K60" s="1459" t="s">
        <v>854</v>
      </c>
      <c r="L60" s="1458">
        <f ca="1">IF(OR(M47="住宅",L48&lt;J51),0,ROUND(L57*(L58/L59-1),0))</f>
        <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IF(项目基本情况!B11="自然人","——",IF(D61="按租金收入计税",ROUND(C49*F61/(1+'数据-取费表'!C42),0),IF(D61="按房产原值计税",ROUND(C57*F61*0.7,0),INDIRECT("'数据-取费表'!Aj"&amp;$G$1))))</f>
        <v>27436</v>
      </c>
      <c r="D61" s="1369" t="s">
        <v>3335</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IF(项目基本情况!B11="自然人","——",ROUND(F62*F63,0))</f>
        <v>0</v>
      </c>
      <c r="D62" s="964" t="s">
        <v>786</v>
      </c>
      <c r="E62" s="949" t="s">
        <v>787</v>
      </c>
      <c r="F62" s="325">
        <f t="shared" si="0"/>
        <v>0</v>
      </c>
      <c r="I62" s="1461" t="s">
        <v>858</v>
      </c>
      <c r="J62" s="1462" t="s">
        <v>859</v>
      </c>
      <c r="K62" s="1462" t="s">
        <v>860</v>
      </c>
      <c r="L62" s="1462" t="s">
        <v>861</v>
      </c>
      <c r="M62" s="1463" t="s">
        <v>862</v>
      </c>
      <c r="O62" s="1417" t="s">
        <v>409</v>
      </c>
      <c r="P62" s="1418" t="s">
        <v>863</v>
      </c>
      <c r="Q62" s="1419">
        <f ca="1">Q56+Q57</f>
        <v>2735853</v>
      </c>
      <c r="R62" s="1419" t="s">
        <v>410</v>
      </c>
    </row>
    <row r="63" spans="1:18" s="1383" customFormat="1" ht="13.5"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ROUND(C57*F64,0)</f>
        <v>1520</v>
      </c>
      <c r="D64" s="963" t="s">
        <v>791</v>
      </c>
      <c r="E64" s="949" t="s">
        <v>783</v>
      </c>
      <c r="F64" s="328">
        <f t="shared" ca="1" si="0"/>
        <v>2E-3</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ROUND(C56*F65,0)</f>
        <v>646</v>
      </c>
      <c r="D65" s="963" t="s">
        <v>743</v>
      </c>
      <c r="E65" s="949" t="s">
        <v>744</v>
      </c>
      <c r="F65" s="330">
        <f t="shared" ca="1" si="0"/>
        <v>1E-3</v>
      </c>
      <c r="I65" s="1461" t="s">
        <v>867</v>
      </c>
      <c r="J65" s="1462">
        <v>40</v>
      </c>
      <c r="K65" s="1462">
        <v>30</v>
      </c>
      <c r="L65" s="1462">
        <v>50</v>
      </c>
      <c r="M65" s="1464">
        <v>0.02</v>
      </c>
      <c r="O65" s="1417" t="s">
        <v>403</v>
      </c>
      <c r="P65" s="1418" t="s">
        <v>868</v>
      </c>
      <c r="Q65" s="1419">
        <f ca="1">C40+J29</f>
        <v>2735853</v>
      </c>
      <c r="R65" s="1419" t="s">
        <v>818</v>
      </c>
    </row>
    <row r="66" spans="1:18" s="1383" customFormat="1" ht="16.5" thickBot="1">
      <c r="A66" s="981" t="s">
        <v>793</v>
      </c>
      <c r="B66" s="949" t="s">
        <v>728</v>
      </c>
      <c r="C66" s="21">
        <f ca="1">ROUND(C48*F66,0)</f>
        <v>1202</v>
      </c>
      <c r="D66" s="963" t="s">
        <v>794</v>
      </c>
      <c r="E66" s="949" t="s">
        <v>712</v>
      </c>
      <c r="F66" s="312">
        <f t="shared" ca="1" si="0"/>
        <v>5.0000000000000001E-3</v>
      </c>
      <c r="O66" s="1417" t="s">
        <v>404</v>
      </c>
      <c r="P66" s="1418" t="s">
        <v>846</v>
      </c>
      <c r="Q66" s="1419">
        <f ca="1">L60</f>
        <v>0</v>
      </c>
      <c r="R66" s="1419" t="s">
        <v>869</v>
      </c>
    </row>
    <row r="67" spans="1:18" s="1383" customFormat="1" ht="16.5" thickBot="1">
      <c r="A67" s="956" t="s">
        <v>394</v>
      </c>
      <c r="B67" s="966" t="s">
        <v>752</v>
      </c>
      <c r="C67" s="316">
        <f ca="1">C48-C58</f>
        <v>196744</v>
      </c>
      <c r="D67" s="962" t="s">
        <v>753</v>
      </c>
      <c r="E67" s="967"/>
      <c r="F67" s="968"/>
      <c r="O67" s="1427" t="s">
        <v>405</v>
      </c>
      <c r="P67" s="1418" t="s">
        <v>850</v>
      </c>
      <c r="Q67" s="1465">
        <f ca="1">L51</f>
        <v>651190</v>
      </c>
      <c r="R67" s="1419" t="s">
        <v>870</v>
      </c>
    </row>
    <row r="68" spans="1:18" s="1383" customFormat="1" ht="16.5" thickBot="1">
      <c r="A68" s="946" t="s">
        <v>395</v>
      </c>
      <c r="B68" s="947" t="s">
        <v>774</v>
      </c>
      <c r="C68" s="301">
        <f ca="1">ROUND(C67*(1-((1+F70)/(1+F68))^F69)/(F68-F70),0)</f>
        <v>859137</v>
      </c>
      <c r="D68" s="964" t="s">
        <v>758</v>
      </c>
      <c r="E68" s="949" t="s">
        <v>759</v>
      </c>
      <c r="F68" s="312">
        <f ca="1">F40</f>
        <v>5.5E-2</v>
      </c>
      <c r="O68" s="1427" t="s">
        <v>406</v>
      </c>
      <c r="P68" s="1466" t="s">
        <v>871</v>
      </c>
      <c r="Q68" s="1419">
        <f ca="1">ROUND(Q69-Q70*Q71,0)</f>
        <v>35509</v>
      </c>
      <c r="R68" s="1419" t="s">
        <v>414</v>
      </c>
    </row>
    <row r="69" spans="1:18" s="1383" customFormat="1" ht="13.5" thickBot="1">
      <c r="A69" s="950"/>
      <c r="B69" s="951"/>
      <c r="C69" s="306"/>
      <c r="D69" s="969" t="s">
        <v>762</v>
      </c>
      <c r="E69" s="949" t="s">
        <v>763</v>
      </c>
      <c r="F69" s="333">
        <f ca="1">F41</f>
        <v>5.13</v>
      </c>
      <c r="O69" s="1427" t="s">
        <v>411</v>
      </c>
      <c r="P69" s="1466" t="s">
        <v>872</v>
      </c>
      <c r="Q69" s="1419">
        <f ca="1">C39</f>
        <v>80719</v>
      </c>
      <c r="R69" s="1419" t="s">
        <v>818</v>
      </c>
    </row>
    <row r="70" spans="1:18" s="1383" customFormat="1" ht="13.5" thickBot="1">
      <c r="A70" s="953"/>
      <c r="B70" s="954"/>
      <c r="C70" s="310"/>
      <c r="D70" s="965"/>
      <c r="E70" s="949" t="s">
        <v>766</v>
      </c>
      <c r="F70" s="1053"/>
      <c r="O70" s="1427" t="s">
        <v>412</v>
      </c>
      <c r="P70" s="1466" t="s">
        <v>873</v>
      </c>
      <c r="Q70" s="1419">
        <f ca="1">C13</f>
        <v>645864</v>
      </c>
      <c r="R70" s="1419" t="s">
        <v>818</v>
      </c>
    </row>
    <row r="71" spans="1:18" s="1383" customFormat="1" ht="13.5" thickBot="1">
      <c r="A71" s="970" t="s">
        <v>396</v>
      </c>
      <c r="B71" s="971" t="s">
        <v>776</v>
      </c>
      <c r="C71" s="336">
        <f ca="1">ROUND(C68/F71,0)</f>
        <v>7054</v>
      </c>
      <c r="D71" s="972" t="s">
        <v>777</v>
      </c>
      <c r="E71" s="973" t="s">
        <v>778</v>
      </c>
      <c r="F71" s="339">
        <f ca="1">F43</f>
        <v>121.8</v>
      </c>
      <c r="O71" s="1427" t="s">
        <v>413</v>
      </c>
      <c r="P71" s="1466" t="s">
        <v>874</v>
      </c>
      <c r="Q71" s="1430">
        <f ca="1">C76</f>
        <v>7.0000000000000007E-2</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45210</v>
      </c>
      <c r="D75" s="1383"/>
      <c r="E75" s="1383"/>
      <c r="F75" s="1383"/>
      <c r="K75" s="1401"/>
      <c r="L75" s="1383"/>
      <c r="O75" s="1417" t="s">
        <v>409</v>
      </c>
      <c r="P75" s="1418" t="s">
        <v>838</v>
      </c>
      <c r="Q75" s="1419">
        <f ca="1">Q65+Q66</f>
        <v>2735853</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0.43999999999999995</v>
      </c>
    </row>
    <row r="80" spans="1:18">
      <c r="B80" s="340" t="s">
        <v>800</v>
      </c>
      <c r="C80" s="274">
        <f ca="1">ROUND(C75/C39,3)</f>
        <v>0.56000000000000005</v>
      </c>
    </row>
    <row r="81" spans="2:3">
      <c r="B81" s="270" t="s">
        <v>801</v>
      </c>
      <c r="C81" s="238"/>
    </row>
    <row r="82" spans="2:3">
      <c r="B82" s="273" t="s">
        <v>802</v>
      </c>
      <c r="C82" s="275">
        <f ca="1">1-C83</f>
        <v>-0.83200000000000007</v>
      </c>
    </row>
    <row r="83" spans="2:3">
      <c r="B83" s="273" t="s">
        <v>803</v>
      </c>
      <c r="C83" s="274">
        <f ca="1">ROUND(C13/C40,3)</f>
        <v>1.8320000000000001</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96" priority="4">
      <formula>$L$48&gt;$J$51</formula>
    </cfRule>
  </conditionalFormatting>
  <conditionalFormatting sqref="I55 I60">
    <cfRule type="expression" dxfId="195" priority="5">
      <formula>$J$51&gt;$L$48</formula>
    </cfRule>
  </conditionalFormatting>
  <conditionalFormatting sqref="C11">
    <cfRule type="expression" dxfId="194" priority="3">
      <formula>$F$10="自定义"</formula>
    </cfRule>
  </conditionalFormatting>
  <conditionalFormatting sqref="J11">
    <cfRule type="expression" dxfId="193" priority="2">
      <formula>$M$10="自定义"</formula>
    </cfRule>
  </conditionalFormatting>
  <conditionalFormatting sqref="C54">
    <cfRule type="expression" dxfId="19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90" zoomScale="85" zoomScaleNormal="100" zoomScaleSheetLayoutView="85" zoomScalePageLayoutView="80" workbookViewId="0">
      <selection activeCell="I108" sqref="I108"/>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1262</v>
      </c>
      <c r="B1" s="1746"/>
      <c r="C1" s="1747" t="s">
        <v>3448</v>
      </c>
      <c r="D1" s="1746"/>
      <c r="E1" s="1746"/>
      <c r="F1" s="1748" t="s">
        <v>1263</v>
      </c>
      <c r="G1" s="1560"/>
      <c r="H1" s="1749" t="str">
        <f>IF(G1="现房","——","估价对象范围")</f>
        <v>估价对象范围</v>
      </c>
      <c r="I1" s="1750"/>
    </row>
    <row r="2" spans="1:12" ht="21.75" customHeight="1" thickBot="1">
      <c r="A2" s="3654" t="str">
        <f>项目基本情况!S2</f>
        <v>北京市房地产</v>
      </c>
      <c r="B2" s="3655"/>
      <c r="C2" s="3655"/>
      <c r="D2" s="3655"/>
      <c r="E2" s="3655"/>
      <c r="F2" s="3655"/>
      <c r="G2" s="3655"/>
      <c r="H2" s="3655"/>
      <c r="I2" s="3656"/>
    </row>
    <row r="3" spans="1:12" ht="12.75">
      <c r="A3" s="3658" t="s">
        <v>1264</v>
      </c>
      <c r="B3" s="3659"/>
      <c r="C3" s="3659"/>
      <c r="D3" s="3659"/>
      <c r="E3" s="3659"/>
      <c r="F3" s="3659"/>
      <c r="G3" s="3659"/>
      <c r="H3" s="3659"/>
      <c r="I3" s="3659"/>
    </row>
    <row r="4" spans="1:12" ht="14.25">
      <c r="A4" s="1753" t="s">
        <v>1265</v>
      </c>
      <c r="B4" s="1754" t="s">
        <v>1266</v>
      </c>
      <c r="C4" s="1755" t="s">
        <v>3495</v>
      </c>
      <c r="D4" s="1755" t="s">
        <v>3493</v>
      </c>
      <c r="E4" s="3663" t="s">
        <v>1267</v>
      </c>
      <c r="F4" s="3664"/>
      <c r="G4" s="3664"/>
      <c r="H4" s="3664"/>
      <c r="I4" s="3665"/>
      <c r="K4" s="146" t="str">
        <f>IF(ISNUMBER(FIND("比较法",'结果表-2层'!C4)),"比较法",IF(ISNUMBER(FIND("成本法",'结果表-2层'!C4)),"成本法",IF(ISNUMBER(FIND("假设开发法",'结果表-2层'!C4)),"假设开发法",IF(ISNUMBER(FIND("收益法",'结果表-2层'!C4)),"收益法","基准地价系数修正法"))))</f>
        <v>基准地价系数修正法</v>
      </c>
      <c r="L4" s="146" t="str">
        <f>IF(ISNUMBER(FIND("比较法",'结果表-2层'!D4)),"比较法",IF(ISNUMBER(FIND("成本法",'结果表-2层'!D4)),"成本法",IF(ISNUMBER(FIND("假设开发法",'结果表-2层'!D4)),"假设开发法",IF(ISNUMBER(FIND("收益法",'结果表-2层'!D4)),"收益法","基准地价系数修正法"))))</f>
        <v>收益法</v>
      </c>
    </row>
    <row r="5" spans="1:12" ht="12.75">
      <c r="A5" s="3602" t="s">
        <v>1268</v>
      </c>
      <c r="B5" s="3657">
        <v>25</v>
      </c>
      <c r="C5" s="3660"/>
      <c r="D5" s="3648"/>
      <c r="E5" s="131" t="s">
        <v>1269</v>
      </c>
      <c r="F5" s="1756"/>
      <c r="G5" s="1756"/>
      <c r="H5" s="1756"/>
      <c r="I5" s="1372"/>
    </row>
    <row r="6" spans="1:12" ht="12.75">
      <c r="A6" s="3602"/>
      <c r="B6" s="3657"/>
      <c r="C6" s="3662"/>
      <c r="D6" s="3648"/>
      <c r="E6" s="131" t="s">
        <v>1270</v>
      </c>
      <c r="F6" s="1756"/>
      <c r="G6" s="1756"/>
      <c r="H6" s="1756"/>
      <c r="I6" s="1372"/>
    </row>
    <row r="7" spans="1:12" ht="12.75">
      <c r="A7" s="3602"/>
      <c r="B7" s="3657"/>
      <c r="C7" s="3661"/>
      <c r="D7" s="3648"/>
      <c r="E7" s="131" t="s">
        <v>1271</v>
      </c>
      <c r="F7" s="1756"/>
      <c r="G7" s="1756"/>
      <c r="H7" s="1756"/>
      <c r="I7" s="1372"/>
    </row>
    <row r="8" spans="1:12" ht="12.75">
      <c r="A8" s="3602" t="s">
        <v>1272</v>
      </c>
      <c r="B8" s="3657">
        <v>15</v>
      </c>
      <c r="C8" s="3660"/>
      <c r="D8" s="3648"/>
      <c r="E8" s="131" t="s">
        <v>1273</v>
      </c>
      <c r="F8" s="1756"/>
      <c r="G8" s="1756"/>
      <c r="H8" s="1756"/>
      <c r="I8" s="1372"/>
    </row>
    <row r="9" spans="1:12" ht="12.75">
      <c r="A9" s="3602"/>
      <c r="B9" s="3657"/>
      <c r="C9" s="3661"/>
      <c r="D9" s="3648"/>
      <c r="E9" s="131" t="s">
        <v>1274</v>
      </c>
      <c r="F9" s="1756"/>
      <c r="G9" s="1756"/>
      <c r="H9" s="1756"/>
      <c r="I9" s="1372"/>
    </row>
    <row r="10" spans="1:12" ht="12.75">
      <c r="A10" s="3602" t="s">
        <v>1275</v>
      </c>
      <c r="B10" s="3657">
        <v>15</v>
      </c>
      <c r="C10" s="3660"/>
      <c r="D10" s="3648"/>
      <c r="E10" s="131" t="s">
        <v>1276</v>
      </c>
      <c r="F10" s="1756"/>
      <c r="G10" s="1756"/>
      <c r="H10" s="1756"/>
      <c r="I10" s="1372"/>
    </row>
    <row r="11" spans="1:12" ht="12.75">
      <c r="A11" s="3602"/>
      <c r="B11" s="3657"/>
      <c r="C11" s="3661"/>
      <c r="D11" s="3648"/>
      <c r="E11" s="131" t="s">
        <v>1277</v>
      </c>
      <c r="F11" s="1756"/>
      <c r="G11" s="1756"/>
      <c r="H11" s="1756"/>
      <c r="I11" s="1372"/>
    </row>
    <row r="12" spans="1:12" ht="12.75">
      <c r="A12" s="3602" t="s">
        <v>1278</v>
      </c>
      <c r="B12" s="3657">
        <v>15</v>
      </c>
      <c r="C12" s="3660"/>
      <c r="D12" s="3648"/>
      <c r="E12" s="131" t="s">
        <v>1279</v>
      </c>
      <c r="F12" s="1756"/>
      <c r="G12" s="1756"/>
      <c r="H12" s="1756"/>
      <c r="I12" s="1372"/>
    </row>
    <row r="13" spans="1:12" ht="12.75">
      <c r="A13" s="3602"/>
      <c r="B13" s="3657"/>
      <c r="C13" s="3661"/>
      <c r="D13" s="3648"/>
      <c r="E13" s="131" t="s">
        <v>1280</v>
      </c>
      <c r="F13" s="1756"/>
      <c r="G13" s="1756"/>
      <c r="H13" s="1756"/>
      <c r="I13" s="1372"/>
    </row>
    <row r="14" spans="1:12" ht="12.75">
      <c r="A14" s="3602" t="s">
        <v>1281</v>
      </c>
      <c r="B14" s="3657">
        <v>30</v>
      </c>
      <c r="C14" s="3660">
        <v>7</v>
      </c>
      <c r="D14" s="3648">
        <v>3</v>
      </c>
      <c r="E14" s="131" t="s">
        <v>1282</v>
      </c>
      <c r="F14" s="1756"/>
      <c r="G14" s="1756"/>
      <c r="H14" s="1756"/>
      <c r="I14" s="1372"/>
    </row>
    <row r="15" spans="1:12" ht="12.75">
      <c r="A15" s="3602"/>
      <c r="B15" s="3657"/>
      <c r="C15" s="3662"/>
      <c r="D15" s="3648"/>
      <c r="E15" s="131" t="s">
        <v>1283</v>
      </c>
      <c r="F15" s="1756"/>
      <c r="G15" s="1756"/>
      <c r="H15" s="1756"/>
      <c r="I15" s="1372"/>
    </row>
    <row r="16" spans="1:12" ht="12.75">
      <c r="A16" s="3602"/>
      <c r="B16" s="3657"/>
      <c r="C16" s="3661"/>
      <c r="D16" s="3648"/>
      <c r="E16" s="131" t="s">
        <v>1284</v>
      </c>
      <c r="F16" s="1756"/>
      <c r="G16" s="1756"/>
      <c r="H16" s="1756"/>
      <c r="I16" s="1372"/>
    </row>
    <row r="17" spans="1:36" ht="15">
      <c r="A17" s="1757" t="s">
        <v>1285</v>
      </c>
      <c r="B17" s="56"/>
      <c r="C17" s="132">
        <f>SUM(C5:C16)</f>
        <v>7</v>
      </c>
      <c r="D17" s="132">
        <f>SUM(D5:D16)</f>
        <v>3</v>
      </c>
      <c r="E17" s="129"/>
      <c r="F17" s="129"/>
      <c r="G17" s="129"/>
      <c r="H17" s="129"/>
      <c r="I17" s="129"/>
      <c r="K17" s="302"/>
      <c r="L17" s="302" t="s">
        <v>1286</v>
      </c>
      <c r="M17" s="302" t="s">
        <v>1287</v>
      </c>
    </row>
    <row r="18" spans="1:36" ht="31.9" customHeight="1" thickBot="1">
      <c r="A18" s="1758" t="s">
        <v>1288</v>
      </c>
      <c r="B18" s="1759"/>
      <c r="C18" s="133">
        <f>ROUND(C17/SUM(C17:D17),2)</f>
        <v>0.7</v>
      </c>
      <c r="D18" s="133">
        <f>1-C18</f>
        <v>0.30000000000000004</v>
      </c>
      <c r="E18" s="3679" t="s">
        <v>2131</v>
      </c>
      <c r="F18" s="3680"/>
      <c r="G18" s="3680"/>
      <c r="H18" s="3680"/>
      <c r="I18" s="3680"/>
      <c r="K18" s="302" t="s">
        <v>1289</v>
      </c>
      <c r="L18" s="302">
        <f>IF(C1="",'数据-汇总表'!E3,SUMIF(项目类型,C1,'数据-汇总表'!E17:E26)+SUMIF(项目类型,C1,'数据-汇总表'!I17:I26))</f>
        <v>436.18</v>
      </c>
      <c r="M18" s="302">
        <f>IF(C1="",'数据-汇总表'!E3,SUMIF(项目类型,C1,'数据-汇总表'!E17:E26))</f>
        <v>436.18</v>
      </c>
    </row>
    <row r="19" spans="1:36" ht="15">
      <c r="A19" s="1760" t="s">
        <v>1290</v>
      </c>
      <c r="B19" s="1761" t="s">
        <v>1291</v>
      </c>
      <c r="C19" s="134">
        <f ca="1">SUMIF(INDIRECT("'"&amp;C4&amp;"'"&amp;"!A:A"),'结果表-2层'!B19,INDIRECT("'"&amp;C4&amp;"'"&amp;"!B:B"))</f>
        <v>1270</v>
      </c>
      <c r="D19" s="135">
        <f ca="1">SUMIF(INDIRECT("'"&amp;D4&amp;"'"&amp;"!A:A"),'结果表-2层'!B19,INDIRECT("'"&amp;D4&amp;"'"&amp;"!B:B"))</f>
        <v>851.45190000000002</v>
      </c>
      <c r="E19" s="1760" t="s">
        <v>1292</v>
      </c>
      <c r="F19" s="1761" t="s">
        <v>1291</v>
      </c>
      <c r="G19" s="136">
        <f ca="1">ROUND(C19*$C$18+D19*$D$18,0)</f>
        <v>1144</v>
      </c>
      <c r="H19" s="1762"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3"/>
      <c r="B20" s="1025" t="s">
        <v>1295</v>
      </c>
      <c r="C20" s="137">
        <f ca="1">SUMIF(INDIRECT("'"&amp;C4&amp;"'"&amp;"!A:A"),'结果表-2层'!B20,INDIRECT("'"&amp;C4&amp;"'"&amp;"!B:B"))</f>
        <v>29116</v>
      </c>
      <c r="D20" s="138">
        <f ca="1">SUMIF(INDIRECT("'"&amp;D4&amp;"'"&amp;"!A:A"),'结果表-2层'!B20,INDIRECT("'"&amp;D4&amp;"'"&amp;"!B:B"))</f>
        <v>19521</v>
      </c>
      <c r="E20" s="1763"/>
      <c r="F20" s="1025" t="s">
        <v>1295</v>
      </c>
      <c r="G20" s="139">
        <f ca="1">ROUND(C20*$C$18+D20*$D$18,0)</f>
        <v>26238</v>
      </c>
      <c r="H20" s="807" t="s">
        <v>1296</v>
      </c>
      <c r="I20" s="129"/>
    </row>
    <row r="21" spans="1:36" ht="15" customHeight="1" thickBot="1">
      <c r="A21" s="827"/>
      <c r="B21" s="1764" t="s">
        <v>1297</v>
      </c>
      <c r="C21" s="718" t="e">
        <f ca="1">ROUND(C19*10000/L19,0)</f>
        <v>#DIV/0!</v>
      </c>
      <c r="D21" s="719" t="e">
        <f ca="1">ROUND(D19*10000/L19,0)</f>
        <v>#DIV/0!</v>
      </c>
      <c r="E21" s="827"/>
      <c r="F21" s="1764" t="s">
        <v>1297</v>
      </c>
      <c r="G21" s="140" t="e">
        <f ca="1">ROUND(G19*10000/L19,0)</f>
        <v>#DIV/0!</v>
      </c>
      <c r="H21" s="1765" t="s">
        <v>1296</v>
      </c>
      <c r="I21" s="129"/>
    </row>
    <row r="22" spans="1:36" ht="15" thickBot="1">
      <c r="A22" s="1687" t="s">
        <v>1298</v>
      </c>
      <c r="B22" s="1766"/>
      <c r="C22" s="1767"/>
      <c r="D22" s="720">
        <f ca="1">IF(C19&lt;D19,D19/C19-1,C19/D19-1)</f>
        <v>0.49156987024164245</v>
      </c>
      <c r="E22" s="129"/>
      <c r="F22" s="129"/>
      <c r="G22" s="129"/>
      <c r="H22" s="129"/>
      <c r="I22" s="129"/>
    </row>
    <row r="23" spans="1:36" ht="13.5" thickBot="1">
      <c r="A23" s="1746"/>
      <c r="B23" s="1746"/>
      <c r="C23" s="1746"/>
      <c r="D23" s="1746"/>
      <c r="E23" s="129"/>
      <c r="F23" s="3466"/>
      <c r="G23" s="129"/>
      <c r="H23" s="129"/>
      <c r="I23" s="129"/>
    </row>
    <row r="24" spans="1:36" ht="14.25">
      <c r="A24" s="3672" t="s">
        <v>1299</v>
      </c>
      <c r="B24" s="1761" t="s">
        <v>1291</v>
      </c>
      <c r="C24" s="136">
        <f>IF(B30=0,0,D30)</f>
        <v>0</v>
      </c>
      <c r="D24" s="1768"/>
      <c r="E24" s="129"/>
      <c r="F24" s="3466"/>
      <c r="G24" s="129"/>
      <c r="H24" s="129"/>
      <c r="I24" s="129"/>
    </row>
    <row r="25" spans="1:36" ht="14.25">
      <c r="A25" s="3673"/>
      <c r="B25" s="1025" t="s">
        <v>1295</v>
      </c>
      <c r="C25" s="141">
        <f>IF(B30=0,0,C30)</f>
        <v>0</v>
      </c>
      <c r="D25" s="1769"/>
      <c r="E25" s="129"/>
      <c r="F25" s="3466"/>
      <c r="G25" s="129"/>
      <c r="H25" s="129"/>
      <c r="I25" s="129"/>
    </row>
    <row r="26" spans="1:36" ht="13.5" customHeight="1">
      <c r="A26" s="1770" t="s">
        <v>1300</v>
      </c>
      <c r="B26" s="142" t="s">
        <v>1301</v>
      </c>
      <c r="C26" s="142" t="s">
        <v>1302</v>
      </c>
      <c r="D26" s="143" t="s">
        <v>1303</v>
      </c>
      <c r="E26" s="129"/>
      <c r="F26" s="129"/>
      <c r="G26" s="129"/>
      <c r="H26" s="129"/>
      <c r="I26" s="129"/>
    </row>
    <row r="27" spans="1:36" ht="14.25">
      <c r="A27" s="1770"/>
      <c r="B27" s="142">
        <v>0</v>
      </c>
      <c r="C27" s="142">
        <v>0</v>
      </c>
      <c r="D27" s="143">
        <f>ROUND(C27*B27/10000,0)</f>
        <v>0</v>
      </c>
      <c r="E27" s="129"/>
      <c r="F27" s="129"/>
      <c r="G27" s="129"/>
      <c r="H27" s="129"/>
      <c r="I27" s="129"/>
    </row>
    <row r="28" spans="1:36" ht="14.25">
      <c r="A28" s="1770"/>
      <c r="B28" s="142"/>
      <c r="C28" s="142"/>
      <c r="D28" s="143"/>
      <c r="E28" s="129"/>
      <c r="F28" s="129"/>
      <c r="G28" s="129"/>
      <c r="H28" s="129"/>
      <c r="I28" s="129"/>
    </row>
    <row r="29" spans="1:36" ht="14.25">
      <c r="A29" s="1770"/>
      <c r="B29" s="142"/>
      <c r="C29" s="142"/>
      <c r="D29" s="143"/>
      <c r="E29" s="129"/>
      <c r="F29" s="129"/>
      <c r="G29" s="129"/>
      <c r="H29" s="129"/>
      <c r="I29" s="129"/>
    </row>
    <row r="30" spans="1:36" ht="15" thickBot="1">
      <c r="A30" s="142" t="s">
        <v>1304</v>
      </c>
      <c r="B30" s="142"/>
      <c r="C30" s="142"/>
      <c r="D30" s="142"/>
      <c r="E30" s="2302" t="s">
        <v>2132</v>
      </c>
      <c r="F30" s="129"/>
      <c r="G30" s="129"/>
      <c r="H30" s="129"/>
      <c r="I30" s="129"/>
    </row>
    <row r="31" spans="1:36" s="2308" customFormat="1" ht="26.45" customHeight="1" thickTop="1" thickBot="1">
      <c r="A31" s="2303"/>
      <c r="B31" s="2304"/>
      <c r="C31" s="2304"/>
      <c r="D31" s="2304"/>
      <c r="E31" s="2304"/>
      <c r="F31" s="2304"/>
      <c r="G31" s="2304"/>
      <c r="H31" s="2304"/>
      <c r="I31" s="2305" t="s">
        <v>2133</v>
      </c>
      <c r="J31" s="2688"/>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1305</v>
      </c>
      <c r="B32" s="1773"/>
      <c r="C32" s="144">
        <f ca="1">IF(D32="总价",G19-C24,G20-C25)</f>
        <v>26238</v>
      </c>
      <c r="D32" s="1774" t="s">
        <v>3445</v>
      </c>
      <c r="E32" s="129"/>
      <c r="F32" s="129"/>
      <c r="G32" s="129"/>
      <c r="H32" s="129"/>
      <c r="I32" s="129"/>
    </row>
    <row r="33" spans="1:15" ht="15">
      <c r="A33" s="785" t="s">
        <v>1306</v>
      </c>
      <c r="B33" s="1775"/>
      <c r="C33" s="1776" t="s">
        <v>3483</v>
      </c>
      <c r="D33" s="1777"/>
      <c r="E33" s="1778" t="s">
        <v>1307</v>
      </c>
      <c r="F33" s="1779" t="str">
        <f>IF(D32="楼面单价","取值（单价）","取值（总价）")</f>
        <v>取值（单价）</v>
      </c>
      <c r="G33" s="129"/>
      <c r="H33" s="129"/>
      <c r="I33" s="129"/>
    </row>
    <row r="34" spans="1:15" ht="15">
      <c r="A34" s="1780"/>
      <c r="B34" s="1781" t="s">
        <v>1308</v>
      </c>
      <c r="C34" s="148">
        <f>IF(C33="自定义",F34,C32-C35)</f>
        <v>0</v>
      </c>
      <c r="D34" s="860">
        <f ca="1">IF(C33="自定义",ROUND(C34/C32,3),IF(C33="收益比率",SUMIF(INDIRECT("'"&amp;D33&amp;"'"&amp;"!b:b"),"土地收益比率",INDIRECT("'"&amp;D33&amp;"'"&amp;"!c:c")),SUMIF(INDIRECT("'"&amp;D33&amp;"'"&amp;"!b:b"),"土地成本比率",INDIRECT("'"&amp;D33&amp;"'"&amp;"!c:c"))))</f>
        <v>0</v>
      </c>
      <c r="E34" s="1782" t="s">
        <v>1309</v>
      </c>
      <c r="F34" s="1329"/>
      <c r="G34" s="129"/>
      <c r="H34" s="129"/>
      <c r="I34" s="129"/>
    </row>
    <row r="35" spans="1:15" ht="15.75" thickBot="1">
      <c r="A35" s="1783"/>
      <c r="B35" s="1784" t="s">
        <v>1310</v>
      </c>
      <c r="C35" s="1169">
        <f>IF(C33="自定义",F35,ROUND(C32*D35,0))</f>
        <v>0</v>
      </c>
      <c r="D35" s="1170">
        <f ca="1">IF(C33="自定义",ROUND(C35/C32,3),IF(C33="收益比率",SUMIF(INDIRECT("'"&amp;D33&amp;"'"&amp;"!b:b"),"建筑物收益比率",INDIRECT("'"&amp;D33&amp;"'"&amp;"!c:c")),SUMIF(INDIRECT("'"&amp;D33&amp;"'"&amp;"!b:b"),"建筑物成本比率",INDIRECT("'"&amp;D33&amp;"'"&amp;"!c:c"))))</f>
        <v>0</v>
      </c>
      <c r="E35" s="1785" t="s">
        <v>1311</v>
      </c>
      <c r="F35" s="154"/>
      <c r="G35" s="129"/>
      <c r="H35" s="129"/>
      <c r="I35" s="129"/>
    </row>
    <row r="36" spans="1:15" ht="15.75" thickBot="1">
      <c r="A36" s="3649" t="s">
        <v>1312</v>
      </c>
      <c r="B36" s="1786" t="s">
        <v>1313</v>
      </c>
      <c r="C36" s="145"/>
      <c r="D36" s="1787"/>
      <c r="E36" s="1788"/>
      <c r="F36" s="1789"/>
      <c r="G36" s="129"/>
      <c r="H36" s="129"/>
      <c r="I36" s="129"/>
    </row>
    <row r="37" spans="1:15" ht="15.75" thickBot="1">
      <c r="A37" s="3650"/>
      <c r="B37" s="1673" t="s">
        <v>1314</v>
      </c>
      <c r="C37" s="147"/>
      <c r="D37" s="1138"/>
      <c r="E37" s="1138"/>
      <c r="F37" s="1789"/>
      <c r="G37" s="129"/>
      <c r="H37" s="129"/>
      <c r="I37" s="129"/>
    </row>
    <row r="38" spans="1:15" ht="15.75" thickBot="1">
      <c r="A38" s="3651"/>
      <c r="B38" s="1790" t="s">
        <v>1315</v>
      </c>
      <c r="C38" s="673"/>
      <c r="D38" s="1791" t="s">
        <v>1316</v>
      </c>
      <c r="E38" s="1138"/>
      <c r="F38" s="1789"/>
      <c r="G38" s="129"/>
      <c r="H38" s="129"/>
      <c r="I38" s="129"/>
    </row>
    <row r="39" spans="1:15" ht="15">
      <c r="A39" s="1763" t="s">
        <v>1317</v>
      </c>
      <c r="B39" s="1792" t="s">
        <v>1301</v>
      </c>
      <c r="C39" s="1793" t="s">
        <v>1302</v>
      </c>
      <c r="D39" s="1793" t="s">
        <v>1320</v>
      </c>
      <c r="E39" s="1794" t="s">
        <v>1303</v>
      </c>
      <c r="F39" s="1789"/>
      <c r="G39" s="129"/>
      <c r="H39" s="129"/>
      <c r="I39" s="129"/>
    </row>
    <row r="40" spans="1:15" ht="14.25">
      <c r="A40" s="1795" t="s">
        <v>1322</v>
      </c>
      <c r="B40" s="149"/>
      <c r="C40" s="150"/>
      <c r="D40" s="150"/>
      <c r="E40" s="151"/>
      <c r="F40" s="1789"/>
      <c r="G40" s="129"/>
      <c r="H40" s="129"/>
      <c r="I40" s="129"/>
    </row>
    <row r="41" spans="1:15" ht="14.25">
      <c r="A41" s="1795" t="s">
        <v>1323</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669" t="s">
        <v>1326</v>
      </c>
      <c r="B45" s="3670"/>
      <c r="C45" s="3671"/>
      <c r="D45" s="155">
        <f ca="1">ROUND(H101*F45,0)</f>
        <v>1144</v>
      </c>
      <c r="E45" s="156" t="s">
        <v>1327</v>
      </c>
      <c r="F45" s="157">
        <v>1</v>
      </c>
      <c r="G45" s="158" t="s">
        <v>1328</v>
      </c>
      <c r="H45" s="129"/>
      <c r="I45" s="129"/>
      <c r="J45" s="3589" t="s">
        <v>1329</v>
      </c>
      <c r="K45" s="3589"/>
      <c r="L45" s="3589"/>
      <c r="M45" s="3589"/>
      <c r="N45" s="3589"/>
      <c r="O45" s="3589"/>
    </row>
    <row r="46" spans="1:15" ht="14.25" customHeight="1">
      <c r="A46" s="3666" t="s">
        <v>1330</v>
      </c>
      <c r="B46" s="3667"/>
      <c r="C46" s="3667"/>
      <c r="D46" s="3667"/>
      <c r="E46" s="3667"/>
      <c r="F46" s="3667"/>
      <c r="G46" s="3668"/>
      <c r="H46" s="1805"/>
      <c r="I46" s="159"/>
      <c r="J46" s="3486">
        <v>1</v>
      </c>
      <c r="K46" s="3590" t="s">
        <v>1331</v>
      </c>
      <c r="L46" s="3590"/>
      <c r="M46" s="3591"/>
      <c r="N46" s="3591"/>
      <c r="O46" s="3591"/>
    </row>
    <row r="47" spans="1:15" ht="12" customHeight="1">
      <c r="A47" s="160" t="s">
        <v>1332</v>
      </c>
      <c r="B47" s="161"/>
      <c r="C47" s="162"/>
      <c r="D47" s="1086" t="s">
        <v>1333</v>
      </c>
      <c r="E47" s="302" t="s">
        <v>1334</v>
      </c>
      <c r="F47" s="163" t="s">
        <v>1335</v>
      </c>
      <c r="G47" s="2545" t="s">
        <v>1336</v>
      </c>
      <c r="H47" s="2546"/>
      <c r="I47" s="159"/>
      <c r="J47" s="3486">
        <v>2</v>
      </c>
      <c r="K47" s="3590" t="s">
        <v>1337</v>
      </c>
      <c r="L47" s="3590"/>
      <c r="M47" s="3592">
        <f>'数据-取费表'!B2</f>
        <v>45805</v>
      </c>
      <c r="N47" s="3592"/>
      <c r="O47" s="3592"/>
    </row>
    <row r="48" spans="1:15" ht="25.5">
      <c r="A48" s="3652" t="s">
        <v>1338</v>
      </c>
      <c r="B48" s="3653"/>
      <c r="C48" s="3653"/>
      <c r="D48" s="3488">
        <f ca="1">IF(H48="情况1",0,IF(H48="情况2",D52,IF(H48="情况3",D53,IF(H48="情况4",D54))))</f>
        <v>0</v>
      </c>
      <c r="E48" s="3477" t="str">
        <f>IF(H48="情况4","(销售额-原购置价)×税（费）率","销售额×税（费）率")</f>
        <v>(销售额-原购置价)×税（费）率</v>
      </c>
      <c r="F48" s="2547">
        <f>IF(H48="情况1","免征",'数据-取费表'!B41)</f>
        <v>5.6000000000000001E-2</v>
      </c>
      <c r="G48" s="2548" t="s">
        <v>1339</v>
      </c>
      <c r="H48" s="2549" t="s">
        <v>3496</v>
      </c>
      <c r="I48" s="1805"/>
      <c r="J48" s="3486">
        <v>3</v>
      </c>
      <c r="K48" s="3590" t="s">
        <v>1340</v>
      </c>
      <c r="L48" s="3590"/>
      <c r="M48" s="3593">
        <f ca="1">H101</f>
        <v>1144</v>
      </c>
      <c r="N48" s="3593"/>
      <c r="O48" s="3593"/>
    </row>
    <row r="49" spans="1:35" ht="25.5" customHeight="1">
      <c r="A49" s="3481" t="s">
        <v>1341</v>
      </c>
      <c r="B49" s="3638" t="s">
        <v>1342</v>
      </c>
      <c r="C49" s="3638"/>
      <c r="D49" s="1589">
        <v>0</v>
      </c>
      <c r="E49" s="324" t="s">
        <v>1343</v>
      </c>
      <c r="F49" s="3469" t="s">
        <v>28</v>
      </c>
      <c r="G49" s="3621"/>
      <c r="H49" s="2309" t="s">
        <v>2134</v>
      </c>
      <c r="I49" s="2310"/>
      <c r="J49" s="3486">
        <v>4</v>
      </c>
      <c r="K49" s="3590" t="str">
        <f>IF(项目基本情况!E8="房地产抵押价值","房地产抵押价值","抵押担保权已注销时的房地产抵押价值")</f>
        <v>房地产抵押价值</v>
      </c>
      <c r="L49" s="3590"/>
      <c r="M49" s="3593">
        <f ca="1">IF(项目基本情况!E8="房地产抵押价值",H107,H109)</f>
        <v>1144</v>
      </c>
      <c r="N49" s="3593"/>
      <c r="O49" s="3593"/>
    </row>
    <row r="50" spans="1:35" ht="25.5" customHeight="1">
      <c r="A50" s="2550"/>
      <c r="B50" s="3638" t="s">
        <v>1344</v>
      </c>
      <c r="C50" s="3638"/>
      <c r="D50" s="2551"/>
      <c r="E50" s="332"/>
      <c r="F50" s="3469"/>
      <c r="G50" s="3622"/>
      <c r="H50" s="2311" t="s">
        <v>2135</v>
      </c>
      <c r="I50" s="2310"/>
      <c r="J50" s="3589" t="s">
        <v>1345</v>
      </c>
      <c r="K50" s="3589"/>
      <c r="L50" s="3589"/>
      <c r="M50" s="3589"/>
      <c r="N50" s="3589"/>
      <c r="O50" s="3589"/>
    </row>
    <row r="51" spans="1:35" ht="20.45" customHeight="1">
      <c r="A51" s="2552"/>
      <c r="B51" s="3638" t="s">
        <v>1346</v>
      </c>
      <c r="C51" s="3638"/>
      <c r="D51" s="1086"/>
      <c r="E51" s="327"/>
      <c r="F51" s="3469"/>
      <c r="G51" s="3623"/>
      <c r="H51" s="2311" t="s">
        <v>2136</v>
      </c>
      <c r="I51" s="2310"/>
      <c r="J51" s="3485" t="s">
        <v>1347</v>
      </c>
      <c r="K51" s="3590" t="s">
        <v>1348</v>
      </c>
      <c r="L51" s="3590"/>
      <c r="M51" s="3485" t="s">
        <v>1349</v>
      </c>
      <c r="N51" s="3485" t="s">
        <v>1350</v>
      </c>
      <c r="O51" s="3485" t="s">
        <v>1351</v>
      </c>
    </row>
    <row r="52" spans="1:35" ht="24" customHeight="1">
      <c r="A52" s="3476" t="s">
        <v>1352</v>
      </c>
      <c r="B52" s="3638" t="s">
        <v>1353</v>
      </c>
      <c r="C52" s="3638"/>
      <c r="D52" s="1086">
        <f ca="1">ROUND(D45*'数据-取费表'!B41/(1+'数据-取费表'!C42),0)</f>
        <v>61</v>
      </c>
      <c r="E52" s="3477" t="s">
        <v>1354</v>
      </c>
      <c r="F52" s="2553">
        <f>'数据-取费表'!B41</f>
        <v>5.6000000000000001E-2</v>
      </c>
      <c r="G52" s="2554"/>
      <c r="H52" s="2543"/>
      <c r="I52" s="1806"/>
      <c r="J52" s="3486">
        <v>1</v>
      </c>
      <c r="K52" s="3615" t="s">
        <v>1355</v>
      </c>
      <c r="L52" s="3615"/>
      <c r="M52" s="2524">
        <f ca="1">D48</f>
        <v>0</v>
      </c>
      <c r="N52" s="3486" t="str">
        <f>E48</f>
        <v>(销售额-原购置价)×税（费）率</v>
      </c>
      <c r="O52" s="2525">
        <f>F48</f>
        <v>5.6000000000000001E-2</v>
      </c>
    </row>
    <row r="53" spans="1:35" ht="12" customHeight="1">
      <c r="A53" s="3476" t="s">
        <v>1356</v>
      </c>
      <c r="B53" s="3639" t="s">
        <v>2291</v>
      </c>
      <c r="C53" s="3640"/>
      <c r="D53" s="1086">
        <f ca="1">ROUND(D45*'数据-取费表'!B41/(1+'数据-取费表'!C42),0)</f>
        <v>61</v>
      </c>
      <c r="E53" s="3477" t="s">
        <v>1354</v>
      </c>
      <c r="F53" s="2553">
        <f>'数据-取费表'!B41</f>
        <v>5.6000000000000001E-2</v>
      </c>
      <c r="G53" s="2554"/>
      <c r="H53" s="2543"/>
      <c r="I53" s="1806"/>
      <c r="J53" s="3486">
        <v>2</v>
      </c>
      <c r="K53" s="3615" t="s">
        <v>1357</v>
      </c>
      <c r="L53" s="3615"/>
      <c r="M53" s="2524">
        <f t="shared" ref="M53:O54" ca="1" si="0">D55</f>
        <v>1</v>
      </c>
      <c r="N53" s="3486" t="str">
        <f t="shared" si="0"/>
        <v>销售额×税（费）率</v>
      </c>
      <c r="O53" s="2525">
        <f t="shared" si="0"/>
        <v>5.0000000000000001E-4</v>
      </c>
    </row>
    <row r="54" spans="1:35" ht="12" customHeight="1">
      <c r="A54" s="3476" t="s">
        <v>1358</v>
      </c>
      <c r="B54" s="3639" t="s">
        <v>2292</v>
      </c>
      <c r="C54" s="3640"/>
      <c r="D54" s="1086">
        <f ca="1">C68</f>
        <v>0</v>
      </c>
      <c r="E54" s="327" t="s">
        <v>1359</v>
      </c>
      <c r="F54" s="2553">
        <f>'数据-取费表'!B41</f>
        <v>5.6000000000000001E-2</v>
      </c>
      <c r="G54" s="2554"/>
      <c r="H54" s="2555"/>
      <c r="I54" s="1806"/>
      <c r="J54" s="3486">
        <v>3</v>
      </c>
      <c r="K54" s="3615" t="s">
        <v>1360</v>
      </c>
      <c r="L54" s="3615"/>
      <c r="M54" s="2524">
        <f t="shared" ca="1" si="0"/>
        <v>0</v>
      </c>
      <c r="N54" s="3486" t="str">
        <f t="shared" si="0"/>
        <v>增值额×税（费）率</v>
      </c>
      <c r="O54" s="2526" t="str">
        <f t="shared" si="0"/>
        <v>——</v>
      </c>
    </row>
    <row r="55" spans="1:35" ht="24" customHeight="1">
      <c r="A55" s="3675" t="s">
        <v>1361</v>
      </c>
      <c r="B55" s="3653"/>
      <c r="C55" s="3653"/>
      <c r="D55" s="3488">
        <f ca="1">IF(H55="个人住宅",0,ROUND(D45*I55,0))</f>
        <v>1</v>
      </c>
      <c r="E55" s="3477" t="s">
        <v>1362</v>
      </c>
      <c r="F55" s="2553">
        <f>IF(H55="正常",I55,"免征")</f>
        <v>5.0000000000000001E-4</v>
      </c>
      <c r="G55" s="2554"/>
      <c r="H55" s="2549" t="s">
        <v>3452</v>
      </c>
      <c r="I55" s="165">
        <f>'数据-取费表'!B49</f>
        <v>5.0000000000000001E-4</v>
      </c>
      <c r="J55" s="3486" t="str">
        <f>IF(H59="非个人房产","",4)</f>
        <v/>
      </c>
      <c r="K55" s="3615" t="str">
        <f>IF(H59="非个人房产","——","个人所得税")</f>
        <v>——</v>
      </c>
      <c r="L55" s="3615"/>
      <c r="M55" s="2527" t="str">
        <f>D59</f>
        <v>——</v>
      </c>
      <c r="N55" s="3487" t="str">
        <f>E59</f>
        <v>——</v>
      </c>
      <c r="O55" s="2528" t="str">
        <f>F59</f>
        <v>——</v>
      </c>
    </row>
    <row r="56" spans="1:35" ht="24.75">
      <c r="A56" s="3675" t="s">
        <v>1363</v>
      </c>
      <c r="B56" s="3653"/>
      <c r="C56" s="3653"/>
      <c r="D56" s="3488">
        <f ca="1">IF(H56="个人住宅",D57,D58)</f>
        <v>0</v>
      </c>
      <c r="E56" s="3477" t="s">
        <v>1364</v>
      </c>
      <c r="F56" s="2553" t="str">
        <f>IF(H56="正常",F58,"免征")</f>
        <v>——</v>
      </c>
      <c r="G56" s="2556" t="s">
        <v>1365</v>
      </c>
      <c r="H56" s="2557" t="s">
        <v>3452</v>
      </c>
      <c r="I56" s="1807"/>
      <c r="J56" s="3486" t="str">
        <f>IF(项目基本情况!K6="上海银行",IF(J55="",4,J55+1),"")</f>
        <v/>
      </c>
      <c r="K56" s="3596" t="str">
        <f>IF(项目基本情况!K6="上海银行","其他处置费用","")</f>
        <v/>
      </c>
      <c r="L56" s="3597"/>
      <c r="M56" s="2524" t="str">
        <f>IF(项目基本情况!K6="上海银行",M69,"")</f>
        <v/>
      </c>
      <c r="N56" s="3596" t="str">
        <f>IF(项目基本情况!K6="上海银行","包含处置中涉及的律师、诉讼、拍卖、评估等费用","")</f>
        <v/>
      </c>
      <c r="O56" s="3599"/>
    </row>
    <row r="57" spans="1:35" ht="12.75">
      <c r="A57" s="3476" t="s">
        <v>1341</v>
      </c>
      <c r="B57" s="3639" t="s">
        <v>1366</v>
      </c>
      <c r="C57" s="3640"/>
      <c r="D57" s="1589">
        <v>0</v>
      </c>
      <c r="E57" s="324" t="s">
        <v>1343</v>
      </c>
      <c r="F57" s="302"/>
      <c r="G57" s="2554"/>
      <c r="H57" s="2558"/>
      <c r="I57" s="1807"/>
      <c r="J57" s="3615">
        <f>IF(AND(J55="",J56=""),4,IF(项目基本情况!K6="上海银行",'结果表-2层'!J56+1,'结果表-2层'!J55+1))</f>
        <v>4</v>
      </c>
      <c r="K57" s="3615" t="s">
        <v>1367</v>
      </c>
      <c r="L57" s="2529" t="s">
        <v>1368</v>
      </c>
      <c r="M57" s="2530"/>
      <c r="N57" s="2531">
        <f ca="1">SUMIF(M52:M56,"&lt;9e307")</f>
        <v>1</v>
      </c>
      <c r="O57" s="2532"/>
      <c r="P57" s="2689">
        <f ca="1">N57/M49</f>
        <v>8.7412587412587413E-4</v>
      </c>
    </row>
    <row r="58" spans="1:35" ht="24.75">
      <c r="A58" s="3476" t="s">
        <v>1352</v>
      </c>
      <c r="B58" s="3639" t="s">
        <v>1369</v>
      </c>
      <c r="C58" s="3638"/>
      <c r="D58" s="3488">
        <f ca="1">IF(H58="转让取得",C81,C97)</f>
        <v>0</v>
      </c>
      <c r="E58" s="3477" t="s">
        <v>1364</v>
      </c>
      <c r="F58" s="302" t="s">
        <v>28</v>
      </c>
      <c r="G58" s="2554"/>
      <c r="H58" s="2557" t="s">
        <v>3497</v>
      </c>
      <c r="I58" s="1807"/>
      <c r="J58" s="3615"/>
      <c r="K58" s="3615"/>
      <c r="L58" s="2529" t="s">
        <v>1370</v>
      </c>
      <c r="M58" s="2533"/>
      <c r="N58" s="2534" t="str">
        <f ca="1">NUMBERSTRING(INT(N57*10000),2)&amp;"元整"</f>
        <v>壹万元整</v>
      </c>
      <c r="O58" s="2535"/>
    </row>
    <row r="59" spans="1:35" ht="24.75" thickBot="1">
      <c r="A59" s="3619" t="s">
        <v>1371</v>
      </c>
      <c r="B59" s="3620"/>
      <c r="C59" s="3620"/>
      <c r="D59" s="2559" t="str">
        <f>IF(H59="非个人房产","——",IF(H59="个人住宅（满五唯一有凭证）",0,IF(H59="个人其他（无凭证）",ROUND(D45*F59,0),ROUND(C67*F59,0))))</f>
        <v>——</v>
      </c>
      <c r="E59" s="2560" t="str">
        <f>IF(H59="非个人房产","——",IF(H59="个人其他（无凭证）","销售额×税（费）率",IF(H59="个人住宅（满五唯一有凭证）","免征","差额计税")))</f>
        <v>——</v>
      </c>
      <c r="F59" s="2561" t="str">
        <f>IF(OR(H59="非个人房产",H59="个人住宅（满五唯一有凭证）"),"——",IF(H59="个人其他（有凭证）",20%,1%))</f>
        <v>——</v>
      </c>
      <c r="G59" s="2562" t="s">
        <v>1365</v>
      </c>
      <c r="H59" s="2313" t="s">
        <v>3498</v>
      </c>
      <c r="I59" s="2312" t="s">
        <v>2137</v>
      </c>
      <c r="J59" s="3617">
        <f>J57+1</f>
        <v>5</v>
      </c>
      <c r="K59" s="3615" t="s">
        <v>1372</v>
      </c>
      <c r="L59" s="3486" t="s">
        <v>1368</v>
      </c>
      <c r="M59" s="2536"/>
      <c r="N59" s="2537">
        <f ca="1">M49-N57</f>
        <v>1143</v>
      </c>
      <c r="O59" s="2538"/>
    </row>
    <row r="60" spans="1:35" ht="12" customHeight="1">
      <c r="A60" s="1808"/>
      <c r="B60" s="1746"/>
      <c r="C60" s="1746"/>
      <c r="D60" s="1746"/>
      <c r="E60" s="1577"/>
      <c r="F60" s="1807"/>
      <c r="G60" s="1807"/>
      <c r="H60" s="1809"/>
      <c r="I60" s="129"/>
      <c r="J60" s="3618"/>
      <c r="K60" s="3615"/>
      <c r="L60" s="2529" t="s">
        <v>1370</v>
      </c>
      <c r="M60" s="2533"/>
      <c r="N60" s="2534" t="str">
        <f ca="1">NUMBERSTRING(INT(N59*10000),2)&amp;"元整"</f>
        <v>壹仟壹佰肆拾叁万元整</v>
      </c>
      <c r="O60" s="2535"/>
    </row>
    <row r="61" spans="1:35" ht="13.5" thickBot="1">
      <c r="A61" s="3674" t="s">
        <v>1373</v>
      </c>
      <c r="B61" s="3674"/>
      <c r="C61" s="3674"/>
      <c r="D61" s="3674"/>
      <c r="E61" s="3674"/>
      <c r="F61" s="1807"/>
      <c r="G61" s="1807"/>
      <c r="H61" s="1809"/>
      <c r="I61" s="129"/>
      <c r="J61" s="3486">
        <f>J59+1</f>
        <v>6</v>
      </c>
      <c r="K61" s="3615" t="s">
        <v>1374</v>
      </c>
      <c r="L61" s="3615"/>
      <c r="M61" s="2539"/>
      <c r="N61" s="2540">
        <f ca="1">ROUND(N59*10000/'数据-汇总表'!E3,0)</f>
        <v>20485</v>
      </c>
      <c r="O61" s="2541"/>
    </row>
    <row r="62" spans="1:35" ht="12.75">
      <c r="A62" s="3634" t="s">
        <v>1375</v>
      </c>
      <c r="B62" s="3635"/>
      <c r="C62" s="3480"/>
      <c r="D62" s="3480" t="s">
        <v>1376</v>
      </c>
      <c r="E62" s="166" t="s">
        <v>1377</v>
      </c>
      <c r="F62" s="1807"/>
      <c r="G62" s="1807"/>
      <c r="H62" s="1809"/>
      <c r="I62" s="129"/>
    </row>
    <row r="63" spans="1:35" ht="12.75">
      <c r="A63" s="173" t="s">
        <v>330</v>
      </c>
      <c r="B63" s="167" t="s">
        <v>1378</v>
      </c>
      <c r="C63" s="2563">
        <f ca="1">ROUND((C64+C65)/(1+'数据-取费表'!C42),0)</f>
        <v>1090</v>
      </c>
      <c r="D63" s="167"/>
      <c r="E63" s="168"/>
      <c r="F63" s="1807"/>
      <c r="G63" s="1807"/>
      <c r="H63" s="1809"/>
      <c r="I63" s="129"/>
      <c r="J63" s="3598" t="s">
        <v>1379</v>
      </c>
      <c r="K63" s="3489" t="s">
        <v>1380</v>
      </c>
      <c r="L63" s="3489">
        <f ca="1">IF(M49&gt;10000,M49*0.5%,IF(AND(M49&gt;1000,M49&lt;=10000),M49*1%,IF(AND(M49&gt;100,M49&lt;=1000),M49*3%,IF(AND(M49&gt;10,M49&lt;=100),M49*5%,M49*8%))))</f>
        <v>11.44</v>
      </c>
      <c r="M63" s="302">
        <f ca="1">ROUND(L63,1)</f>
        <v>11.4</v>
      </c>
      <c r="N63" s="2542"/>
      <c r="Z63" s="1751"/>
      <c r="AI63" s="1752"/>
    </row>
    <row r="64" spans="1:35" ht="14.25" customHeight="1">
      <c r="A64" s="169" t="s">
        <v>325</v>
      </c>
      <c r="B64" s="170" t="s">
        <v>1381</v>
      </c>
      <c r="C64" s="2564">
        <f ca="1">D45</f>
        <v>1144</v>
      </c>
      <c r="D64" s="170" t="s">
        <v>26</v>
      </c>
      <c r="E64" s="172"/>
      <c r="F64" s="1807"/>
      <c r="G64" s="1807"/>
      <c r="H64" s="1809"/>
      <c r="I64" s="129"/>
      <c r="J64" s="3598"/>
      <c r="K64" s="3489" t="s">
        <v>1382</v>
      </c>
      <c r="L64" s="3489">
        <f ca="1">IF(M49&gt;2000,M49*0.5%,IF(AND(M49&gt;1000,M49&lt;=2000),M49*0.6%,IF(AND(M49&gt;500,M49&lt;=1000),M49*0.7%,IF(AND(M49&gt;200,M49&lt;=500),M49*0.8%,IF(AND(M49&gt;100,M49&lt;=200),M49*0.9%,IF(AND(M49&gt;50,M49&lt;=100),M49*1%,IF(AND(M49&gt;20,M49&lt;=50),M49*1.5%,IF(AND(M49&gt;10,M49&lt;=20),M49*2%,IF(AND(M49&gt;1,M49&lt;=10),M49*2.5%)))))))))</f>
        <v>6.8639999999999999</v>
      </c>
      <c r="M64" s="302">
        <f t="shared" ref="M64:M65" ca="1" si="1">ROUND(L64,1)</f>
        <v>6.9</v>
      </c>
      <c r="N64" s="2543" t="s">
        <v>1383</v>
      </c>
      <c r="Z64" s="1751"/>
      <c r="AI64" s="1752"/>
    </row>
    <row r="65" spans="1:35" ht="14.25" customHeight="1">
      <c r="A65" s="169" t="s">
        <v>326</v>
      </c>
      <c r="B65" s="170" t="s">
        <v>1384</v>
      </c>
      <c r="C65" s="2565"/>
      <c r="D65" s="170"/>
      <c r="E65" s="172"/>
      <c r="F65" s="1807"/>
      <c r="G65" s="1807"/>
      <c r="H65" s="1809"/>
      <c r="I65" s="129"/>
      <c r="J65" s="3598"/>
      <c r="K65" s="3489" t="s">
        <v>1385</v>
      </c>
      <c r="L65" s="3489">
        <f ca="1">IF(M49&gt;1000,M49*0.1%,IF(AND(M49&gt;500,M49&lt;=1000),M49*0.5%,IF(AND(M49&gt;50,M49&lt;=500),M49*1%,IF(AND(M49&gt;1,M49&lt;=50),M49*1.5%))))</f>
        <v>1.1440000000000001</v>
      </c>
      <c r="M65" s="302">
        <f t="shared" ca="1" si="1"/>
        <v>1.1000000000000001</v>
      </c>
      <c r="N65" s="2543" t="s">
        <v>1383</v>
      </c>
      <c r="Z65" s="1751"/>
      <c r="AI65" s="1752"/>
    </row>
    <row r="66" spans="1:35" ht="14.25" customHeight="1">
      <c r="A66" s="173" t="s">
        <v>327</v>
      </c>
      <c r="B66" s="174" t="s">
        <v>1386</v>
      </c>
      <c r="C66" s="2566">
        <f>ROUND(C75/1.05,3)</f>
        <v>1807.739</v>
      </c>
      <c r="D66" s="174" t="s">
        <v>26</v>
      </c>
      <c r="E66" s="1337" t="s">
        <v>671</v>
      </c>
      <c r="F66" s="1807"/>
      <c r="G66" s="1807"/>
      <c r="H66" s="1809"/>
      <c r="I66" s="129"/>
      <c r="J66" s="3598"/>
      <c r="K66" s="3489" t="s">
        <v>1387</v>
      </c>
      <c r="L66" s="3489">
        <f ca="1">M49*0.5%</f>
        <v>5.72</v>
      </c>
      <c r="M66" s="302">
        <f ca="1">IF(L66&gt;0.5,0.5,ROUND(L66,0))</f>
        <v>0.5</v>
      </c>
      <c r="N66" s="2543" t="s">
        <v>1388</v>
      </c>
      <c r="Z66" s="1751"/>
      <c r="AI66" s="1752"/>
    </row>
    <row r="67" spans="1:35" ht="14.25" customHeight="1">
      <c r="A67" s="173" t="s">
        <v>328</v>
      </c>
      <c r="B67" s="174" t="s">
        <v>1389</v>
      </c>
      <c r="C67" s="2567">
        <f ca="1">C63-C66</f>
        <v>-717.73900000000003</v>
      </c>
      <c r="D67" s="170" t="s">
        <v>26</v>
      </c>
      <c r="E67" s="172"/>
      <c r="F67" s="1807"/>
      <c r="G67" s="1807"/>
      <c r="H67" s="1809"/>
      <c r="I67" s="129"/>
      <c r="J67" s="3598"/>
      <c r="K67" s="3489" t="s">
        <v>1390</v>
      </c>
      <c r="L67" s="3489">
        <f ca="1">IF(M49&gt;=10000,(8.25+(M49-10000)*0.01%),IF(AND(M49&gt;=8000,M49&lt;10000),(7.85+(M49-8000)*0.02%),IF(AND(M49&gt;=5000,M49&lt;8000),(6.65+(M49-5000)*0.04%),IF(AND(M49&gt;=2000,M49&lt;5000),(4.25+(PM49-2000)*0.08%),IF(AND(M49&gt;=1000,M49&lt;2000),(2.75+(M49-1000)*0.15%),IF(AND(M49&gt;=100,M49&lt;1000),(0.5+(M49-100)*0.25%),IF(AND(M49&gt;0,M49&lt;100),M49*0.5%)))))))</f>
        <v>2.9660000000000002</v>
      </c>
      <c r="M67" s="302">
        <f ca="1">ROUND(L67*0.9,1)</f>
        <v>2.7</v>
      </c>
      <c r="N67" s="2542"/>
      <c r="Z67" s="1751"/>
      <c r="AI67" s="1752"/>
    </row>
    <row r="68" spans="1:35" ht="14.25" customHeight="1" thickBot="1">
      <c r="A68" s="176" t="s">
        <v>329</v>
      </c>
      <c r="B68" s="177" t="s">
        <v>1391</v>
      </c>
      <c r="C68" s="2568">
        <f ca="1">IF(C67&lt;=0,0,ROUND(C67*D68,0))</f>
        <v>0</v>
      </c>
      <c r="D68" s="2569">
        <f>'数据-取费表'!B41</f>
        <v>5.6000000000000001E-2</v>
      </c>
      <c r="E68" s="178"/>
      <c r="F68" s="1807"/>
      <c r="G68" s="1807"/>
      <c r="H68" s="1809"/>
      <c r="I68" s="129"/>
      <c r="J68" s="3598"/>
      <c r="K68" s="3489" t="s">
        <v>1392</v>
      </c>
      <c r="L68" s="3489">
        <f ca="1">IF(M49&gt;10000,M49*0.5%,IF(AND(M49&gt;5000,M49&lt;=10000),M49*1%,IF(AND(M49&gt;1000,M49&lt;=5000),M49*2%,IF(AND(M49&gt;200,M49&lt;=1000),M49*3%,M49*5%))))</f>
        <v>22.88</v>
      </c>
      <c r="M68" s="302">
        <f ca="1">ROUND(L68,1)</f>
        <v>22.9</v>
      </c>
      <c r="N68" s="2542"/>
      <c r="Z68" s="1751"/>
      <c r="AI68" s="1752"/>
    </row>
    <row r="69" spans="1:35" s="1771" customFormat="1" ht="16.5" customHeight="1">
      <c r="A69" s="1810"/>
      <c r="B69" s="1811"/>
      <c r="C69" s="1812"/>
      <c r="D69" s="1813"/>
      <c r="E69" s="1814"/>
      <c r="F69" s="1577"/>
      <c r="G69" s="1577"/>
      <c r="H69" s="1576"/>
      <c r="I69" s="1746"/>
      <c r="J69" s="3598"/>
      <c r="K69" s="3489" t="s">
        <v>1393</v>
      </c>
      <c r="L69" s="3489"/>
      <c r="M69" s="302">
        <f ca="1">ROUND(SUM(M63:M68),0)</f>
        <v>46</v>
      </c>
      <c r="N69" s="2544">
        <f ca="1">M69/M49</f>
        <v>4.0209790209790208E-2</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42" t="s">
        <v>1394</v>
      </c>
      <c r="B70" s="3643"/>
      <c r="C70" s="3643"/>
      <c r="D70" s="3643"/>
      <c r="E70" s="3643"/>
      <c r="F70" s="3643"/>
      <c r="G70" s="3643"/>
      <c r="H70" s="3643"/>
      <c r="I70" s="1815"/>
      <c r="J70" s="2690"/>
      <c r="K70" s="2690"/>
      <c r="L70" s="2690"/>
      <c r="M70" s="2690"/>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634" t="s">
        <v>1375</v>
      </c>
      <c r="B71" s="3635"/>
      <c r="C71" s="3480"/>
      <c r="D71" s="3480" t="s">
        <v>1376</v>
      </c>
      <c r="E71" s="179" t="s">
        <v>1377</v>
      </c>
      <c r="F71" s="180"/>
      <c r="G71" s="180"/>
      <c r="H71" s="181"/>
      <c r="I71" s="1819"/>
      <c r="J71" s="2690"/>
      <c r="K71" s="2690"/>
      <c r="L71" s="2690"/>
      <c r="M71" s="2690"/>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1395</v>
      </c>
      <c r="C72" s="2567">
        <f ca="1">ROUND(D45/(1+'数据-取费表'!C42),0)</f>
        <v>1090</v>
      </c>
      <c r="D72" s="170" t="s">
        <v>26</v>
      </c>
      <c r="E72" s="3479"/>
      <c r="F72" s="3471"/>
      <c r="G72" s="3471"/>
      <c r="H72" s="182"/>
      <c r="I72" s="1819"/>
      <c r="J72" s="2690"/>
      <c r="K72" s="2690"/>
      <c r="L72" s="2690"/>
      <c r="M72" s="2690"/>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1396</v>
      </c>
      <c r="C73" s="2567">
        <f ca="1">C74+C78</f>
        <v>1870</v>
      </c>
      <c r="D73" s="170" t="s">
        <v>26</v>
      </c>
      <c r="E73" s="3479"/>
      <c r="F73" s="3471"/>
      <c r="G73" s="3471"/>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1397</v>
      </c>
      <c r="C74" s="170">
        <f>ROUND(IF(G77="2016年5月1日后购买",C75/(1+'数据-取费表'!C42)+C76+C77,C75+C76+C77),0)</f>
        <v>1863</v>
      </c>
      <c r="D74" s="170" t="s">
        <v>26</v>
      </c>
      <c r="E74" s="3479"/>
      <c r="F74" s="3471"/>
      <c r="G74" s="3471"/>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1398</v>
      </c>
      <c r="C75" s="2570">
        <f>ROUND((Sheet3!O20+Sheet3!O21+Sheet3!O22)/10000,4)</f>
        <v>1898.126</v>
      </c>
      <c r="D75" s="170" t="s">
        <v>26</v>
      </c>
      <c r="E75" s="184" t="s">
        <v>1399</v>
      </c>
      <c r="F75" s="2571" t="s">
        <v>3499</v>
      </c>
      <c r="G75" s="184" t="s">
        <v>1400</v>
      </c>
      <c r="H75" s="2572">
        <v>5</v>
      </c>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1401</v>
      </c>
      <c r="C76" s="170">
        <f>IF(F75="购房发票",ROUND(C75*H75*D76,0),0)</f>
        <v>0</v>
      </c>
      <c r="D76" s="2573">
        <v>0.05</v>
      </c>
      <c r="E76" s="3639" t="s">
        <v>1402</v>
      </c>
      <c r="F76" s="3638"/>
      <c r="G76" s="3638"/>
      <c r="H76" s="3641"/>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1403</v>
      </c>
      <c r="C77" s="170">
        <f>ROUND(IF(G77="个人住宅",0,IF(G77="2016年5月1日前购买",C75*D77,C75*D77/(1+'数据-取费表'!C42))),0)</f>
        <v>55</v>
      </c>
      <c r="D77" s="2574">
        <f>'数据-取费表'!B48+'数据-取费表'!B49</f>
        <v>3.0499999999999999E-2</v>
      </c>
      <c r="E77" s="3488" t="s">
        <v>1404</v>
      </c>
      <c r="F77" s="186"/>
      <c r="G77" s="1821" t="s">
        <v>3500</v>
      </c>
      <c r="H77" s="3483"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1405</v>
      </c>
      <c r="C78" s="2575">
        <f ca="1">ROUND(D45*D78/(1+'数据-取费表'!C42),0)</f>
        <v>7</v>
      </c>
      <c r="D78" s="2576">
        <f>'数据-取费表'!B43</f>
        <v>6.000000000000001E-3</v>
      </c>
      <c r="E78" s="3631" t="s">
        <v>1406</v>
      </c>
      <c r="F78" s="3632"/>
      <c r="G78" s="3632"/>
      <c r="H78" s="3633"/>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1407</v>
      </c>
      <c r="C79" s="2567">
        <f ca="1">C72-C73</f>
        <v>-780</v>
      </c>
      <c r="D79" s="170" t="s">
        <v>26</v>
      </c>
      <c r="E79" s="3479"/>
      <c r="F79" s="3471"/>
      <c r="G79" s="3471"/>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1408</v>
      </c>
      <c r="C80" s="2577">
        <f ca="1">IF(C79&lt;=0,0,C79/C73)</f>
        <v>0</v>
      </c>
      <c r="D80" s="170" t="s">
        <v>26</v>
      </c>
      <c r="E80" s="3488" t="str">
        <f ca="1">IF(C80&gt;=200%,"增值额超过扣除项目金额200%",IF(C80&gt;=100%,"增值额超过扣除项目金额100%，未超过200%",IF(C80&gt;=50%,"增值额超过扣除项目金额50%，未超过100%",IF(C80&lt;50%,"增值额未超过扣除项目金额50%"))))</f>
        <v>增值额未超过扣除项目金额50%</v>
      </c>
      <c r="F80" s="3471"/>
      <c r="G80" s="3471"/>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1409</v>
      </c>
      <c r="C81" s="2578">
        <f ca="1">ROUND(IF(C79&lt;=0,0,IF(C80&gt;=200%,C79*60%-C73*35%,IF(C80&gt;=100%,C79*50%-C73*15%,IF(C80&gt;=50%,C79*40%-C73*5%,IF(C80&lt;50%,C79*30%,0))))),0)</f>
        <v>0</v>
      </c>
      <c r="D81" s="2579"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42" t="s">
        <v>1410</v>
      </c>
      <c r="B83" s="3643"/>
      <c r="C83" s="3643"/>
      <c r="D83" s="3643"/>
      <c r="E83" s="3643"/>
      <c r="F83" s="3643"/>
      <c r="G83" s="3643"/>
      <c r="H83" s="3643"/>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634" t="s">
        <v>1375</v>
      </c>
      <c r="B84" s="3635"/>
      <c r="C84" s="3480"/>
      <c r="D84" s="3480" t="s">
        <v>1376</v>
      </c>
      <c r="E84" s="179" t="s">
        <v>1377</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1395</v>
      </c>
      <c r="C85" s="2567">
        <f ca="1">ROUND(D45/(1+'数据-取费表'!C42),0)</f>
        <v>1090</v>
      </c>
      <c r="D85" s="170" t="s">
        <v>26</v>
      </c>
      <c r="E85" s="3479"/>
      <c r="F85" s="3471"/>
      <c r="G85" s="3471"/>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1396</v>
      </c>
      <c r="C86" s="2567">
        <f ca="1">IF(H88="仅含出让金",C87+C90+C91+C92+C93+C94,C87+C91+C92+C93+C94)</f>
        <v>7</v>
      </c>
      <c r="D86" s="2580"/>
      <c r="E86" s="3479"/>
      <c r="F86" s="3471"/>
      <c r="G86" s="3471"/>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1411</v>
      </c>
      <c r="C87" s="2575">
        <f>C88+C89</f>
        <v>0</v>
      </c>
      <c r="D87" s="2576"/>
      <c r="E87" s="3473"/>
      <c r="F87" s="3474"/>
      <c r="G87" s="3474"/>
      <c r="H87" s="3478"/>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1412</v>
      </c>
      <c r="C88" s="2581"/>
      <c r="D88" s="2576"/>
      <c r="E88" s="193" t="s">
        <v>1413</v>
      </c>
      <c r="F88" s="3474"/>
      <c r="G88" s="194" t="s">
        <v>1414</v>
      </c>
      <c r="H88" s="1823"/>
      <c r="I88" s="1820"/>
      <c r="J88" s="2520" t="s">
        <v>2288</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1403</v>
      </c>
      <c r="C89" s="2575">
        <f>ROUND(C88*D89,0)</f>
        <v>0</v>
      </c>
      <c r="D89" s="2576">
        <f>'数据-取费表'!B48+'数据-取费表'!B49</f>
        <v>3.0499999999999999E-2</v>
      </c>
      <c r="E89" s="193" t="s">
        <v>1415</v>
      </c>
      <c r="F89" s="3474"/>
      <c r="G89" s="3474"/>
      <c r="H89" s="3478"/>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1416</v>
      </c>
      <c r="C90" s="2581"/>
      <c r="D90" s="2576"/>
      <c r="E90" s="193" t="str">
        <f>IF(H88="-","土地取得成本中已包含该笔费用"," ")</f>
        <v xml:space="preserve"> </v>
      </c>
      <c r="F90" s="3474"/>
      <c r="G90" s="3600" t="s">
        <v>2129</v>
      </c>
      <c r="H90" s="3601"/>
      <c r="I90" s="1820"/>
      <c r="J90" s="2520" t="s">
        <v>2289</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1417</v>
      </c>
      <c r="B91" s="170" t="s">
        <v>1418</v>
      </c>
      <c r="C91" s="2575">
        <f>IF(H91="——",成本法!C33,I91)</f>
        <v>0</v>
      </c>
      <c r="D91" s="2576"/>
      <c r="E91" s="3631" t="s">
        <v>1419</v>
      </c>
      <c r="F91" s="3632"/>
      <c r="G91" s="3632"/>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1420</v>
      </c>
      <c r="B92" s="170" t="s">
        <v>1421</v>
      </c>
      <c r="C92" s="2575">
        <f>ROUND((C87+C90+C91)*D92,0)</f>
        <v>0</v>
      </c>
      <c r="D92" s="2582"/>
      <c r="E92" s="3631" t="s">
        <v>1422</v>
      </c>
      <c r="F92" s="3632"/>
      <c r="G92" s="3632"/>
      <c r="H92" s="3633"/>
      <c r="I92" s="1820"/>
      <c r="J92" s="2521" t="s">
        <v>2290</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1423</v>
      </c>
      <c r="B93" s="170" t="s">
        <v>1405</v>
      </c>
      <c r="C93" s="2575">
        <f ca="1">ROUND(D45*D93/(1+'数据-取费表'!C42),0)</f>
        <v>7</v>
      </c>
      <c r="D93" s="2576">
        <f>'数据-取费表'!B43</f>
        <v>6.000000000000001E-3</v>
      </c>
      <c r="E93" s="3631" t="s">
        <v>1406</v>
      </c>
      <c r="F93" s="3632"/>
      <c r="G93" s="3632"/>
      <c r="H93" s="3633"/>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1424</v>
      </c>
      <c r="B94" s="170" t="s">
        <v>1425</v>
      </c>
      <c r="C94" s="2581">
        <f>ROUND((C87+C90+C91)*D94,0)</f>
        <v>0</v>
      </c>
      <c r="D94" s="2576">
        <v>0.2</v>
      </c>
      <c r="E94" s="3676" t="s">
        <v>1426</v>
      </c>
      <c r="F94" s="3677"/>
      <c r="G94" s="3677"/>
      <c r="H94" s="3678"/>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1407</v>
      </c>
      <c r="C95" s="2567">
        <f ca="1">ROUND(C85-C86,0)</f>
        <v>1083</v>
      </c>
      <c r="D95" s="170" t="s">
        <v>26</v>
      </c>
      <c r="E95" s="3479"/>
      <c r="F95" s="3471"/>
      <c r="G95" s="3471"/>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1408</v>
      </c>
      <c r="C96" s="2577">
        <f ca="1">IF(C95&lt;=0,0,C95/C86)</f>
        <v>154.71428571428572</v>
      </c>
      <c r="D96" s="170" t="s">
        <v>26</v>
      </c>
      <c r="E96" s="3488" t="str">
        <f ca="1">IF(C96&gt;=200%,"增值额超过扣除项目金额200%",IF(C96&gt;=100%,"增值额超过扣除项目金额100%，未超过200%",IF(C96&gt;=50%,"增值额超过扣除项目金额50%，未超过100%",IF(C96&lt;50%,"增值额未超过扣除项目金额50%"))))</f>
        <v>增值额超过扣除项目金额200%</v>
      </c>
      <c r="F96" s="3471"/>
      <c r="G96" s="3471"/>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1409</v>
      </c>
      <c r="C97" s="2578">
        <f ca="1">ROUND(IF(C95&lt;=0,0,IF(C96&gt;=200%,C95*60%-C86*35%,IF(C96&gt;=100%,C95*50%-C86*15%,IF(C96&gt;=50%,C95*40%-C86*5%,IF(C96&lt;50%,C95*30%,0))))),0)</f>
        <v>647</v>
      </c>
      <c r="D97" s="2579"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1427</v>
      </c>
      <c r="B99" s="1746"/>
      <c r="C99" s="1746"/>
      <c r="D99" s="1746"/>
      <c r="E99" s="1577"/>
      <c r="F99" s="1577"/>
      <c r="G99" s="1577"/>
      <c r="H99" s="1576"/>
      <c r="I99" s="129"/>
    </row>
    <row r="100" spans="1:35" ht="18.75" customHeight="1">
      <c r="A100" s="3581" t="s">
        <v>1428</v>
      </c>
      <c r="B100" s="3582"/>
      <c r="C100" s="3582"/>
      <c r="D100" s="3616"/>
      <c r="E100" s="3582" t="s">
        <v>1429</v>
      </c>
      <c r="F100" s="3582"/>
      <c r="G100" s="3582"/>
      <c r="H100" s="3616"/>
      <c r="I100" s="129"/>
    </row>
    <row r="101" spans="1:35" ht="18.75" customHeight="1">
      <c r="A101" s="3624" t="s">
        <v>1430</v>
      </c>
      <c r="B101" s="3625"/>
      <c r="C101" s="2584" t="str">
        <f>C4</f>
        <v>典型户型修正</v>
      </c>
      <c r="D101" s="2585" t="str">
        <f>D4</f>
        <v>收益法-2层</v>
      </c>
      <c r="E101" s="3594" t="s">
        <v>1431</v>
      </c>
      <c r="F101" s="3595"/>
      <c r="G101" s="1826" t="s">
        <v>1432</v>
      </c>
      <c r="H101" s="2594">
        <f ca="1">H118</f>
        <v>1144</v>
      </c>
      <c r="I101" s="129"/>
    </row>
    <row r="102" spans="1:35" ht="18.75" customHeight="1">
      <c r="A102" s="3626" t="s">
        <v>1433</v>
      </c>
      <c r="B102" s="2583" t="s">
        <v>1432</v>
      </c>
      <c r="C102" s="2584">
        <f ca="1">IF(D32="楼面单价",ROUND(C19,0),C19)</f>
        <v>1270</v>
      </c>
      <c r="D102" s="2585">
        <f ca="1">IF(D32="楼面单价",ROUND(D19,0),D19)</f>
        <v>851</v>
      </c>
      <c r="E102" s="3594"/>
      <c r="F102" s="3595"/>
      <c r="G102" s="1826" t="s">
        <v>1434</v>
      </c>
      <c r="H102" s="2554">
        <f ca="1">I118</f>
        <v>26238</v>
      </c>
      <c r="I102" s="129"/>
    </row>
    <row r="103" spans="1:35" ht="42.75" customHeight="1">
      <c r="A103" s="3626"/>
      <c r="B103" s="2583" t="s">
        <v>1434</v>
      </c>
      <c r="C103" s="2586">
        <f ca="1">C20</f>
        <v>29116</v>
      </c>
      <c r="D103" s="2587">
        <f ca="1">D20</f>
        <v>19521</v>
      </c>
      <c r="E103" s="3587" t="s">
        <v>1435</v>
      </c>
      <c r="F103" s="3588"/>
      <c r="G103" s="1827" t="s">
        <v>1436</v>
      </c>
      <c r="H103" s="2594">
        <f>IF(D36="正常操作",H104+H105+H106,H105+H106)</f>
        <v>0</v>
      </c>
      <c r="I103" s="129"/>
    </row>
    <row r="104" spans="1:35" ht="18.75" customHeight="1">
      <c r="A104" s="3626" t="s">
        <v>1437</v>
      </c>
      <c r="B104" s="2588" t="s">
        <v>1432</v>
      </c>
      <c r="C104" s="2589">
        <f ca="1">H118</f>
        <v>1144</v>
      </c>
      <c r="D104" s="2590"/>
      <c r="E104" s="1673" t="s">
        <v>1438</v>
      </c>
      <c r="F104" s="1665"/>
      <c r="G104" s="1827" t="s">
        <v>1436</v>
      </c>
      <c r="H104" s="2595">
        <f>IF(D36="同一抵押权人同一抵押物续贷",C36&amp;"（续贷，未扣减，详见特别提示）",C36)</f>
        <v>0</v>
      </c>
      <c r="I104" s="129"/>
    </row>
    <row r="105" spans="1:35" ht="18.75" customHeight="1" thickBot="1">
      <c r="A105" s="3636"/>
      <c r="B105" s="2591" t="s">
        <v>1434</v>
      </c>
      <c r="C105" s="2592">
        <f ca="1">I118</f>
        <v>26238</v>
      </c>
      <c r="D105" s="2593"/>
      <c r="E105" s="1673" t="s">
        <v>1439</v>
      </c>
      <c r="F105" s="1665"/>
      <c r="G105" s="1827" t="s">
        <v>1436</v>
      </c>
      <c r="H105" s="2596">
        <f>C37</f>
        <v>0</v>
      </c>
      <c r="I105" s="129"/>
    </row>
    <row r="106" spans="1:35" ht="18.75" customHeight="1">
      <c r="A106" s="1746" t="s">
        <v>1440</v>
      </c>
      <c r="B106" s="1746"/>
      <c r="C106" s="1746"/>
      <c r="D106" s="1746"/>
      <c r="E106" s="1828" t="s">
        <v>1441</v>
      </c>
      <c r="F106" s="1665"/>
      <c r="G106" s="1827" t="s">
        <v>1436</v>
      </c>
      <c r="H106" s="2596">
        <f>C38</f>
        <v>0</v>
      </c>
      <c r="I106" s="129"/>
    </row>
    <row r="107" spans="1:35" ht="18.75" customHeight="1">
      <c r="A107" s="129"/>
      <c r="B107" s="129"/>
      <c r="C107" s="129"/>
      <c r="D107" s="129">
        <f ca="1">H108*B118</f>
        <v>11444490.84</v>
      </c>
      <c r="E107" s="3627" t="str">
        <f>IF(项目基本情况!E8="已注销","——","3.房地产抵押价值")</f>
        <v>3.房地产抵押价值</v>
      </c>
      <c r="F107" s="3595"/>
      <c r="G107" s="1826" t="s">
        <v>1432</v>
      </c>
      <c r="H107" s="2594">
        <f ca="1">IF(E107="——","——",H101-H103)</f>
        <v>1144</v>
      </c>
      <c r="I107" s="129"/>
    </row>
    <row r="108" spans="1:35" ht="18.75" customHeight="1">
      <c r="A108" s="129"/>
      <c r="B108" s="129"/>
      <c r="C108" s="129"/>
      <c r="D108" s="129"/>
      <c r="E108" s="3627"/>
      <c r="F108" s="3595"/>
      <c r="G108" s="1826" t="s">
        <v>1434</v>
      </c>
      <c r="H108" s="2554">
        <f ca="1">IF(H107=H101,H102,ROUND(H107*10000/'数据-汇总表'!E3,0))</f>
        <v>26238</v>
      </c>
      <c r="I108" s="129"/>
    </row>
    <row r="109" spans="1:35" ht="18.75" customHeight="1">
      <c r="A109" s="129"/>
      <c r="B109" s="129"/>
      <c r="C109" s="129"/>
      <c r="D109" s="129"/>
      <c r="E109" s="3627" t="str">
        <f>IF(项目基本情况!E8="已注销及未注销","4.抵押担保权已注销时的房地产抵押价值",IF(项目基本情况!E8="已注销","3.抵押担保权已注销时的房地产抵押价值","——"))</f>
        <v>——</v>
      </c>
      <c r="F109" s="3595"/>
      <c r="G109" s="1826" t="s">
        <v>1432</v>
      </c>
      <c r="H109" s="2597" t="str">
        <f>IF(E109="——","——",H101-H105-H106)</f>
        <v>——</v>
      </c>
      <c r="I109" s="129"/>
    </row>
    <row r="110" spans="1:35" ht="18.75" customHeight="1">
      <c r="A110" s="129"/>
      <c r="B110" s="129"/>
      <c r="C110" s="129"/>
      <c r="D110" s="129"/>
      <c r="E110" s="3627"/>
      <c r="F110" s="3595"/>
      <c r="G110" s="1826" t="s">
        <v>1434</v>
      </c>
      <c r="H110" s="2554" t="str">
        <f>IF(H109="——","——",ROUND(H109*10000/'数据-汇总表'!E3,0))</f>
        <v>——</v>
      </c>
      <c r="I110" s="129"/>
    </row>
    <row r="111" spans="1:35" ht="18.75" customHeight="1">
      <c r="A111" s="129"/>
      <c r="B111" s="129"/>
      <c r="C111" s="129"/>
      <c r="D111" s="129"/>
      <c r="E111" s="3628" t="str">
        <f>IF(项目基本情况!E9="抵押净值",IF(OR(项目基本情况!E8="已注销",项目基本情况!E8="房地产抵押价值"),"4.抵押净值","5.抵押净值"),"——")</f>
        <v>4.抵押净值</v>
      </c>
      <c r="F111" s="3614"/>
      <c r="G111" s="1826" t="s">
        <v>1432</v>
      </c>
      <c r="H111" s="2594">
        <f ca="1">IF(E111="——","——",N59)</f>
        <v>1143</v>
      </c>
      <c r="I111" s="129"/>
    </row>
    <row r="112" spans="1:35" ht="18.75" customHeight="1" thickBot="1">
      <c r="A112" s="129"/>
      <c r="B112" s="129"/>
      <c r="C112" s="129"/>
      <c r="D112" s="129"/>
      <c r="E112" s="3629"/>
      <c r="F112" s="3630"/>
      <c r="G112" s="1829" t="s">
        <v>1434</v>
      </c>
      <c r="H112" s="2598">
        <f ca="1">IF(E111="——","——",N61)</f>
        <v>20485</v>
      </c>
      <c r="I112" s="129"/>
    </row>
    <row r="113" spans="1:27" ht="18.75" customHeight="1">
      <c r="A113" s="129"/>
      <c r="B113" s="129"/>
      <c r="C113" s="129"/>
      <c r="D113" s="129"/>
      <c r="E113" s="3637" t="s">
        <v>1440</v>
      </c>
      <c r="F113" s="3637"/>
      <c r="G113" s="3637"/>
      <c r="H113" s="3637"/>
      <c r="I113" s="129"/>
    </row>
    <row r="114" spans="1:27" ht="3.75" customHeight="1">
      <c r="A114" s="1746"/>
      <c r="B114" s="1746"/>
      <c r="C114" s="1746"/>
      <c r="D114" s="1746"/>
      <c r="E114" s="1808"/>
      <c r="F114" s="1808"/>
      <c r="G114" s="1808"/>
      <c r="H114" s="1808"/>
      <c r="I114" s="1746"/>
    </row>
    <row r="115" spans="1:27" ht="18.75" customHeight="1">
      <c r="A115" s="3645" t="s">
        <v>1442</v>
      </c>
      <c r="B115" s="3646"/>
      <c r="C115" s="3646"/>
      <c r="D115" s="3646"/>
      <c r="E115" s="3646"/>
      <c r="F115" s="3646"/>
      <c r="G115" s="3646"/>
      <c r="H115" s="3646"/>
      <c r="I115" s="3647"/>
    </row>
    <row r="116" spans="1:27" ht="27" customHeight="1">
      <c r="A116" s="3602" t="s">
        <v>1443</v>
      </c>
      <c r="B116" s="3606" t="s">
        <v>1444</v>
      </c>
      <c r="C116" s="3606" t="s">
        <v>1445</v>
      </c>
      <c r="D116" s="3612" t="s">
        <v>1446</v>
      </c>
      <c r="E116" s="3613"/>
      <c r="F116" s="3644" t="s">
        <v>1447</v>
      </c>
      <c r="G116" s="3644"/>
      <c r="H116" s="3602" t="s">
        <v>1448</v>
      </c>
      <c r="I116" s="3602"/>
    </row>
    <row r="117" spans="1:27" ht="18.75" customHeight="1">
      <c r="A117" s="3602"/>
      <c r="B117" s="3607"/>
      <c r="C117" s="3607"/>
      <c r="D117" s="3475" t="s">
        <v>1449</v>
      </c>
      <c r="E117" s="3475" t="s">
        <v>1450</v>
      </c>
      <c r="F117" s="3475" t="s">
        <v>1449</v>
      </c>
      <c r="G117" s="3475" t="s">
        <v>1451</v>
      </c>
      <c r="H117" s="3475" t="s">
        <v>1449</v>
      </c>
      <c r="I117" s="3475" t="s">
        <v>1451</v>
      </c>
    </row>
    <row r="118" spans="1:27" ht="24.75" customHeight="1">
      <c r="A118" s="2599" t="str">
        <f>项目基本情况!S2</f>
        <v>北京市房地产</v>
      </c>
      <c r="B118" s="3475">
        <f>M18</f>
        <v>436.18</v>
      </c>
      <c r="C118" s="3475">
        <f>M19</f>
        <v>0</v>
      </c>
      <c r="D118" s="3475">
        <f>ROUND(IF(D32="总价",C34,E118*B118/10000),0)</f>
        <v>0</v>
      </c>
      <c r="E118" s="3475">
        <f>ROUND(IF(C33="自定义",IF(D32="楼面单价",C34,D118*10000/B118),I118-G118),0)</f>
        <v>0</v>
      </c>
      <c r="F118" s="3475">
        <f>ROUND(IF(D32="总价",C35,G118*B118/10000),0)</f>
        <v>0</v>
      </c>
      <c r="G118" s="3475">
        <f>ROUND(IF(D32="楼面单价",C35,F118*10000/B118),0)</f>
        <v>0</v>
      </c>
      <c r="H118" s="3475">
        <f ca="1">ROUND(IF(D32="总价",C32,I118*B118/10000),0)</f>
        <v>1144</v>
      </c>
      <c r="I118" s="3475">
        <f ca="1">ROUND(IF(D32="楼面单价",C32,H118*10000/B118),0)</f>
        <v>26238</v>
      </c>
    </row>
    <row r="119" spans="1:27" ht="18.75" customHeight="1">
      <c r="A119" s="3602" t="s">
        <v>1452</v>
      </c>
      <c r="B119" s="3602"/>
      <c r="C119" s="3602"/>
      <c r="D119" s="3608" t="str">
        <f>NUMBERSTRING(INT(D118*10000),2)&amp;"元整"</f>
        <v>零元整</v>
      </c>
      <c r="E119" s="3609"/>
      <c r="F119" s="3608" t="str">
        <f>NUMBERSTRING(INT(F118*10000),2)&amp;"元整"</f>
        <v>零元整</v>
      </c>
      <c r="G119" s="3609"/>
      <c r="H119" s="3608" t="str">
        <f ca="1">NUMBERSTRING(INT(H118*10000),2)&amp;"元整"</f>
        <v>壹仟壹佰肆拾肆万元整</v>
      </c>
      <c r="I119" s="3609"/>
    </row>
    <row r="120" spans="1:27" ht="18.75" customHeight="1">
      <c r="A120" s="3603" t="str">
        <f>IF(项目基本情况!B9="房地产市场价值","",MID(E103,3,LEN(E103)-2))</f>
        <v>估价师知悉的法定优先受偿款</v>
      </c>
      <c r="B120" s="3604"/>
      <c r="C120" s="3605"/>
      <c r="D120" s="3603">
        <f>H103</f>
        <v>0</v>
      </c>
      <c r="E120" s="3604"/>
      <c r="F120" s="3604"/>
      <c r="G120" s="3604"/>
      <c r="H120" s="3604"/>
      <c r="I120" s="3605"/>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08" t="s">
        <v>1452</v>
      </c>
      <c r="B121" s="3610"/>
      <c r="C121" s="3609"/>
      <c r="D121" s="3608" t="str">
        <f>IF(D120=0,"零元整",NUMBERSTRING(INT(D120*10000),2)&amp;"元整")</f>
        <v>零元整</v>
      </c>
      <c r="E121" s="3610"/>
      <c r="F121" s="3610"/>
      <c r="G121" s="3610"/>
      <c r="H121" s="3610"/>
      <c r="I121" s="3609"/>
      <c r="AA121" s="724"/>
    </row>
    <row r="122" spans="1:27" ht="18.75" customHeight="1">
      <c r="A122" s="3614" t="str">
        <f>IF(项目基本情况!B9="房地产市场价值","",MID(E107,3,LEN(E107)-2))</f>
        <v>房地产抵押价值</v>
      </c>
      <c r="B122" s="3614"/>
      <c r="C122" s="3614"/>
      <c r="D122" s="3603">
        <f ca="1">H107</f>
        <v>1144</v>
      </c>
      <c r="E122" s="3604"/>
      <c r="F122" s="3604"/>
      <c r="G122" s="3604"/>
      <c r="H122" s="3604"/>
      <c r="I122" s="3605"/>
      <c r="AA122" s="724"/>
    </row>
    <row r="123" spans="1:27" ht="18.75" customHeight="1">
      <c r="A123" s="3602" t="s">
        <v>1452</v>
      </c>
      <c r="B123" s="3602"/>
      <c r="C123" s="3602"/>
      <c r="D123" s="3608" t="str">
        <f ca="1">NUMBERSTRING(INT(D122*10000),2)&amp;"元整"</f>
        <v>壹仟壹佰肆拾肆万元整</v>
      </c>
      <c r="E123" s="3610"/>
      <c r="F123" s="3610"/>
      <c r="G123" s="3610"/>
      <c r="H123" s="3610"/>
      <c r="I123" s="3609"/>
      <c r="AA123" s="724"/>
    </row>
    <row r="124" spans="1:27" ht="18.75" customHeight="1">
      <c r="A124" s="3614" t="str">
        <f>IF(项目基本情况!B9="房地产市场价值","",MID(E109,3,LEN(E109)-2))</f>
        <v/>
      </c>
      <c r="B124" s="3614"/>
      <c r="C124" s="3614"/>
      <c r="D124" s="3603" t="str">
        <f>H109</f>
        <v>——</v>
      </c>
      <c r="E124" s="3604"/>
      <c r="F124" s="3604"/>
      <c r="G124" s="3604"/>
      <c r="H124" s="3604"/>
      <c r="I124" s="3605"/>
      <c r="AA124" s="724"/>
    </row>
    <row r="125" spans="1:27" ht="18.75" customHeight="1">
      <c r="A125" s="3602" t="s">
        <v>1452</v>
      </c>
      <c r="B125" s="3602"/>
      <c r="C125" s="3602"/>
      <c r="D125" s="3608" t="e">
        <f>NUMBERSTRING(INT(D124*10000),2)&amp;"元整"</f>
        <v>#VALUE!</v>
      </c>
      <c r="E125" s="3610"/>
      <c r="F125" s="3610"/>
      <c r="G125" s="3610"/>
      <c r="H125" s="3610"/>
      <c r="I125" s="3609"/>
      <c r="AA125" s="724"/>
    </row>
    <row r="126" spans="1:27" ht="18.75" customHeight="1">
      <c r="A126" s="3614" t="str">
        <f>IF(项目基本情况!B9="房地产市场价值","",MID(E111,3,LEN(E111)-2))</f>
        <v>抵押净值</v>
      </c>
      <c r="B126" s="3614"/>
      <c r="C126" s="3614"/>
      <c r="D126" s="3603">
        <f ca="1">H111</f>
        <v>1143</v>
      </c>
      <c r="E126" s="3604"/>
      <c r="F126" s="3604"/>
      <c r="G126" s="3604"/>
      <c r="H126" s="3604"/>
      <c r="I126" s="3605"/>
      <c r="AA126" s="724"/>
    </row>
    <row r="127" spans="1:27" ht="18.75" customHeight="1">
      <c r="A127" s="3602" t="s">
        <v>1452</v>
      </c>
      <c r="B127" s="3602"/>
      <c r="C127" s="3602"/>
      <c r="D127" s="3608" t="str">
        <f ca="1">NUMBERSTRING(INT(D126*10000),2)&amp;"元整"</f>
        <v>壹仟壹佰肆拾叁万元整</v>
      </c>
      <c r="E127" s="3610"/>
      <c r="F127" s="3610"/>
      <c r="G127" s="3610"/>
      <c r="H127" s="3610"/>
      <c r="I127" s="3609"/>
      <c r="AA127" s="724"/>
    </row>
    <row r="128" spans="1:27" ht="21.75" customHeight="1">
      <c r="A128" s="3611" t="s">
        <v>1453</v>
      </c>
      <c r="B128" s="3611"/>
      <c r="C128" s="3611"/>
      <c r="D128" s="3611"/>
      <c r="E128" s="3611"/>
      <c r="F128" s="3611"/>
      <c r="G128" s="3611"/>
      <c r="H128" s="3611"/>
      <c r="I128" s="3611"/>
      <c r="AA128" s="724"/>
    </row>
    <row r="129" spans="1:35" ht="21.75" customHeight="1">
      <c r="A129" s="1830" t="s">
        <v>1454</v>
      </c>
      <c r="B129" s="1831"/>
      <c r="C129" s="1832" t="s">
        <v>1455</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1456</v>
      </c>
      <c r="G135" s="1847"/>
      <c r="H135" s="1847"/>
      <c r="I135" s="1848" t="s">
        <v>1457</v>
      </c>
    </row>
    <row r="136" spans="1:35" ht="21.75" customHeight="1">
      <c r="A136" s="724"/>
      <c r="B136" s="1849" t="s">
        <v>1458</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1459</v>
      </c>
    </row>
    <row r="139" spans="1:35" ht="21.75" customHeight="1">
      <c r="A139" s="724"/>
      <c r="B139" s="1849" t="s">
        <v>1460</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1459</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34" priority="10" stopIfTrue="1" operator="equal">
      <formula>25</formula>
    </cfRule>
  </conditionalFormatting>
  <conditionalFormatting sqref="C8:C9">
    <cfRule type="cellIs" dxfId="33" priority="9" stopIfTrue="1" operator="equal">
      <formula>15</formula>
    </cfRule>
  </conditionalFormatting>
  <conditionalFormatting sqref="C14:C16">
    <cfRule type="cellIs" dxfId="32" priority="8" stopIfTrue="1" operator="equal">
      <formula>30</formula>
    </cfRule>
  </conditionalFormatting>
  <conditionalFormatting sqref="D5:D7">
    <cfRule type="cellIs" dxfId="31" priority="7" stopIfTrue="1" operator="equal">
      <formula>25</formula>
    </cfRule>
  </conditionalFormatting>
  <conditionalFormatting sqref="D8:D9">
    <cfRule type="cellIs" dxfId="30" priority="6" stopIfTrue="1" operator="equal">
      <formula>15</formula>
    </cfRule>
  </conditionalFormatting>
  <conditionalFormatting sqref="C10:D13">
    <cfRule type="cellIs" dxfId="29" priority="5" stopIfTrue="1" operator="equal">
      <formula>15</formula>
    </cfRule>
  </conditionalFormatting>
  <conditionalFormatting sqref="D14:D16">
    <cfRule type="cellIs" dxfId="28" priority="4" stopIfTrue="1" operator="equal">
      <formula>30</formula>
    </cfRule>
  </conditionalFormatting>
  <conditionalFormatting sqref="C90">
    <cfRule type="expression" dxfId="27" priority="3" stopIfTrue="1">
      <formula>$H$88&lt;&gt;"仅含出让金"</formula>
    </cfRule>
  </conditionalFormatting>
  <conditionalFormatting sqref="C91">
    <cfRule type="expression" dxfId="26" priority="2" stopIfTrue="1">
      <formula>$H$91="由企业提供"</formula>
    </cfRule>
  </conditionalFormatting>
  <conditionalFormatting sqref="E36">
    <cfRule type="expression" dxfId="25"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22" zoomScale="85" zoomScaleNormal="70" zoomScaleSheetLayoutView="85" workbookViewId="0">
      <selection activeCell="C27" sqref="C27"/>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1766</v>
      </c>
      <c r="C1" s="1237" t="s">
        <v>1662</v>
      </c>
      <c r="D1" s="1224" t="s">
        <v>3446</v>
      </c>
      <c r="E1" s="3425" t="s">
        <v>3481</v>
      </c>
      <c r="F1" s="1878" t="s">
        <v>3482</v>
      </c>
      <c r="G1" s="1234" t="s">
        <v>1663</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1462</v>
      </c>
      <c r="B2" s="1163">
        <f>IF(E1="项目模式",IF(C2="——",ROUND(C49*D3/10000,0),ROUND(C49*D3/10000,0)-D2),IF(E1="单套模式",IF(C2="——",ROUND(C49*D3/10000,4),ROUND(C49*D3/10000,4)-D2)))</f>
        <v>506.51749999999998</v>
      </c>
      <c r="C2" s="1880" t="s">
        <v>43</v>
      </c>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2" customFormat="1" ht="28.5" customHeight="1" thickBot="1">
      <c r="A3" s="203" t="s">
        <v>1464</v>
      </c>
      <c r="B3" s="558">
        <f>IF(C2="——",C49,ROUND(B2*10000/D3,0))</f>
        <v>41586</v>
      </c>
      <c r="C3" s="354" t="s">
        <v>1665</v>
      </c>
      <c r="D3" s="353">
        <f>IF(D1="",'数据-汇总表'!E3,SUMIF('数据-汇总表'!$C19:$C33,D1,'数据-汇总表'!$E19:$E33))</f>
        <v>121.8</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5">
      <c r="A4" s="355" t="s">
        <v>1666</v>
      </c>
      <c r="B4" s="356"/>
      <c r="C4" s="3728" t="s">
        <v>1667</v>
      </c>
      <c r="D4" s="3729"/>
      <c r="E4" s="3730" t="s">
        <v>1668</v>
      </c>
      <c r="F4" s="3731"/>
      <c r="G4" s="3728" t="s">
        <v>1669</v>
      </c>
      <c r="H4" s="3729"/>
      <c r="I4" s="3728" t="s">
        <v>1670</v>
      </c>
      <c r="J4" s="3729"/>
      <c r="K4" s="559" t="s">
        <v>1671</v>
      </c>
      <c r="L4" s="2714"/>
      <c r="M4" s="2715"/>
      <c r="N4" s="2715"/>
      <c r="O4" s="2715"/>
      <c r="P4" s="3732" t="s">
        <v>1672</v>
      </c>
      <c r="Q4" s="3733"/>
      <c r="R4" s="3715" t="s">
        <v>1668</v>
      </c>
      <c r="S4" s="3716"/>
      <c r="T4" s="3715" t="s">
        <v>1669</v>
      </c>
      <c r="U4" s="3716"/>
      <c r="V4" s="3740" t="s">
        <v>1670</v>
      </c>
      <c r="W4" s="3740"/>
      <c r="X4" s="3494"/>
      <c r="Y4" s="3715" t="s">
        <v>1672</v>
      </c>
      <c r="Z4" s="3716"/>
      <c r="AA4" s="3710" t="s">
        <v>1668</v>
      </c>
      <c r="AB4" s="3740" t="s">
        <v>1669</v>
      </c>
      <c r="AC4" s="3710" t="s">
        <v>1670</v>
      </c>
    </row>
    <row r="5" spans="1:29" ht="15">
      <c r="A5" s="358"/>
      <c r="B5" s="359"/>
      <c r="C5" s="3721" t="s">
        <v>1673</v>
      </c>
      <c r="D5" s="3722"/>
      <c r="E5" s="3841" t="s">
        <v>3490</v>
      </c>
      <c r="F5" s="3720"/>
      <c r="G5" s="3842" t="s">
        <v>3491</v>
      </c>
      <c r="H5" s="3722"/>
      <c r="I5" s="3842" t="s">
        <v>3492</v>
      </c>
      <c r="J5" s="3722"/>
      <c r="K5" s="559"/>
      <c r="L5" s="2714"/>
      <c r="M5" s="2715"/>
      <c r="N5" s="2715"/>
      <c r="O5" s="2715"/>
      <c r="P5" s="3734"/>
      <c r="Q5" s="3735"/>
      <c r="R5" s="3717"/>
      <c r="S5" s="3718"/>
      <c r="T5" s="3717"/>
      <c r="U5" s="3718"/>
      <c r="V5" s="3740"/>
      <c r="W5" s="3740"/>
      <c r="X5" s="3494"/>
      <c r="Y5" s="3717"/>
      <c r="Z5" s="3718"/>
      <c r="AA5" s="3711"/>
      <c r="AB5" s="3740"/>
      <c r="AC5" s="3711"/>
    </row>
    <row r="6" spans="1:29" ht="15.75" thickBot="1">
      <c r="A6" s="360"/>
      <c r="B6" s="361"/>
      <c r="C6" s="3723" t="s">
        <v>1677</v>
      </c>
      <c r="D6" s="3724"/>
      <c r="E6" s="3725" t="s">
        <v>1677</v>
      </c>
      <c r="F6" s="3726"/>
      <c r="G6" s="3723" t="s">
        <v>1677</v>
      </c>
      <c r="H6" s="3724"/>
      <c r="I6" s="3723" t="s">
        <v>1677</v>
      </c>
      <c r="J6" s="3724"/>
      <c r="K6" s="559" t="s">
        <v>1678</v>
      </c>
      <c r="L6" s="2714"/>
      <c r="M6" s="2715"/>
      <c r="N6" s="2715"/>
      <c r="O6" s="2715"/>
      <c r="P6" s="3736"/>
      <c r="Q6" s="3737"/>
      <c r="R6" s="3717"/>
      <c r="S6" s="3718"/>
      <c r="T6" s="3738"/>
      <c r="U6" s="3739"/>
      <c r="V6" s="3740"/>
      <c r="W6" s="3740"/>
      <c r="X6" s="3494"/>
      <c r="Y6" s="3738"/>
      <c r="Z6" s="3739"/>
      <c r="AA6" s="3712"/>
      <c r="AB6" s="3740"/>
      <c r="AC6" s="3712"/>
    </row>
    <row r="7" spans="1:29" s="108" customFormat="1" ht="15.75" thickBot="1">
      <c r="A7" s="362" t="s">
        <v>1679</v>
      </c>
      <c r="B7" s="363"/>
      <c r="C7" s="364">
        <f>'数据-取费表'!B2</f>
        <v>45805</v>
      </c>
      <c r="D7" s="365">
        <v>100</v>
      </c>
      <c r="E7" s="366">
        <v>45778</v>
      </c>
      <c r="F7" s="367">
        <f>SUMIF(58:58,YEAR(E7)&amp;"-"&amp;MONTH(E7),59:59)</f>
        <v>100</v>
      </c>
      <c r="G7" s="366">
        <v>45778</v>
      </c>
      <c r="H7" s="365">
        <f>SUMIF(58:58,YEAR(G7)&amp;"-"&amp;MONTH(G7),59:59)</f>
        <v>100</v>
      </c>
      <c r="I7" s="366">
        <v>45778</v>
      </c>
      <c r="J7" s="365">
        <f>SUMIF(58:58,YEAR(I7)&amp;"-"&amp;MONTH(I7),59:59)</f>
        <v>100</v>
      </c>
      <c r="K7" s="560"/>
      <c r="L7" s="2716"/>
      <c r="M7" s="2717"/>
      <c r="N7" s="2717"/>
      <c r="O7" s="2717"/>
      <c r="P7" s="3713" t="s">
        <v>1680</v>
      </c>
      <c r="Q7" s="3741"/>
      <c r="R7" s="700" t="s">
        <v>14</v>
      </c>
      <c r="S7" s="701">
        <f t="shared" ref="S7:S15" si="0">F7</f>
        <v>100</v>
      </c>
      <c r="T7" s="700" t="s">
        <v>14</v>
      </c>
      <c r="U7" s="701">
        <f t="shared" ref="U7:U15" si="1">H7</f>
        <v>100</v>
      </c>
      <c r="V7" s="700" t="s">
        <v>14</v>
      </c>
      <c r="W7" s="701">
        <f t="shared" ref="W7:W15" si="2">J7</f>
        <v>100</v>
      </c>
      <c r="X7" s="702"/>
      <c r="Y7" s="3713" t="s">
        <v>1680</v>
      </c>
      <c r="Z7" s="3714"/>
      <c r="AA7" s="703">
        <f>D7/F7</f>
        <v>1</v>
      </c>
      <c r="AB7" s="703">
        <f>D7/H7</f>
        <v>1</v>
      </c>
      <c r="AC7" s="703">
        <f>D7/J7</f>
        <v>1</v>
      </c>
    </row>
    <row r="8" spans="1:29" s="108" customFormat="1" ht="15.75" thickBot="1">
      <c r="A8" s="362" t="s">
        <v>1681</v>
      </c>
      <c r="B8" s="363"/>
      <c r="C8" s="368" t="s">
        <v>3452</v>
      </c>
      <c r="D8" s="365">
        <v>100</v>
      </c>
      <c r="E8" s="368" t="s">
        <v>3476</v>
      </c>
      <c r="F8" s="367">
        <f>SUMIF(61:61,E8,62:62)-SUMIF(61:61,C8,62:62)+100</f>
        <v>105</v>
      </c>
      <c r="G8" s="368" t="s">
        <v>3476</v>
      </c>
      <c r="H8" s="365">
        <f>SUMIF(61:61,G8,62:62)-SUMIF(61:61,C8,62:62)+100</f>
        <v>105</v>
      </c>
      <c r="I8" s="368" t="s">
        <v>3476</v>
      </c>
      <c r="J8" s="365">
        <f>SUMIF(61:61,I8,62:62)-SUMIF(61:61,C8,62:62)+100</f>
        <v>105</v>
      </c>
      <c r="K8" s="560"/>
      <c r="L8" s="2716"/>
      <c r="M8" s="2717"/>
      <c r="N8" s="2717"/>
      <c r="O8" s="2717"/>
      <c r="P8" s="3713" t="s">
        <v>1683</v>
      </c>
      <c r="Q8" s="3714"/>
      <c r="R8" s="700" t="s">
        <v>14</v>
      </c>
      <c r="S8" s="701">
        <f t="shared" si="0"/>
        <v>105</v>
      </c>
      <c r="T8" s="700" t="s">
        <v>14</v>
      </c>
      <c r="U8" s="701">
        <f t="shared" si="1"/>
        <v>105</v>
      </c>
      <c r="V8" s="700" t="s">
        <v>14</v>
      </c>
      <c r="W8" s="701">
        <f t="shared" si="2"/>
        <v>105</v>
      </c>
      <c r="X8" s="702"/>
      <c r="Y8" s="3713" t="s">
        <v>1683</v>
      </c>
      <c r="Z8" s="3714"/>
      <c r="AA8" s="703">
        <f t="shared" ref="AA8:AA46" si="3">D8/F8</f>
        <v>0.95238095238095233</v>
      </c>
      <c r="AB8" s="703">
        <f t="shared" ref="AB8:AB46" si="4">D8/H8</f>
        <v>0.95238095238095233</v>
      </c>
      <c r="AC8" s="703">
        <f t="shared" ref="AC8:AC46" si="5">D8/J8</f>
        <v>0.95238095238095233</v>
      </c>
    </row>
    <row r="9" spans="1:29" s="108" customFormat="1">
      <c r="A9" s="369" t="s">
        <v>1684</v>
      </c>
      <c r="B9" s="63" t="s">
        <v>1685</v>
      </c>
      <c r="C9" s="3837" t="s">
        <v>3451</v>
      </c>
      <c r="D9" s="126">
        <v>100</v>
      </c>
      <c r="E9" s="371" t="s">
        <v>673</v>
      </c>
      <c r="F9" s="372">
        <f>SUMIF(63:63,E9,64:64)-SUMIF(63:63,C9,64:64)+100</f>
        <v>100</v>
      </c>
      <c r="G9" s="371" t="s">
        <v>673</v>
      </c>
      <c r="H9" s="126">
        <f>SUMIF(63:63,G9,64:64)-SUMIF(63:63,C9,64:64)+100</f>
        <v>100</v>
      </c>
      <c r="I9" s="371" t="s">
        <v>673</v>
      </c>
      <c r="J9" s="126">
        <f>SUMIF(63:63,I9,64:64)-SUMIF(63:63,C9,64:64)+100</f>
        <v>100</v>
      </c>
      <c r="K9" s="560"/>
      <c r="L9" s="2716"/>
      <c r="M9" s="2717"/>
      <c r="N9" s="2717"/>
      <c r="O9" s="2717"/>
      <c r="P9" s="3727" t="s">
        <v>1686</v>
      </c>
      <c r="Q9" s="3472" t="str">
        <f t="shared" ref="Q9:Q15" si="6">B9</f>
        <v>用途</v>
      </c>
      <c r="R9" s="700" t="s">
        <v>14</v>
      </c>
      <c r="S9" s="701">
        <f t="shared" si="0"/>
        <v>100</v>
      </c>
      <c r="T9" s="700" t="s">
        <v>14</v>
      </c>
      <c r="U9" s="701">
        <f t="shared" si="1"/>
        <v>100</v>
      </c>
      <c r="V9" s="700" t="s">
        <v>14</v>
      </c>
      <c r="W9" s="701">
        <f t="shared" si="2"/>
        <v>100</v>
      </c>
      <c r="X9" s="702"/>
      <c r="Y9" s="3657" t="s">
        <v>1687</v>
      </c>
      <c r="Z9" s="3470" t="str">
        <f t="shared" ref="Z9:Z15" si="7">Q9</f>
        <v>用途</v>
      </c>
      <c r="AA9" s="703">
        <f t="shared" si="3"/>
        <v>1</v>
      </c>
      <c r="AB9" s="703">
        <f t="shared" si="4"/>
        <v>1</v>
      </c>
      <c r="AC9" s="703">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727"/>
      <c r="Q10" s="3472" t="str">
        <f t="shared" si="6"/>
        <v>土地使用年限（年）</v>
      </c>
      <c r="R10" s="700" t="s">
        <v>14</v>
      </c>
      <c r="S10" s="701">
        <f t="shared" si="0"/>
        <v>100</v>
      </c>
      <c r="T10" s="700" t="s">
        <v>14</v>
      </c>
      <c r="U10" s="701">
        <f t="shared" si="1"/>
        <v>100</v>
      </c>
      <c r="V10" s="700" t="s">
        <v>14</v>
      </c>
      <c r="W10" s="701">
        <f t="shared" si="2"/>
        <v>100</v>
      </c>
      <c r="X10" s="702"/>
      <c r="Y10" s="3657"/>
      <c r="Z10" s="3470" t="str">
        <f t="shared" si="7"/>
        <v>土地使用年限（年）</v>
      </c>
      <c r="AA10" s="703">
        <f t="shared" si="3"/>
        <v>1</v>
      </c>
      <c r="AB10" s="703">
        <f t="shared" si="4"/>
        <v>1</v>
      </c>
      <c r="AC10" s="703">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20"/>
      <c r="M11" s="2715"/>
      <c r="N11" s="2715"/>
      <c r="O11" s="2715"/>
      <c r="P11" s="3727"/>
      <c r="Q11" s="3472" t="str">
        <f t="shared" si="6"/>
        <v>容积率</v>
      </c>
      <c r="R11" s="700" t="s">
        <v>14</v>
      </c>
      <c r="S11" s="701">
        <f t="shared" si="0"/>
        <v>100</v>
      </c>
      <c r="T11" s="700" t="s">
        <v>14</v>
      </c>
      <c r="U11" s="701">
        <f t="shared" si="1"/>
        <v>100</v>
      </c>
      <c r="V11" s="700" t="s">
        <v>14</v>
      </c>
      <c r="W11" s="701">
        <f t="shared" si="2"/>
        <v>100</v>
      </c>
      <c r="X11" s="702"/>
      <c r="Y11" s="3657"/>
      <c r="Z11" s="3470" t="str">
        <f t="shared" si="7"/>
        <v>容积率</v>
      </c>
      <c r="AA11" s="703">
        <f t="shared" si="3"/>
        <v>1</v>
      </c>
      <c r="AB11" s="703">
        <f t="shared" si="4"/>
        <v>1</v>
      </c>
      <c r="AC11" s="703">
        <f t="shared" si="5"/>
        <v>1</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727"/>
      <c r="Q12" s="3472">
        <f t="shared" si="6"/>
        <v>111</v>
      </c>
      <c r="R12" s="700" t="s">
        <v>14</v>
      </c>
      <c r="S12" s="701">
        <f t="shared" si="0"/>
        <v>100</v>
      </c>
      <c r="T12" s="700" t="s">
        <v>14</v>
      </c>
      <c r="U12" s="701">
        <f t="shared" si="1"/>
        <v>100</v>
      </c>
      <c r="V12" s="700" t="s">
        <v>14</v>
      </c>
      <c r="W12" s="701">
        <f t="shared" si="2"/>
        <v>100</v>
      </c>
      <c r="X12" s="702"/>
      <c r="Y12" s="3657"/>
      <c r="Z12" s="3470">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727"/>
      <c r="Q13" s="3472">
        <f t="shared" si="6"/>
        <v>111</v>
      </c>
      <c r="R13" s="700" t="s">
        <v>14</v>
      </c>
      <c r="S13" s="701">
        <f t="shared" si="0"/>
        <v>100</v>
      </c>
      <c r="T13" s="700" t="s">
        <v>14</v>
      </c>
      <c r="U13" s="701">
        <f t="shared" si="1"/>
        <v>100</v>
      </c>
      <c r="V13" s="700" t="s">
        <v>14</v>
      </c>
      <c r="W13" s="701">
        <f t="shared" si="2"/>
        <v>100</v>
      </c>
      <c r="X13" s="702"/>
      <c r="Y13" s="3657"/>
      <c r="Z13" s="3470">
        <f t="shared" si="7"/>
        <v>111</v>
      </c>
      <c r="AA13" s="703">
        <f t="shared" si="3"/>
        <v>1</v>
      </c>
      <c r="AB13" s="703">
        <f t="shared" si="4"/>
        <v>1</v>
      </c>
      <c r="AC13" s="703">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727"/>
      <c r="Q14" s="3472">
        <f t="shared" si="6"/>
        <v>111</v>
      </c>
      <c r="R14" s="700" t="s">
        <v>14</v>
      </c>
      <c r="S14" s="701">
        <f t="shared" si="0"/>
        <v>100</v>
      </c>
      <c r="T14" s="700" t="s">
        <v>14</v>
      </c>
      <c r="U14" s="701">
        <f t="shared" si="1"/>
        <v>100</v>
      </c>
      <c r="V14" s="700" t="s">
        <v>14</v>
      </c>
      <c r="W14" s="701">
        <f t="shared" si="2"/>
        <v>100</v>
      </c>
      <c r="X14" s="702"/>
      <c r="Y14" s="3657"/>
      <c r="Z14" s="3470">
        <f t="shared" si="7"/>
        <v>111</v>
      </c>
      <c r="AA14" s="703">
        <f t="shared" si="3"/>
        <v>1</v>
      </c>
      <c r="AB14" s="703">
        <f t="shared" si="4"/>
        <v>1</v>
      </c>
      <c r="AC14" s="703">
        <f t="shared" si="5"/>
        <v>1</v>
      </c>
    </row>
    <row r="15" spans="1:29" ht="71.25">
      <c r="A15" s="391" t="s">
        <v>1690</v>
      </c>
      <c r="B15" s="61" t="s">
        <v>1777</v>
      </c>
      <c r="C15" s="1895" t="str">
        <f>估价对象房地状况!C4</f>
        <v>估价对象位于XX商圈，周边商业氛围成熟，人流量大，商业繁华度好</v>
      </c>
      <c r="D15" s="392">
        <v>100</v>
      </c>
      <c r="E15" s="393"/>
      <c r="F15" s="394">
        <f>SUMIF(76:76,E16,77:77)-SUMIF(76:76,C16,77:77)+100</f>
        <v>105</v>
      </c>
      <c r="G15" s="395"/>
      <c r="H15" s="392">
        <f>SUMIF(76:76,G16,77:77)-SUMIF(76:76,C16,77:77)+100</f>
        <v>105</v>
      </c>
      <c r="I15" s="393"/>
      <c r="J15" s="392">
        <f>SUMIF(76:76,I16,77:77)-SUMIF(76:76,C16,77:77)+100</f>
        <v>100</v>
      </c>
      <c r="K15" s="563">
        <v>5</v>
      </c>
      <c r="L15" s="2721"/>
      <c r="M15" s="2715"/>
      <c r="N15" s="2715"/>
      <c r="O15" s="2715"/>
      <c r="P15" s="3754" t="s">
        <v>1691</v>
      </c>
      <c r="Q15" s="3492" t="str">
        <f t="shared" si="6"/>
        <v>商业繁华度</v>
      </c>
      <c r="R15" s="704" t="s">
        <v>14</v>
      </c>
      <c r="S15" s="705">
        <f t="shared" si="0"/>
        <v>105</v>
      </c>
      <c r="T15" s="704" t="s">
        <v>14</v>
      </c>
      <c r="U15" s="705">
        <f t="shared" si="1"/>
        <v>105</v>
      </c>
      <c r="V15" s="704" t="s">
        <v>14</v>
      </c>
      <c r="W15" s="705">
        <f t="shared" si="2"/>
        <v>100</v>
      </c>
      <c r="X15" s="3494"/>
      <c r="Y15" s="3747" t="s">
        <v>1691</v>
      </c>
      <c r="Z15" s="3495" t="str">
        <f t="shared" si="7"/>
        <v>商业繁华度</v>
      </c>
      <c r="AA15" s="3493">
        <f t="shared" si="3"/>
        <v>0.95238095238095233</v>
      </c>
      <c r="AB15" s="3493">
        <f t="shared" si="4"/>
        <v>0.95238095238095233</v>
      </c>
      <c r="AC15" s="3493">
        <f t="shared" si="5"/>
        <v>1</v>
      </c>
    </row>
    <row r="16" spans="1:29" ht="15">
      <c r="A16" s="379"/>
      <c r="B16" s="397"/>
      <c r="C16" s="398" t="s">
        <v>3433</v>
      </c>
      <c r="D16" s="399"/>
      <c r="E16" s="398" t="s">
        <v>3432</v>
      </c>
      <c r="F16" s="400"/>
      <c r="G16" s="398" t="s">
        <v>3432</v>
      </c>
      <c r="H16" s="401"/>
      <c r="I16" s="398" t="s">
        <v>3433</v>
      </c>
      <c r="J16" s="399"/>
      <c r="K16" s="564"/>
      <c r="L16" s="2721"/>
      <c r="M16" s="2715"/>
      <c r="N16" s="2715"/>
      <c r="O16" s="2715"/>
      <c r="P16" s="3755"/>
      <c r="Q16" s="3492"/>
      <c r="R16" s="704"/>
      <c r="S16" s="705"/>
      <c r="T16" s="704"/>
      <c r="U16" s="705"/>
      <c r="V16" s="704"/>
      <c r="W16" s="705"/>
      <c r="X16" s="3494"/>
      <c r="Y16" s="3748"/>
      <c r="Z16" s="3495"/>
      <c r="AA16" s="3493">
        <v>1</v>
      </c>
      <c r="AB16" s="3493">
        <v>1</v>
      </c>
      <c r="AC16" s="3493">
        <v>1</v>
      </c>
    </row>
    <row r="17" spans="1:29" ht="85.5">
      <c r="A17" s="379"/>
      <c r="B17" s="402" t="s">
        <v>1259</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1"/>
      <c r="M17" s="2715"/>
      <c r="N17" s="2715"/>
      <c r="O17" s="2715"/>
      <c r="P17" s="3755"/>
      <c r="Q17" s="3492" t="str">
        <f>B17</f>
        <v>交通便捷度</v>
      </c>
      <c r="R17" s="704" t="s">
        <v>14</v>
      </c>
      <c r="S17" s="705">
        <f>F17</f>
        <v>100</v>
      </c>
      <c r="T17" s="704" t="s">
        <v>14</v>
      </c>
      <c r="U17" s="705">
        <f>H17</f>
        <v>100</v>
      </c>
      <c r="V17" s="704" t="s">
        <v>14</v>
      </c>
      <c r="W17" s="705">
        <f>J17</f>
        <v>100</v>
      </c>
      <c r="X17" s="3494"/>
      <c r="Y17" s="3748"/>
      <c r="Z17" s="3495" t="str">
        <f>Q17</f>
        <v>交通便捷度</v>
      </c>
      <c r="AA17" s="3493">
        <f t="shared" si="3"/>
        <v>1</v>
      </c>
      <c r="AB17" s="3493">
        <f t="shared" si="4"/>
        <v>1</v>
      </c>
      <c r="AC17" s="3493">
        <f t="shared" si="5"/>
        <v>1</v>
      </c>
    </row>
    <row r="18" spans="1:29" ht="15">
      <c r="A18" s="379"/>
      <c r="B18" s="407"/>
      <c r="C18" s="1900" t="s">
        <v>3433</v>
      </c>
      <c r="D18" s="401"/>
      <c r="E18" s="398" t="s">
        <v>3433</v>
      </c>
      <c r="F18" s="404"/>
      <c r="G18" s="398" t="s">
        <v>3433</v>
      </c>
      <c r="H18" s="399"/>
      <c r="I18" s="398" t="s">
        <v>3433</v>
      </c>
      <c r="J18" s="399"/>
      <c r="K18" s="564"/>
      <c r="L18" s="2721"/>
      <c r="M18" s="2715"/>
      <c r="N18" s="2715"/>
      <c r="O18" s="2715"/>
      <c r="P18" s="3755"/>
      <c r="Q18" s="3492"/>
      <c r="R18" s="704"/>
      <c r="S18" s="705"/>
      <c r="T18" s="704"/>
      <c r="U18" s="705"/>
      <c r="V18" s="704"/>
      <c r="W18" s="705"/>
      <c r="X18" s="3494"/>
      <c r="Y18" s="3748"/>
      <c r="Z18" s="3495"/>
      <c r="AA18" s="3493">
        <v>1</v>
      </c>
      <c r="AB18" s="3493">
        <v>1</v>
      </c>
      <c r="AC18" s="3493">
        <v>1</v>
      </c>
    </row>
    <row r="19" spans="1:29" ht="42.75">
      <c r="A19" s="379"/>
      <c r="B19" s="402" t="s">
        <v>1778</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1"/>
      <c r="M19" s="2715"/>
      <c r="N19" s="2715"/>
      <c r="O19" s="2715"/>
      <c r="P19" s="3755"/>
      <c r="Q19" s="3492" t="str">
        <f>B19</f>
        <v>公共配套设施</v>
      </c>
      <c r="R19" s="704" t="s">
        <v>14</v>
      </c>
      <c r="S19" s="705">
        <f>F19</f>
        <v>100</v>
      </c>
      <c r="T19" s="704" t="s">
        <v>14</v>
      </c>
      <c r="U19" s="705">
        <f>H19</f>
        <v>100</v>
      </c>
      <c r="V19" s="704" t="s">
        <v>14</v>
      </c>
      <c r="W19" s="705">
        <f>J19</f>
        <v>100</v>
      </c>
      <c r="X19" s="3494"/>
      <c r="Y19" s="3748"/>
      <c r="Z19" s="3495" t="str">
        <f>Q19</f>
        <v>公共配套设施</v>
      </c>
      <c r="AA19" s="3493">
        <f t="shared" si="3"/>
        <v>1</v>
      </c>
      <c r="AB19" s="3493">
        <f t="shared" si="4"/>
        <v>1</v>
      </c>
      <c r="AC19" s="3493">
        <f t="shared" si="5"/>
        <v>1</v>
      </c>
    </row>
    <row r="20" spans="1:29" ht="15">
      <c r="A20" s="379"/>
      <c r="B20" s="407"/>
      <c r="C20" s="398" t="s">
        <v>3432</v>
      </c>
      <c r="D20" s="399"/>
      <c r="E20" s="398" t="s">
        <v>3432</v>
      </c>
      <c r="F20" s="400"/>
      <c r="G20" s="398" t="s">
        <v>3432</v>
      </c>
      <c r="H20" s="399"/>
      <c r="I20" s="398" t="s">
        <v>3432</v>
      </c>
      <c r="J20" s="399"/>
      <c r="K20" s="564"/>
      <c r="L20" s="2721"/>
      <c r="M20" s="2715"/>
      <c r="N20" s="2715"/>
      <c r="O20" s="2715"/>
      <c r="P20" s="3755"/>
      <c r="Q20" s="3492"/>
      <c r="R20" s="704"/>
      <c r="S20" s="705"/>
      <c r="T20" s="704"/>
      <c r="U20" s="705"/>
      <c r="V20" s="704"/>
      <c r="W20" s="705"/>
      <c r="X20" s="3494"/>
      <c r="Y20" s="3748"/>
      <c r="Z20" s="3495"/>
      <c r="AA20" s="3493">
        <v>1</v>
      </c>
      <c r="AB20" s="3493">
        <v>1</v>
      </c>
      <c r="AC20" s="3493">
        <v>1</v>
      </c>
    </row>
    <row r="21" spans="1:29" ht="28.5">
      <c r="A21" s="379"/>
      <c r="B21" s="1130" t="s">
        <v>1779</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1"/>
      <c r="M21" s="2715"/>
      <c r="N21" s="2715"/>
      <c r="O21" s="2715"/>
      <c r="P21" s="3755"/>
      <c r="Q21" s="3492" t="str">
        <f>B21</f>
        <v>基础设施水平</v>
      </c>
      <c r="R21" s="704" t="s">
        <v>14</v>
      </c>
      <c r="S21" s="705">
        <f>F21</f>
        <v>100</v>
      </c>
      <c r="T21" s="704" t="s">
        <v>14</v>
      </c>
      <c r="U21" s="705">
        <f>H21</f>
        <v>100</v>
      </c>
      <c r="V21" s="704" t="s">
        <v>14</v>
      </c>
      <c r="W21" s="705">
        <f>J21</f>
        <v>100</v>
      </c>
      <c r="X21" s="3494"/>
      <c r="Y21" s="3748"/>
      <c r="Z21" s="3495" t="str">
        <f>Q21</f>
        <v>基础设施水平</v>
      </c>
      <c r="AA21" s="3493">
        <f t="shared" ref="AA21" si="8">D21/F21</f>
        <v>1</v>
      </c>
      <c r="AB21" s="3493">
        <f t="shared" ref="AB21" si="9">D21/H21</f>
        <v>1</v>
      </c>
      <c r="AC21" s="3493">
        <f t="shared" ref="AC21" si="10">D21/J21</f>
        <v>1</v>
      </c>
    </row>
    <row r="22" spans="1:29" ht="15">
      <c r="A22" s="379"/>
      <c r="B22" s="1130"/>
      <c r="C22" s="1900" t="s">
        <v>3478</v>
      </c>
      <c r="D22" s="399"/>
      <c r="E22" s="398" t="s">
        <v>3478</v>
      </c>
      <c r="F22" s="400"/>
      <c r="G22" s="398" t="s">
        <v>3478</v>
      </c>
      <c r="H22" s="399"/>
      <c r="I22" s="398" t="s">
        <v>3478</v>
      </c>
      <c r="J22" s="399"/>
      <c r="K22" s="1129"/>
      <c r="L22" s="2721"/>
      <c r="M22" s="2715"/>
      <c r="N22" s="2715"/>
      <c r="O22" s="2715"/>
      <c r="P22" s="3755"/>
      <c r="Q22" s="3492"/>
      <c r="R22" s="704"/>
      <c r="S22" s="705"/>
      <c r="T22" s="704"/>
      <c r="U22" s="705"/>
      <c r="V22" s="704"/>
      <c r="W22" s="705"/>
      <c r="X22" s="3494"/>
      <c r="Y22" s="3748"/>
      <c r="Z22" s="3495"/>
      <c r="AA22" s="3493">
        <v>1</v>
      </c>
      <c r="AB22" s="3493">
        <v>1</v>
      </c>
      <c r="AC22" s="3493">
        <v>1</v>
      </c>
    </row>
    <row r="23" spans="1:29" ht="57">
      <c r="A23" s="379"/>
      <c r="B23" s="402" t="s">
        <v>1261</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1"/>
      <c r="M23" s="2715"/>
      <c r="N23" s="2715"/>
      <c r="O23" s="2715"/>
      <c r="P23" s="3755"/>
      <c r="Q23" s="3492" t="str">
        <f>B23</f>
        <v>自然及人文环境</v>
      </c>
      <c r="R23" s="704" t="s">
        <v>14</v>
      </c>
      <c r="S23" s="705">
        <f>F23</f>
        <v>100</v>
      </c>
      <c r="T23" s="704" t="s">
        <v>14</v>
      </c>
      <c r="U23" s="705">
        <f>H23</f>
        <v>100</v>
      </c>
      <c r="V23" s="704" t="s">
        <v>14</v>
      </c>
      <c r="W23" s="705">
        <f>J23</f>
        <v>100</v>
      </c>
      <c r="X23" s="3494"/>
      <c r="Y23" s="3748"/>
      <c r="Z23" s="3495" t="str">
        <f>Q23</f>
        <v>自然及人文环境</v>
      </c>
      <c r="AA23" s="3493">
        <f t="shared" si="3"/>
        <v>1</v>
      </c>
      <c r="AB23" s="3493">
        <f t="shared" si="4"/>
        <v>1</v>
      </c>
      <c r="AC23" s="3493">
        <f t="shared" si="5"/>
        <v>1</v>
      </c>
    </row>
    <row r="24" spans="1:29" ht="15">
      <c r="A24" s="379"/>
      <c r="B24" s="407"/>
      <c r="C24" s="398" t="s">
        <v>3432</v>
      </c>
      <c r="D24" s="399"/>
      <c r="E24" s="398" t="s">
        <v>3432</v>
      </c>
      <c r="F24" s="400"/>
      <c r="G24" s="398" t="s">
        <v>3432</v>
      </c>
      <c r="H24" s="399"/>
      <c r="I24" s="398" t="s">
        <v>3432</v>
      </c>
      <c r="J24" s="399"/>
      <c r="K24" s="564"/>
      <c r="L24" s="2721"/>
      <c r="M24" s="2715"/>
      <c r="N24" s="2715"/>
      <c r="O24" s="2715"/>
      <c r="P24" s="3755"/>
      <c r="Q24" s="3492"/>
      <c r="R24" s="704"/>
      <c r="S24" s="705"/>
      <c r="T24" s="704"/>
      <c r="U24" s="705"/>
      <c r="V24" s="704"/>
      <c r="W24" s="705"/>
      <c r="X24" s="3494"/>
      <c r="Y24" s="3748"/>
      <c r="Z24" s="3495"/>
      <c r="AA24" s="3493">
        <v>1</v>
      </c>
      <c r="AB24" s="3493">
        <v>1</v>
      </c>
      <c r="AC24" s="3493">
        <v>1</v>
      </c>
    </row>
    <row r="25" spans="1:29" ht="15">
      <c r="A25" s="379"/>
      <c r="B25" s="375" t="s">
        <v>1780</v>
      </c>
      <c r="C25" s="565" t="s">
        <v>3453</v>
      </c>
      <c r="D25" s="386">
        <v>100</v>
      </c>
      <c r="E25" s="565" t="s">
        <v>3453</v>
      </c>
      <c r="F25" s="412">
        <f>SUMIF(86:86,E25,87:87)-SUMIF(86:86,C25,87:87)+100</f>
        <v>100</v>
      </c>
      <c r="G25" s="565" t="s">
        <v>3453</v>
      </c>
      <c r="H25" s="386">
        <f>SUMIF(86:86,G25,87:87)-SUMIF(86:86,C25,87:87)+100</f>
        <v>100</v>
      </c>
      <c r="I25" s="565" t="s">
        <v>3453</v>
      </c>
      <c r="J25" s="386">
        <f>SUMIF(86:86,I25,87:87)-SUMIF(86:86,C25,87:87)+100</f>
        <v>100</v>
      </c>
      <c r="K25" s="561"/>
      <c r="L25" s="2721"/>
      <c r="M25" s="2715"/>
      <c r="N25" s="2715"/>
      <c r="O25" s="2715"/>
      <c r="P25" s="3755"/>
      <c r="Q25" s="3492" t="str">
        <f t="shared" ref="Q25:Q46" si="11">B25</f>
        <v>临街状况</v>
      </c>
      <c r="R25" s="704" t="s">
        <v>14</v>
      </c>
      <c r="S25" s="705">
        <f>F25</f>
        <v>100</v>
      </c>
      <c r="T25" s="704" t="s">
        <v>14</v>
      </c>
      <c r="U25" s="705">
        <f>H25</f>
        <v>100</v>
      </c>
      <c r="V25" s="704" t="s">
        <v>14</v>
      </c>
      <c r="W25" s="705">
        <f>J25</f>
        <v>100</v>
      </c>
      <c r="X25" s="3494"/>
      <c r="Y25" s="3748"/>
      <c r="Z25" s="3495" t="str">
        <f>Q25</f>
        <v>临街状况</v>
      </c>
      <c r="AA25" s="3493">
        <f t="shared" si="3"/>
        <v>1</v>
      </c>
      <c r="AB25" s="3493">
        <f t="shared" si="4"/>
        <v>1</v>
      </c>
      <c r="AC25" s="3493">
        <f t="shared" si="5"/>
        <v>1</v>
      </c>
    </row>
    <row r="26" spans="1:29" ht="15">
      <c r="A26" s="379"/>
      <c r="B26" s="1132" t="s">
        <v>1781</v>
      </c>
      <c r="C26" s="385" t="s">
        <v>3432</v>
      </c>
      <c r="D26" s="386">
        <v>100</v>
      </c>
      <c r="E26" s="385" t="s">
        <v>3432</v>
      </c>
      <c r="F26" s="412">
        <f>SUMIF(88:88,E26,89:89)-SUMIF(88:88,C26,89:89)+100</f>
        <v>100</v>
      </c>
      <c r="G26" s="385" t="s">
        <v>3432</v>
      </c>
      <c r="H26" s="386">
        <f>SUMIF(88:88,G26,89:89)-SUMIF(88:88,C26,89:89)+100</f>
        <v>100</v>
      </c>
      <c r="I26" s="385" t="s">
        <v>3432</v>
      </c>
      <c r="J26" s="386">
        <f>SUMIF(88:88,I26,89:89)-SUMIF(88:88,C26,89:89)+100</f>
        <v>100</v>
      </c>
      <c r="K26" s="562"/>
      <c r="L26" s="2721"/>
      <c r="M26" s="2715"/>
      <c r="N26" s="2715"/>
      <c r="O26" s="2715"/>
      <c r="P26" s="3755"/>
      <c r="Q26" s="3492" t="str">
        <f t="shared" si="11"/>
        <v>平面位置/可视性</v>
      </c>
      <c r="R26" s="704" t="s">
        <v>14</v>
      </c>
      <c r="S26" s="705">
        <f>F26</f>
        <v>100</v>
      </c>
      <c r="T26" s="704" t="s">
        <v>14</v>
      </c>
      <c r="U26" s="705">
        <f>H26</f>
        <v>100</v>
      </c>
      <c r="V26" s="704" t="s">
        <v>14</v>
      </c>
      <c r="W26" s="705">
        <f>J26</f>
        <v>100</v>
      </c>
      <c r="X26" s="3494"/>
      <c r="Y26" s="3748"/>
      <c r="Z26" s="3495" t="str">
        <f>Q26</f>
        <v>平面位置/可视性</v>
      </c>
      <c r="AA26" s="3493">
        <f t="shared" si="3"/>
        <v>1</v>
      </c>
      <c r="AB26" s="3493">
        <f t="shared" si="4"/>
        <v>1</v>
      </c>
      <c r="AC26" s="3493">
        <f t="shared" si="5"/>
        <v>1</v>
      </c>
    </row>
    <row r="27" spans="1:29" s="108" customFormat="1" ht="15">
      <c r="A27" s="382"/>
      <c r="B27" s="402" t="s">
        <v>1782</v>
      </c>
      <c r="C27" s="1955" t="s">
        <v>3433</v>
      </c>
      <c r="D27" s="413">
        <v>100</v>
      </c>
      <c r="E27" s="1955" t="s">
        <v>3432</v>
      </c>
      <c r="F27" s="415">
        <f>SUMIF(90:90,E27,91:91)-SUMIF(90:90,C27,91:91)+100</f>
        <v>100</v>
      </c>
      <c r="G27" s="1955" t="s">
        <v>3432</v>
      </c>
      <c r="H27" s="413">
        <f>SUMIF(90:90,G27,91:91)-SUMIF(90:90,C27,91:91)+100</f>
        <v>100</v>
      </c>
      <c r="I27" s="1955" t="s">
        <v>3432</v>
      </c>
      <c r="J27" s="413">
        <f>SUMIF(90:90,I27,91:91)-SUMIF(90:90,C27,91:91)+100</f>
        <v>100</v>
      </c>
      <c r="K27" s="561"/>
      <c r="L27" s="2716"/>
      <c r="M27" s="2717"/>
      <c r="N27" s="2717"/>
      <c r="O27" s="2717"/>
      <c r="P27" s="3755"/>
      <c r="Q27" s="3472" t="str">
        <f t="shared" si="11"/>
        <v>人流量</v>
      </c>
      <c r="R27" s="700" t="s">
        <v>14</v>
      </c>
      <c r="S27" s="701">
        <f>F27</f>
        <v>100</v>
      </c>
      <c r="T27" s="700" t="s">
        <v>14</v>
      </c>
      <c r="U27" s="701">
        <f>H27</f>
        <v>100</v>
      </c>
      <c r="V27" s="700" t="s">
        <v>14</v>
      </c>
      <c r="W27" s="701">
        <f>J27</f>
        <v>100</v>
      </c>
      <c r="X27" s="702"/>
      <c r="Y27" s="3748"/>
      <c r="Z27" s="3470" t="str">
        <f>Q27</f>
        <v>人流量</v>
      </c>
      <c r="AA27" s="3493">
        <f>D27/F27</f>
        <v>1</v>
      </c>
      <c r="AB27" s="3493">
        <f>D27/H27</f>
        <v>1</v>
      </c>
      <c r="AC27" s="3493">
        <f>D27/J27</f>
        <v>1</v>
      </c>
    </row>
    <row r="28" spans="1:29" ht="15">
      <c r="A28" s="379"/>
      <c r="B28" s="375" t="s">
        <v>1783</v>
      </c>
      <c r="C28" s="565" t="s">
        <v>3479</v>
      </c>
      <c r="D28" s="386">
        <v>100</v>
      </c>
      <c r="E28" s="565" t="s">
        <v>3479</v>
      </c>
      <c r="F28" s="412">
        <f>SUMIF(92:92,E28,93:93)-SUMIF(92:92,C28,93:93)+100</f>
        <v>100</v>
      </c>
      <c r="G28" s="565" t="s">
        <v>3479</v>
      </c>
      <c r="H28" s="386">
        <f>SUMIF(92:92,G28,93:93)-SUMIF(92:92,C28,93:93)+100</f>
        <v>100</v>
      </c>
      <c r="I28" s="565" t="s">
        <v>3479</v>
      </c>
      <c r="J28" s="386">
        <f>SUMIF(92:92,I28,93:93)-SUMIF(92:92,C28,93:93)+100</f>
        <v>100</v>
      </c>
      <c r="K28" s="562"/>
      <c r="L28" s="2721"/>
      <c r="M28" s="2715"/>
      <c r="N28" s="2715"/>
      <c r="O28" s="2715"/>
      <c r="P28" s="3755"/>
      <c r="Q28" s="3492" t="str">
        <f t="shared" si="11"/>
        <v>楼层</v>
      </c>
      <c r="R28" s="704" t="s">
        <v>14</v>
      </c>
      <c r="S28" s="705">
        <f t="shared" ref="S28:S46" si="12">F28</f>
        <v>100</v>
      </c>
      <c r="T28" s="704" t="s">
        <v>14</v>
      </c>
      <c r="U28" s="705">
        <f t="shared" ref="U28:U46" si="13">H28</f>
        <v>100</v>
      </c>
      <c r="V28" s="704" t="s">
        <v>14</v>
      </c>
      <c r="W28" s="705">
        <f t="shared" ref="W28:W46" si="14">J28</f>
        <v>100</v>
      </c>
      <c r="X28" s="3494"/>
      <c r="Y28" s="3748"/>
      <c r="Z28" s="3495" t="str">
        <f t="shared" ref="Z28:Z46" si="15">Q28</f>
        <v>楼层</v>
      </c>
      <c r="AA28" s="3493">
        <f t="shared" si="3"/>
        <v>1</v>
      </c>
      <c r="AB28" s="3493">
        <f t="shared" si="4"/>
        <v>1</v>
      </c>
      <c r="AC28" s="3493">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755"/>
      <c r="Q29" s="3492">
        <f t="shared" si="11"/>
        <v>111</v>
      </c>
      <c r="R29" s="704" t="s">
        <v>14</v>
      </c>
      <c r="S29" s="705">
        <f t="shared" si="12"/>
        <v>100</v>
      </c>
      <c r="T29" s="704" t="s">
        <v>14</v>
      </c>
      <c r="U29" s="705">
        <f t="shared" si="13"/>
        <v>100</v>
      </c>
      <c r="V29" s="704" t="s">
        <v>14</v>
      </c>
      <c r="W29" s="705">
        <f t="shared" si="14"/>
        <v>100</v>
      </c>
      <c r="X29" s="3494"/>
      <c r="Y29" s="3748"/>
      <c r="Z29" s="3495">
        <f t="shared" si="15"/>
        <v>111</v>
      </c>
      <c r="AA29" s="3493">
        <f t="shared" si="3"/>
        <v>1</v>
      </c>
      <c r="AB29" s="3493">
        <f t="shared" si="4"/>
        <v>1</v>
      </c>
      <c r="AC29" s="3493">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755"/>
      <c r="Q30" s="3492">
        <f t="shared" si="11"/>
        <v>111</v>
      </c>
      <c r="R30" s="704" t="s">
        <v>14</v>
      </c>
      <c r="S30" s="705">
        <f t="shared" si="12"/>
        <v>100</v>
      </c>
      <c r="T30" s="704" t="s">
        <v>14</v>
      </c>
      <c r="U30" s="705">
        <f t="shared" si="13"/>
        <v>100</v>
      </c>
      <c r="V30" s="704" t="s">
        <v>14</v>
      </c>
      <c r="W30" s="705">
        <f t="shared" si="14"/>
        <v>100</v>
      </c>
      <c r="X30" s="3494"/>
      <c r="Y30" s="3748"/>
      <c r="Z30" s="3495">
        <f t="shared" si="15"/>
        <v>111</v>
      </c>
      <c r="AA30" s="3493">
        <f t="shared" si="3"/>
        <v>1</v>
      </c>
      <c r="AB30" s="3493">
        <f t="shared" si="4"/>
        <v>1</v>
      </c>
      <c r="AC30" s="3493">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755"/>
      <c r="Q31" s="3492">
        <f t="shared" si="11"/>
        <v>111</v>
      </c>
      <c r="R31" s="704" t="s">
        <v>14</v>
      </c>
      <c r="S31" s="705">
        <f t="shared" si="12"/>
        <v>100</v>
      </c>
      <c r="T31" s="704" t="s">
        <v>14</v>
      </c>
      <c r="U31" s="705">
        <f t="shared" si="13"/>
        <v>100</v>
      </c>
      <c r="V31" s="704" t="s">
        <v>14</v>
      </c>
      <c r="W31" s="705">
        <f t="shared" si="14"/>
        <v>100</v>
      </c>
      <c r="X31" s="3494"/>
      <c r="Y31" s="3748"/>
      <c r="Z31" s="3495">
        <f t="shared" si="15"/>
        <v>111</v>
      </c>
      <c r="AA31" s="3493">
        <f t="shared" si="3"/>
        <v>1</v>
      </c>
      <c r="AB31" s="3493">
        <f t="shared" si="4"/>
        <v>1</v>
      </c>
      <c r="AC31" s="3493">
        <f t="shared" si="5"/>
        <v>1</v>
      </c>
    </row>
    <row r="32" spans="1:29" ht="15">
      <c r="A32" s="391" t="s">
        <v>1694</v>
      </c>
      <c r="B32" s="63" t="s">
        <v>1784</v>
      </c>
      <c r="C32" s="1909" t="s">
        <v>3474</v>
      </c>
      <c r="D32" s="418">
        <v>100</v>
      </c>
      <c r="E32" s="1909" t="s">
        <v>3474</v>
      </c>
      <c r="F32" s="412">
        <f>SUMIF(100:100,E32,101:101)-SUMIF(100:100,C32,101:101)+100</f>
        <v>100</v>
      </c>
      <c r="G32" s="1909" t="s">
        <v>3474</v>
      </c>
      <c r="H32" s="386">
        <f>SUMIF(100:100,G32,101:101)-SUMIF(100:100,C32,101:101)+100</f>
        <v>100</v>
      </c>
      <c r="I32" s="1909" t="s">
        <v>3474</v>
      </c>
      <c r="J32" s="418">
        <f>SUMIF(100:100,I32,101:101)-SUMIF(100:100,C32,101:101)+100</f>
        <v>100</v>
      </c>
      <c r="K32" s="561">
        <v>2</v>
      </c>
      <c r="L32" s="2721"/>
      <c r="M32" s="2715"/>
      <c r="N32" s="2715"/>
      <c r="O32" s="2715"/>
      <c r="P32" s="3749" t="s">
        <v>1696</v>
      </c>
      <c r="Q32" s="3492" t="str">
        <f t="shared" si="11"/>
        <v>商业类型</v>
      </c>
      <c r="R32" s="704" t="s">
        <v>14</v>
      </c>
      <c r="S32" s="705">
        <f t="shared" si="12"/>
        <v>100</v>
      </c>
      <c r="T32" s="704" t="s">
        <v>14</v>
      </c>
      <c r="U32" s="705">
        <f t="shared" si="13"/>
        <v>100</v>
      </c>
      <c r="V32" s="704" t="s">
        <v>14</v>
      </c>
      <c r="W32" s="705">
        <f t="shared" si="14"/>
        <v>100</v>
      </c>
      <c r="X32" s="3494"/>
      <c r="Y32" s="3752" t="s">
        <v>1696</v>
      </c>
      <c r="Z32" s="3495" t="str">
        <f t="shared" si="15"/>
        <v>商业类型</v>
      </c>
      <c r="AA32" s="3493">
        <f t="shared" si="3"/>
        <v>1</v>
      </c>
      <c r="AB32" s="3493">
        <f t="shared" si="4"/>
        <v>1</v>
      </c>
      <c r="AC32" s="3493">
        <f t="shared" si="5"/>
        <v>1</v>
      </c>
    </row>
    <row r="33" spans="1:29" s="422" customFormat="1" ht="15">
      <c r="A33" s="419"/>
      <c r="B33" s="375" t="s">
        <v>1697</v>
      </c>
      <c r="C33" s="420">
        <f>D3</f>
        <v>121.8</v>
      </c>
      <c r="D33" s="127">
        <v>100</v>
      </c>
      <c r="E33" s="420">
        <v>560</v>
      </c>
      <c r="F33" s="376">
        <f>LOOKUP(E33,103:103,104:104)-LOOKUP(C33,103:103,104:104)+100</f>
        <v>92</v>
      </c>
      <c r="G33" s="420">
        <v>97.31</v>
      </c>
      <c r="H33" s="127">
        <f>LOOKUP(G33,103:103,104:104)-LOOKUP(C33,103:103,104:104)+100</f>
        <v>102</v>
      </c>
      <c r="I33" s="420">
        <v>158.35</v>
      </c>
      <c r="J33" s="127">
        <f>LOOKUP(I33,103:103,104:104)-LOOKUP(C33,103:103,104:104)+100</f>
        <v>100</v>
      </c>
      <c r="K33" s="562"/>
      <c r="L33" s="2720"/>
      <c r="M33" s="2722"/>
      <c r="N33" s="2722"/>
      <c r="O33" s="2722"/>
      <c r="P33" s="3750"/>
      <c r="Q33" s="706" t="str">
        <f t="shared" si="11"/>
        <v>项目建筑规模</v>
      </c>
      <c r="R33" s="707" t="s">
        <v>14</v>
      </c>
      <c r="S33" s="708">
        <f t="shared" si="12"/>
        <v>92</v>
      </c>
      <c r="T33" s="707" t="s">
        <v>14</v>
      </c>
      <c r="U33" s="708">
        <f t="shared" si="13"/>
        <v>102</v>
      </c>
      <c r="V33" s="707" t="s">
        <v>14</v>
      </c>
      <c r="W33" s="708">
        <f t="shared" si="14"/>
        <v>100</v>
      </c>
      <c r="X33" s="709"/>
      <c r="Y33" s="3752"/>
      <c r="Z33" s="710" t="str">
        <f t="shared" si="15"/>
        <v>项目建筑规模</v>
      </c>
      <c r="AA33" s="3493">
        <f t="shared" si="3"/>
        <v>1.0869565217391304</v>
      </c>
      <c r="AB33" s="3493">
        <f t="shared" si="4"/>
        <v>0.98039215686274506</v>
      </c>
      <c r="AC33" s="3493">
        <f t="shared" si="5"/>
        <v>1</v>
      </c>
    </row>
    <row r="34" spans="1:29" ht="15">
      <c r="A34" s="423"/>
      <c r="B34" s="375" t="s">
        <v>1698</v>
      </c>
      <c r="C34" s="1911" t="s">
        <v>3438</v>
      </c>
      <c r="D34" s="386">
        <v>100</v>
      </c>
      <c r="E34" s="1911" t="s">
        <v>3438</v>
      </c>
      <c r="F34" s="412">
        <f>SUMIF(105:105,E34,106:106)-SUMIF(105:105,C34,106:106)+100</f>
        <v>100</v>
      </c>
      <c r="G34" s="1911" t="s">
        <v>3438</v>
      </c>
      <c r="H34" s="386">
        <f>SUMIF(105:105,G34,106:106)-SUMIF(105:105,C34,106:106)+100</f>
        <v>100</v>
      </c>
      <c r="I34" s="1911" t="s">
        <v>3438</v>
      </c>
      <c r="J34" s="386">
        <f>SUMIF(105:105,I34,106:106)-SUMIF(105:105,C34,106:106)+100</f>
        <v>100</v>
      </c>
      <c r="K34" s="561"/>
      <c r="L34" s="2721"/>
      <c r="M34" s="2715"/>
      <c r="N34" s="2715"/>
      <c r="O34" s="2715"/>
      <c r="P34" s="3750"/>
      <c r="Q34" s="3492" t="str">
        <f t="shared" si="11"/>
        <v>建筑结构</v>
      </c>
      <c r="R34" s="704" t="s">
        <v>14</v>
      </c>
      <c r="S34" s="705">
        <f t="shared" si="12"/>
        <v>100</v>
      </c>
      <c r="T34" s="704" t="s">
        <v>14</v>
      </c>
      <c r="U34" s="705">
        <f t="shared" si="13"/>
        <v>100</v>
      </c>
      <c r="V34" s="704" t="s">
        <v>14</v>
      </c>
      <c r="W34" s="705">
        <f t="shared" si="14"/>
        <v>100</v>
      </c>
      <c r="X34" s="3494"/>
      <c r="Y34" s="3752"/>
      <c r="Z34" s="3495" t="str">
        <f t="shared" si="15"/>
        <v>建筑结构</v>
      </c>
      <c r="AA34" s="3493">
        <f t="shared" si="3"/>
        <v>1</v>
      </c>
      <c r="AB34" s="3493">
        <f t="shared" si="4"/>
        <v>1</v>
      </c>
      <c r="AC34" s="3493">
        <f t="shared" si="5"/>
        <v>1</v>
      </c>
    </row>
    <row r="35" spans="1:29" ht="15">
      <c r="A35" s="423"/>
      <c r="B35" s="375" t="s">
        <v>1785</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721"/>
      <c r="M35" s="2715"/>
      <c r="N35" s="2715"/>
      <c r="O35" s="2715"/>
      <c r="P35" s="3750"/>
      <c r="Q35" s="3492" t="str">
        <f t="shared" si="11"/>
        <v>公共部分装修</v>
      </c>
      <c r="R35" s="704" t="s">
        <v>14</v>
      </c>
      <c r="S35" s="705">
        <f t="shared" si="12"/>
        <v>100</v>
      </c>
      <c r="T35" s="704" t="s">
        <v>14</v>
      </c>
      <c r="U35" s="705">
        <f t="shared" si="13"/>
        <v>100</v>
      </c>
      <c r="V35" s="704" t="s">
        <v>14</v>
      </c>
      <c r="W35" s="705">
        <f t="shared" si="14"/>
        <v>100</v>
      </c>
      <c r="X35" s="3494"/>
      <c r="Y35" s="3752"/>
      <c r="Z35" s="3495" t="str">
        <f t="shared" si="15"/>
        <v>公共部分装修</v>
      </c>
      <c r="AA35" s="3493">
        <f t="shared" si="3"/>
        <v>1</v>
      </c>
      <c r="AB35" s="3493">
        <f t="shared" si="4"/>
        <v>1</v>
      </c>
      <c r="AC35" s="3493">
        <f t="shared" si="5"/>
        <v>1</v>
      </c>
    </row>
    <row r="36" spans="1:29" ht="15">
      <c r="A36" s="423"/>
      <c r="B36" s="375" t="s">
        <v>1786</v>
      </c>
      <c r="C36" s="425">
        <v>0.85</v>
      </c>
      <c r="D36" s="386">
        <v>100</v>
      </c>
      <c r="E36" s="425">
        <v>0.85</v>
      </c>
      <c r="F36" s="412">
        <f>LOOKUP(E36,110:110,111:111)-LOOKUP(C36,110:110,111:111)+100</f>
        <v>100</v>
      </c>
      <c r="G36" s="425">
        <v>0.85</v>
      </c>
      <c r="H36" s="412">
        <f>LOOKUP(G36,110:110,111:111)-LOOKUP(C36,110:110,111:111)+100</f>
        <v>100</v>
      </c>
      <c r="I36" s="425">
        <v>0.85</v>
      </c>
      <c r="J36" s="386">
        <f>LOOKUP(I36,110:110,111:111)-LOOKUP(C36,110:110,111:111)+100</f>
        <v>100</v>
      </c>
      <c r="K36" s="561"/>
      <c r="L36" s="2721"/>
      <c r="M36" s="2715"/>
      <c r="N36" s="2715"/>
      <c r="O36" s="2715"/>
      <c r="P36" s="3750"/>
      <c r="Q36" s="3492" t="str">
        <f t="shared" si="11"/>
        <v>成新度</v>
      </c>
      <c r="R36" s="704" t="s">
        <v>14</v>
      </c>
      <c r="S36" s="705">
        <f t="shared" si="12"/>
        <v>100</v>
      </c>
      <c r="T36" s="704" t="s">
        <v>14</v>
      </c>
      <c r="U36" s="705">
        <f t="shared" si="13"/>
        <v>100</v>
      </c>
      <c r="V36" s="704" t="s">
        <v>14</v>
      </c>
      <c r="W36" s="705">
        <f t="shared" si="14"/>
        <v>100</v>
      </c>
      <c r="X36" s="3494"/>
      <c r="Y36" s="3752"/>
      <c r="Z36" s="3495" t="str">
        <f t="shared" si="15"/>
        <v>成新度</v>
      </c>
      <c r="AA36" s="3493">
        <f t="shared" si="3"/>
        <v>1</v>
      </c>
      <c r="AB36" s="3493">
        <f t="shared" si="4"/>
        <v>1</v>
      </c>
      <c r="AC36" s="3493">
        <f t="shared" si="5"/>
        <v>1</v>
      </c>
    </row>
    <row r="37" spans="1:29" s="108" customFormat="1" ht="15">
      <c r="A37" s="424"/>
      <c r="B37" s="375" t="s">
        <v>1787</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6"/>
      <c r="M37" s="2717"/>
      <c r="N37" s="2717"/>
      <c r="O37" s="2717"/>
      <c r="P37" s="3750"/>
      <c r="Q37" s="3472" t="str">
        <f t="shared" si="11"/>
        <v>市政基础设施</v>
      </c>
      <c r="R37" s="700" t="s">
        <v>14</v>
      </c>
      <c r="S37" s="701">
        <f t="shared" si="12"/>
        <v>100</v>
      </c>
      <c r="T37" s="700" t="s">
        <v>14</v>
      </c>
      <c r="U37" s="701">
        <f t="shared" si="13"/>
        <v>100</v>
      </c>
      <c r="V37" s="700" t="s">
        <v>14</v>
      </c>
      <c r="W37" s="701">
        <f t="shared" si="14"/>
        <v>100</v>
      </c>
      <c r="X37" s="702"/>
      <c r="Y37" s="3752"/>
      <c r="Z37" s="3470" t="str">
        <f t="shared" si="15"/>
        <v>市政基础设施</v>
      </c>
      <c r="AA37" s="703">
        <f t="shared" si="3"/>
        <v>1</v>
      </c>
      <c r="AB37" s="703">
        <f t="shared" si="4"/>
        <v>1</v>
      </c>
      <c r="AC37" s="703">
        <f t="shared" si="5"/>
        <v>1</v>
      </c>
    </row>
    <row r="38" spans="1:29" ht="15">
      <c r="A38" s="423"/>
      <c r="B38" s="375" t="s">
        <v>1788</v>
      </c>
      <c r="C38" s="1905" t="s">
        <v>3465</v>
      </c>
      <c r="D38" s="386">
        <v>100</v>
      </c>
      <c r="E38" s="1905" t="s">
        <v>3465</v>
      </c>
      <c r="F38" s="412">
        <f>SUMIF(114:114,E38,115:115)-SUMIF(114:114,C38,115:115)+100</f>
        <v>100</v>
      </c>
      <c r="G38" s="1905" t="s">
        <v>3465</v>
      </c>
      <c r="H38" s="386">
        <f>SUMIF(114:114,G38,115:115)-SUMIF(114:114,C38,115:115)+100</f>
        <v>100</v>
      </c>
      <c r="I38" s="1905" t="s">
        <v>3467</v>
      </c>
      <c r="J38" s="386">
        <f>SUMIF(114:114,I38,115:115)-SUMIF(114:114,C38,115:115)+100</f>
        <v>98</v>
      </c>
      <c r="K38" s="561">
        <v>2</v>
      </c>
      <c r="L38" s="2721"/>
      <c r="M38" s="2715"/>
      <c r="N38" s="2715"/>
      <c r="O38" s="2715"/>
      <c r="P38" s="3750" t="s">
        <v>1696</v>
      </c>
      <c r="Q38" s="3492" t="str">
        <f t="shared" si="11"/>
        <v>业态</v>
      </c>
      <c r="R38" s="704" t="s">
        <v>14</v>
      </c>
      <c r="S38" s="705">
        <f t="shared" si="12"/>
        <v>100</v>
      </c>
      <c r="T38" s="704" t="s">
        <v>14</v>
      </c>
      <c r="U38" s="705">
        <f t="shared" si="13"/>
        <v>100</v>
      </c>
      <c r="V38" s="704" t="s">
        <v>14</v>
      </c>
      <c r="W38" s="705">
        <f t="shared" si="14"/>
        <v>98</v>
      </c>
      <c r="X38" s="3494"/>
      <c r="Y38" s="3752" t="s">
        <v>1696</v>
      </c>
      <c r="Z38" s="3495" t="str">
        <f t="shared" si="15"/>
        <v>业态</v>
      </c>
      <c r="AA38" s="3493">
        <f t="shared" si="3"/>
        <v>1</v>
      </c>
      <c r="AB38" s="3493">
        <f t="shared" si="4"/>
        <v>1</v>
      </c>
      <c r="AC38" s="3493">
        <f t="shared" si="5"/>
        <v>1.0204081632653061</v>
      </c>
    </row>
    <row r="39" spans="1:29" ht="15">
      <c r="A39" s="423"/>
      <c r="B39" s="375" t="s">
        <v>1789</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721"/>
      <c r="M39" s="2715"/>
      <c r="N39" s="2715"/>
      <c r="O39" s="2715"/>
      <c r="P39" s="3750"/>
      <c r="Q39" s="3492" t="str">
        <f t="shared" si="11"/>
        <v>层高</v>
      </c>
      <c r="R39" s="704" t="s">
        <v>14</v>
      </c>
      <c r="S39" s="705">
        <f t="shared" si="12"/>
        <v>100</v>
      </c>
      <c r="T39" s="704" t="s">
        <v>14</v>
      </c>
      <c r="U39" s="705">
        <f t="shared" si="13"/>
        <v>100</v>
      </c>
      <c r="V39" s="704" t="s">
        <v>14</v>
      </c>
      <c r="W39" s="705">
        <f t="shared" si="14"/>
        <v>100</v>
      </c>
      <c r="X39" s="3494"/>
      <c r="Y39" s="3752"/>
      <c r="Z39" s="3495" t="str">
        <f t="shared" si="15"/>
        <v>层高</v>
      </c>
      <c r="AA39" s="3493">
        <f t="shared" si="3"/>
        <v>1</v>
      </c>
      <c r="AB39" s="3493">
        <f t="shared" si="4"/>
        <v>1</v>
      </c>
      <c r="AC39" s="3493">
        <f t="shared" si="5"/>
        <v>1</v>
      </c>
    </row>
    <row r="40" spans="1:29" ht="15">
      <c r="A40" s="423"/>
      <c r="B40" s="375" t="s">
        <v>1790</v>
      </c>
      <c r="C40" s="566"/>
      <c r="D40" s="386">
        <v>100</v>
      </c>
      <c r="E40" s="566"/>
      <c r="F40" s="412">
        <f>SUMIF(118:118,E40,119:119)-SUMIF(118:118,C40,119:119)+100</f>
        <v>100</v>
      </c>
      <c r="G40" s="566"/>
      <c r="H40" s="386">
        <f>SUMIF(118:118,G40,119:119)-SUMIF(118:118,C40,119:119)+100</f>
        <v>100</v>
      </c>
      <c r="I40" s="566"/>
      <c r="J40" s="386">
        <f>SUMIF(118:118,I40,119:119)-SUMIF(118:118,C40,119:119)+100</f>
        <v>100</v>
      </c>
      <c r="K40" s="562"/>
      <c r="L40" s="2721"/>
      <c r="M40" s="2715"/>
      <c r="N40" s="2715"/>
      <c r="O40" s="2715"/>
      <c r="P40" s="3750"/>
      <c r="Q40" s="3492" t="str">
        <f t="shared" si="11"/>
        <v>单套建筑面积</v>
      </c>
      <c r="R40" s="704" t="s">
        <v>14</v>
      </c>
      <c r="S40" s="705">
        <f t="shared" si="12"/>
        <v>100</v>
      </c>
      <c r="T40" s="704" t="s">
        <v>14</v>
      </c>
      <c r="U40" s="705">
        <f t="shared" si="13"/>
        <v>100</v>
      </c>
      <c r="V40" s="704" t="s">
        <v>14</v>
      </c>
      <c r="W40" s="705">
        <f t="shared" si="14"/>
        <v>100</v>
      </c>
      <c r="X40" s="3494"/>
      <c r="Y40" s="3752"/>
      <c r="Z40" s="3495" t="str">
        <f t="shared" si="15"/>
        <v>单套建筑面积</v>
      </c>
      <c r="AA40" s="3493">
        <f t="shared" si="3"/>
        <v>1</v>
      </c>
      <c r="AB40" s="3493">
        <f t="shared" si="4"/>
        <v>1</v>
      </c>
      <c r="AC40" s="3493">
        <f t="shared" si="5"/>
        <v>1</v>
      </c>
    </row>
    <row r="41" spans="1:29" s="422" customFormat="1" ht="15">
      <c r="A41" s="419"/>
      <c r="B41" s="349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750"/>
      <c r="Q41" s="706" t="str">
        <f t="shared" si="11"/>
        <v>进深比</v>
      </c>
      <c r="R41" s="707" t="s">
        <v>14</v>
      </c>
      <c r="S41" s="708">
        <f t="shared" si="12"/>
        <v>100</v>
      </c>
      <c r="T41" s="707" t="s">
        <v>14</v>
      </c>
      <c r="U41" s="708">
        <f t="shared" si="13"/>
        <v>100</v>
      </c>
      <c r="V41" s="707" t="s">
        <v>14</v>
      </c>
      <c r="W41" s="708">
        <f t="shared" si="14"/>
        <v>100</v>
      </c>
      <c r="X41" s="709"/>
      <c r="Y41" s="3752"/>
      <c r="Z41" s="710" t="str">
        <f t="shared" si="15"/>
        <v>进深比</v>
      </c>
      <c r="AA41" s="3493">
        <f t="shared" si="3"/>
        <v>1</v>
      </c>
      <c r="AB41" s="3493">
        <f t="shared" si="4"/>
        <v>1</v>
      </c>
      <c r="AC41" s="3493">
        <f t="shared" si="5"/>
        <v>1</v>
      </c>
    </row>
    <row r="42" spans="1:29" ht="15">
      <c r="A42" s="423"/>
      <c r="B42" s="375" t="s">
        <v>1792</v>
      </c>
      <c r="C42" s="1905" t="s">
        <v>3461</v>
      </c>
      <c r="D42" s="386">
        <v>100</v>
      </c>
      <c r="E42" s="1905" t="s">
        <v>3459</v>
      </c>
      <c r="F42" s="412">
        <f>SUMIF(122:122,E42,123:123)-SUMIF(122:122,C42,123:123)+100</f>
        <v>99</v>
      </c>
      <c r="G42" s="1905" t="s">
        <v>3459</v>
      </c>
      <c r="H42" s="386">
        <f>SUMIF(122:122,G42,123:123)-SUMIF(122:122,C42,123:123)+100</f>
        <v>99</v>
      </c>
      <c r="I42" s="1905" t="s">
        <v>3459</v>
      </c>
      <c r="J42" s="386">
        <f>SUMIF(122:122,I42,123:123)-SUMIF(122:122,C42,123:123)+100</f>
        <v>99</v>
      </c>
      <c r="K42" s="561">
        <v>1</v>
      </c>
      <c r="L42" s="2721"/>
      <c r="M42" s="2715"/>
      <c r="N42" s="2715"/>
      <c r="O42" s="2715"/>
      <c r="P42" s="3750"/>
      <c r="Q42" s="3492" t="str">
        <f t="shared" si="11"/>
        <v>内部装修</v>
      </c>
      <c r="R42" s="704" t="s">
        <v>14</v>
      </c>
      <c r="S42" s="705">
        <f t="shared" si="12"/>
        <v>99</v>
      </c>
      <c r="T42" s="704" t="s">
        <v>14</v>
      </c>
      <c r="U42" s="705">
        <f t="shared" si="13"/>
        <v>99</v>
      </c>
      <c r="V42" s="704" t="s">
        <v>14</v>
      </c>
      <c r="W42" s="705">
        <f t="shared" si="14"/>
        <v>99</v>
      </c>
      <c r="X42" s="3494"/>
      <c r="Y42" s="3752"/>
      <c r="Z42" s="3495" t="str">
        <f t="shared" si="15"/>
        <v>内部装修</v>
      </c>
      <c r="AA42" s="3493">
        <f t="shared" si="3"/>
        <v>1.0101010101010102</v>
      </c>
      <c r="AB42" s="3493">
        <f t="shared" si="4"/>
        <v>1.0101010101010102</v>
      </c>
      <c r="AC42" s="3493">
        <f t="shared" si="5"/>
        <v>1.0101010101010102</v>
      </c>
    </row>
    <row r="43" spans="1:29" ht="15">
      <c r="A43" s="423"/>
      <c r="B43" s="375" t="s">
        <v>1707</v>
      </c>
      <c r="C43" s="1905" t="s">
        <v>3432</v>
      </c>
      <c r="D43" s="386">
        <v>100</v>
      </c>
      <c r="E43" s="1905" t="s">
        <v>3432</v>
      </c>
      <c r="F43" s="412">
        <f>SUMIF(124:124,E43,125:125)-SUMIF(124:124,C43,125:125)+100</f>
        <v>100</v>
      </c>
      <c r="G43" s="1905" t="s">
        <v>3432</v>
      </c>
      <c r="H43" s="386">
        <f>SUMIF(124:124,G43,125:125)-SUMIF(124:124,C43,125:125)+100</f>
        <v>100</v>
      </c>
      <c r="I43" s="1905" t="s">
        <v>3432</v>
      </c>
      <c r="J43" s="386">
        <f>SUMIF(124:124,I43,125:125)-SUMIF(124:124,C43,125:125)+100</f>
        <v>100</v>
      </c>
      <c r="K43" s="561">
        <v>1</v>
      </c>
      <c r="L43" s="2721"/>
      <c r="M43" s="2715"/>
      <c r="N43" s="2715"/>
      <c r="O43" s="2715"/>
      <c r="P43" s="3750"/>
      <c r="Q43" s="3492" t="str">
        <f t="shared" si="11"/>
        <v>内部装修维护情况</v>
      </c>
      <c r="R43" s="704" t="s">
        <v>14</v>
      </c>
      <c r="S43" s="705">
        <f t="shared" si="12"/>
        <v>100</v>
      </c>
      <c r="T43" s="704" t="s">
        <v>14</v>
      </c>
      <c r="U43" s="705">
        <f t="shared" si="13"/>
        <v>100</v>
      </c>
      <c r="V43" s="704" t="s">
        <v>14</v>
      </c>
      <c r="W43" s="705">
        <f t="shared" si="14"/>
        <v>100</v>
      </c>
      <c r="X43" s="3494"/>
      <c r="Y43" s="3752"/>
      <c r="Z43" s="3495" t="str">
        <f t="shared" si="15"/>
        <v>内部装修维护情况</v>
      </c>
      <c r="AA43" s="3493">
        <f t="shared" si="3"/>
        <v>1</v>
      </c>
      <c r="AB43" s="3493">
        <f t="shared" si="4"/>
        <v>1</v>
      </c>
      <c r="AC43" s="3493">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750"/>
      <c r="Q44" s="3472">
        <f t="shared" si="11"/>
        <v>111</v>
      </c>
      <c r="R44" s="700" t="s">
        <v>14</v>
      </c>
      <c r="S44" s="701">
        <f t="shared" si="12"/>
        <v>100</v>
      </c>
      <c r="T44" s="700" t="s">
        <v>14</v>
      </c>
      <c r="U44" s="701">
        <f t="shared" si="13"/>
        <v>100</v>
      </c>
      <c r="V44" s="700" t="s">
        <v>14</v>
      </c>
      <c r="W44" s="701">
        <f t="shared" si="14"/>
        <v>100</v>
      </c>
      <c r="X44" s="702"/>
      <c r="Y44" s="3752"/>
      <c r="Z44" s="3470">
        <f t="shared" si="15"/>
        <v>111</v>
      </c>
      <c r="AA44" s="703">
        <f t="shared" si="3"/>
        <v>1</v>
      </c>
      <c r="AB44" s="703">
        <f t="shared" si="4"/>
        <v>1</v>
      </c>
      <c r="AC44" s="703">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750"/>
      <c r="Q45" s="3492">
        <f t="shared" si="11"/>
        <v>111</v>
      </c>
      <c r="R45" s="704" t="s">
        <v>14</v>
      </c>
      <c r="S45" s="705">
        <f t="shared" si="12"/>
        <v>100</v>
      </c>
      <c r="T45" s="704" t="s">
        <v>14</v>
      </c>
      <c r="U45" s="705">
        <f t="shared" si="13"/>
        <v>100</v>
      </c>
      <c r="V45" s="704" t="s">
        <v>14</v>
      </c>
      <c r="W45" s="705">
        <f t="shared" si="14"/>
        <v>100</v>
      </c>
      <c r="X45" s="3494"/>
      <c r="Y45" s="3752"/>
      <c r="Z45" s="3495">
        <f t="shared" si="15"/>
        <v>111</v>
      </c>
      <c r="AA45" s="3493">
        <f t="shared" si="3"/>
        <v>1</v>
      </c>
      <c r="AB45" s="3493">
        <f t="shared" si="4"/>
        <v>1</v>
      </c>
      <c r="AC45" s="3493">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751"/>
      <c r="Q46" s="3492">
        <f t="shared" si="11"/>
        <v>111</v>
      </c>
      <c r="R46" s="704" t="s">
        <v>14</v>
      </c>
      <c r="S46" s="705">
        <f t="shared" si="12"/>
        <v>100</v>
      </c>
      <c r="T46" s="704" t="s">
        <v>14</v>
      </c>
      <c r="U46" s="705">
        <f t="shared" si="13"/>
        <v>100</v>
      </c>
      <c r="V46" s="704" t="s">
        <v>14</v>
      </c>
      <c r="W46" s="705">
        <f t="shared" si="14"/>
        <v>100</v>
      </c>
      <c r="X46" s="3494"/>
      <c r="Y46" s="3753"/>
      <c r="Z46" s="3495">
        <f t="shared" si="15"/>
        <v>111</v>
      </c>
      <c r="AA46" s="3493">
        <f t="shared" si="3"/>
        <v>1</v>
      </c>
      <c r="AB46" s="3493">
        <f t="shared" si="4"/>
        <v>1</v>
      </c>
      <c r="AC46" s="3493">
        <f t="shared" si="5"/>
        <v>1</v>
      </c>
    </row>
    <row r="47" spans="1:29" ht="15">
      <c r="A47" s="430" t="s">
        <v>1708</v>
      </c>
      <c r="B47" s="431"/>
      <c r="C47" s="1153" t="s">
        <v>0</v>
      </c>
      <c r="D47" s="1154"/>
      <c r="E47" s="1155">
        <v>40000</v>
      </c>
      <c r="F47" s="1156"/>
      <c r="G47" s="1157">
        <v>46243</v>
      </c>
      <c r="H47" s="1158"/>
      <c r="I47" s="1155">
        <v>44200</v>
      </c>
      <c r="J47" s="1158"/>
      <c r="K47" s="713"/>
      <c r="L47" s="2723"/>
      <c r="M47" s="2724"/>
      <c r="N47" s="2715"/>
      <c r="O47" s="2724"/>
      <c r="P47" s="3745" t="str">
        <f>A47</f>
        <v>成交单价（元/平方米）</v>
      </c>
      <c r="Q47" s="3745"/>
      <c r="R47" s="3740">
        <f>E47</f>
        <v>40000</v>
      </c>
      <c r="S47" s="3740"/>
      <c r="T47" s="3740">
        <f>G47</f>
        <v>46243</v>
      </c>
      <c r="U47" s="3740"/>
      <c r="V47" s="3740">
        <f>I47</f>
        <v>44200</v>
      </c>
      <c r="W47" s="3740"/>
      <c r="X47" s="689"/>
      <c r="Y47" s="711"/>
      <c r="Z47" s="689"/>
      <c r="AA47" s="689"/>
      <c r="AB47" s="689"/>
      <c r="AC47" s="689"/>
    </row>
    <row r="48" spans="1:29" ht="15.75" thickBot="1">
      <c r="A48" s="437" t="s">
        <v>1709</v>
      </c>
      <c r="B48" s="438"/>
      <c r="C48" s="1159">
        <f>R49</f>
        <v>41586</v>
      </c>
      <c r="D48" s="2316" t="s">
        <v>2138</v>
      </c>
      <c r="E48" s="1160">
        <f>R48</f>
        <v>39834</v>
      </c>
      <c r="F48" s="2317"/>
      <c r="G48" s="1159">
        <f>T48</f>
        <v>41537</v>
      </c>
      <c r="H48" s="2317"/>
      <c r="I48" s="1160">
        <f>V48</f>
        <v>43388</v>
      </c>
      <c r="J48" s="2317"/>
      <c r="K48" s="2319">
        <f>F48+H48+J48</f>
        <v>0</v>
      </c>
      <c r="L48" s="2723"/>
      <c r="M48" s="2724"/>
      <c r="N48" s="2715"/>
      <c r="O48" s="2724"/>
      <c r="P48" s="3745" t="str">
        <f>A48</f>
        <v>比较价值（元/平方米）</v>
      </c>
      <c r="Q48" s="3745"/>
      <c r="R48" s="3746">
        <f>IF(F1="售价",ROUND(PRODUCT(R47,AA7:AA46),0),ROUND(PRODUCT(R47,AA7:AA46),1))</f>
        <v>39834</v>
      </c>
      <c r="S48" s="3746"/>
      <c r="T48" s="3746">
        <f>IF(F1="售价",ROUND(PRODUCT(T47,AB7:AB46),0),ROUND(PRODUCT(T47,AB7:AB46),1))</f>
        <v>41537</v>
      </c>
      <c r="U48" s="3746"/>
      <c r="V48" s="3746">
        <f>IF(F1="售价",ROUND(PRODUCT(V47,AC7:AC46),0),ROUND(PRODUCT(V47,AC7:AC46),1))</f>
        <v>43388</v>
      </c>
      <c r="W48" s="3746"/>
      <c r="X48" s="689"/>
      <c r="Y48" s="689"/>
      <c r="Z48" s="689"/>
      <c r="AA48" s="689"/>
      <c r="AB48" s="689"/>
      <c r="AC48" s="689"/>
    </row>
    <row r="49" spans="1:29" ht="15.75" thickBot="1">
      <c r="A49" s="441" t="s">
        <v>1710</v>
      </c>
      <c r="B49" s="442"/>
      <c r="C49" s="1162">
        <f>R49</f>
        <v>41586</v>
      </c>
      <c r="D49" s="1162"/>
      <c r="E49" s="1162"/>
      <c r="F49" s="1162"/>
      <c r="G49" s="1162"/>
      <c r="H49" s="1162"/>
      <c r="I49" s="1162"/>
      <c r="J49" s="1162"/>
      <c r="K49" s="714"/>
      <c r="L49" s="2723"/>
      <c r="M49" s="2724"/>
      <c r="N49" s="2715"/>
      <c r="O49" s="2724"/>
      <c r="P49" s="3742" t="str">
        <f>A49</f>
        <v>估价对象XX用房的比较价值（楼面单价，元/平方米）</v>
      </c>
      <c r="Q49" s="3743"/>
      <c r="R49" s="3744">
        <f>IF(F1="售价",ROUND(IF(D48="简单平均",AVERAGE(R48:V48),R48*F48+T48*H48+V48*J48),0),ROUND(IF(D48="简单平均",AVERAGE(R48:V48),R48*F48+T48*H48+V48*J48),1))</f>
        <v>41586</v>
      </c>
      <c r="S49" s="3744"/>
      <c r="T49" s="3744"/>
      <c r="U49" s="3744"/>
      <c r="V49" s="3744"/>
      <c r="W49" s="3744"/>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1711</v>
      </c>
      <c r="D52" s="447"/>
      <c r="E52" s="448">
        <f>IF(E47&lt;E48,E48/E47-1,E47/E48-1)</f>
        <v>4.1672942712256411E-3</v>
      </c>
      <c r="F52" s="449" t="str">
        <f>IF(OR(E52&gt;=0.3,E52&lt;=-0.3),"超过30%","")</f>
        <v/>
      </c>
      <c r="G52" s="448">
        <f>IF(G47&lt;G48,G48/G47-1,G47/G48-1)</f>
        <v>0.11329657895370393</v>
      </c>
      <c r="H52" s="449" t="str">
        <f>IF(OR(G52&gt;=0.3,G52&lt;=-0.3),"超过30%","")</f>
        <v/>
      </c>
      <c r="I52" s="448">
        <f>IF(I47&lt;I48,I48/I47-1,I47/I48-1)</f>
        <v>1.8714852032820195E-2</v>
      </c>
      <c r="J52" s="449" t="str">
        <f>IF(OR(I52&gt;=0.3,I52&lt;=-0.3),"超过30%","")</f>
        <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1712</v>
      </c>
      <c r="D53" s="450"/>
      <c r="E53" s="448">
        <f>IF(E48&lt;G48,G48/E48-1,E48/G48-1)</f>
        <v>4.2752422553597347E-2</v>
      </c>
      <c r="F53" s="449" t="str">
        <f>IF(OR(E53&gt;=0.2,E53&lt;=-0.2),"超过20%","")</f>
        <v/>
      </c>
      <c r="G53" s="448">
        <f>IF(G48&lt;I48,I48/G48-1,G48/I48-1)</f>
        <v>4.4562679057225996E-2</v>
      </c>
      <c r="H53" s="449" t="str">
        <f>IF(OR(G53&gt;=0.2,G53&lt;=-0.2),"超过20%","")</f>
        <v/>
      </c>
      <c r="I53" s="448">
        <f>IF(I48&lt;E48,E48/I48-1,I48/E48-1)</f>
        <v>8.9220264095998481E-2</v>
      </c>
      <c r="J53" s="449" t="str">
        <f>IF(OR(I53&gt;=0.2,I53&lt;=-0.2),"超过20%","")</f>
        <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1713</v>
      </c>
      <c r="D54" s="450"/>
      <c r="E54" s="448">
        <f>IF(E47&lt;G47,G47/E47-1,E47/G47-1)</f>
        <v>0.15607499999999996</v>
      </c>
      <c r="F54" s="449" t="str">
        <f>IF(OR(E54&gt;=0.3,E54&lt;=-0.3),"超过30%","")</f>
        <v/>
      </c>
      <c r="G54" s="448">
        <f>IF(G47&lt;I47,I47/G47-1,G47/I47-1)</f>
        <v>4.6221719457013588E-2</v>
      </c>
      <c r="H54" s="449" t="str">
        <f>IF(OR(G54&gt;=0.3,G54&lt;=-0.3),"超过30%","")</f>
        <v/>
      </c>
      <c r="I54" s="448">
        <f>IF(I47&lt;E47,E47/I47-1,I47/E47-1)</f>
        <v>0.10499999999999998</v>
      </c>
      <c r="J54" s="449" t="str">
        <f>IF(OR(I54&gt;=0.3,I54&lt;=-0.3),"超过30%","")</f>
        <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3" t="s">
        <v>1714</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7" customFormat="1" ht="15">
      <c r="A58" s="454" t="s">
        <v>1679</v>
      </c>
      <c r="B58" s="455"/>
      <c r="C58" s="1183" t="str">
        <f>YEAR(C7)&amp;"-"&amp;MONTH(C7)</f>
        <v>2025-5</v>
      </c>
      <c r="D58" s="1184">
        <f>EDATE(C58,-1)</f>
        <v>45748</v>
      </c>
      <c r="E58" s="1184">
        <f t="shared" ref="E58:N58" si="16">EDATE(D58,-1)</f>
        <v>45717</v>
      </c>
      <c r="F58" s="1184">
        <f t="shared" si="16"/>
        <v>45689</v>
      </c>
      <c r="G58" s="1184">
        <f t="shared" si="16"/>
        <v>45658</v>
      </c>
      <c r="H58" s="1184">
        <f t="shared" si="16"/>
        <v>45627</v>
      </c>
      <c r="I58" s="1184">
        <f t="shared" si="16"/>
        <v>45597</v>
      </c>
      <c r="J58" s="1184">
        <f t="shared" si="16"/>
        <v>45566</v>
      </c>
      <c r="K58" s="1184">
        <f t="shared" si="16"/>
        <v>45536</v>
      </c>
      <c r="L58" s="1184">
        <f t="shared" si="16"/>
        <v>45505</v>
      </c>
      <c r="M58" s="1184">
        <f t="shared" si="16"/>
        <v>45474</v>
      </c>
      <c r="N58" s="1184">
        <f t="shared" si="16"/>
        <v>45444</v>
      </c>
      <c r="O58" s="1184">
        <f>EDATE(N58,-1)</f>
        <v>45413</v>
      </c>
      <c r="P58" s="2739"/>
      <c r="Q58" s="2740"/>
      <c r="R58" s="2740"/>
      <c r="S58" s="2740"/>
      <c r="T58" s="2740"/>
      <c r="U58" s="2740"/>
      <c r="V58" s="2740"/>
      <c r="W58" s="2740"/>
      <c r="X58" s="2740"/>
      <c r="Y58" s="2740"/>
      <c r="Z58" s="2740"/>
      <c r="AA58" s="2740"/>
      <c r="AB58" s="2740"/>
      <c r="AC58" s="2740"/>
    </row>
    <row r="59" spans="1:29" s="108" customFormat="1" ht="15">
      <c r="A59" s="458"/>
      <c r="B59" s="459"/>
      <c r="C59" s="1182">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1718</v>
      </c>
      <c r="D61" s="3840" t="s">
        <v>3477</v>
      </c>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v>105</v>
      </c>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t="str">
        <f>C9</f>
        <v>商业</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0（含）-1</v>
      </c>
      <c r="D67" s="496" t="str">
        <f t="shared" ref="D67:L67" si="17">D68&amp;"（含）"&amp;"-"&amp;E68</f>
        <v>1（含）-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v>0</v>
      </c>
      <c r="D68" s="498">
        <v>1</v>
      </c>
      <c r="E68" s="498"/>
      <c r="F68" s="498"/>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95</v>
      </c>
      <c r="E77" s="493">
        <f>D77-$K15</f>
        <v>90</v>
      </c>
      <c r="F77" s="493">
        <f>E77-$K15</f>
        <v>85</v>
      </c>
      <c r="G77" s="493">
        <f>F77-$K15</f>
        <v>80</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7" t="s">
        <v>1799</v>
      </c>
      <c r="D82" s="607" t="s">
        <v>1800</v>
      </c>
      <c r="E82" s="607" t="s">
        <v>1801</v>
      </c>
      <c r="F82" s="607" t="s">
        <v>1802</v>
      </c>
      <c r="G82" s="607" t="s">
        <v>1803</v>
      </c>
      <c r="H82" s="488"/>
      <c r="I82" s="488"/>
      <c r="J82" s="488"/>
      <c r="K82" s="488"/>
      <c r="L82" s="488"/>
      <c r="M82" s="1128"/>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100</v>
      </c>
      <c r="E83" s="493">
        <f t="shared" ref="E83:G83" si="19">D83-$K21</f>
        <v>100</v>
      </c>
      <c r="F83" s="493">
        <f t="shared" si="19"/>
        <v>100</v>
      </c>
      <c r="G83" s="493">
        <f t="shared" si="19"/>
        <v>100</v>
      </c>
      <c r="H83" s="607"/>
      <c r="I83" s="607"/>
      <c r="J83" s="607"/>
      <c r="K83" s="607"/>
      <c r="L83" s="607"/>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3838" t="s">
        <v>3454</v>
      </c>
      <c r="D86" s="3838" t="s">
        <v>3456</v>
      </c>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t="s">
        <v>3443</v>
      </c>
      <c r="D88" s="503" t="s">
        <v>3432</v>
      </c>
      <c r="E88" s="503" t="s">
        <v>3433</v>
      </c>
      <c r="F88" s="1926" t="s">
        <v>3434</v>
      </c>
      <c r="G88" s="503" t="s">
        <v>3457</v>
      </c>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v>100</v>
      </c>
      <c r="D89" s="485">
        <f>C89-1</f>
        <v>99</v>
      </c>
      <c r="E89" s="485">
        <f t="shared" ref="E89:G89" si="21">D89-1</f>
        <v>98</v>
      </c>
      <c r="F89" s="485">
        <f t="shared" si="21"/>
        <v>97</v>
      </c>
      <c r="G89" s="485">
        <f t="shared" si="21"/>
        <v>96</v>
      </c>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503" t="s">
        <v>3443</v>
      </c>
      <c r="D90" s="503" t="s">
        <v>3432</v>
      </c>
      <c r="E90" s="503" t="s">
        <v>3433</v>
      </c>
      <c r="F90" s="503" t="s">
        <v>3434</v>
      </c>
      <c r="G90" s="503" t="s">
        <v>3457</v>
      </c>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100</v>
      </c>
      <c r="E91" s="493">
        <f t="shared" ref="E91:M91" si="22">D91-$K27</f>
        <v>100</v>
      </c>
      <c r="F91" s="493">
        <f t="shared" si="22"/>
        <v>100</v>
      </c>
      <c r="G91" s="493">
        <f t="shared" si="22"/>
        <v>100</v>
      </c>
      <c r="H91" s="493">
        <f t="shared" si="22"/>
        <v>100</v>
      </c>
      <c r="I91" s="493">
        <f t="shared" si="22"/>
        <v>100</v>
      </c>
      <c r="J91" s="493">
        <f t="shared" si="22"/>
        <v>100</v>
      </c>
      <c r="K91" s="493">
        <f t="shared" si="22"/>
        <v>100</v>
      </c>
      <c r="L91" s="493">
        <f t="shared" si="22"/>
        <v>100</v>
      </c>
      <c r="M91" s="493">
        <f t="shared" si="22"/>
        <v>100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t="s">
        <v>3458</v>
      </c>
      <c r="D92" s="503" t="s">
        <v>3487</v>
      </c>
      <c r="E92" s="503" t="s">
        <v>3488</v>
      </c>
      <c r="F92" s="503"/>
      <c r="G92" s="503"/>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v>100</v>
      </c>
      <c r="D93" s="485">
        <v>80</v>
      </c>
      <c r="E93" s="485">
        <v>70</v>
      </c>
      <c r="F93" s="485"/>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7"/>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3839" t="s">
        <v>3473</v>
      </c>
      <c r="D100" s="3839" t="s">
        <v>3475</v>
      </c>
      <c r="E100" s="3839" t="s">
        <v>3489</v>
      </c>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3">C101-$K32</f>
        <v>98</v>
      </c>
      <c r="E101" s="493">
        <f t="shared" si="23"/>
        <v>96</v>
      </c>
      <c r="F101" s="493">
        <f t="shared" si="23"/>
        <v>94</v>
      </c>
      <c r="G101" s="493">
        <f t="shared" si="23"/>
        <v>92</v>
      </c>
      <c r="H101" s="493">
        <f t="shared" si="23"/>
        <v>90</v>
      </c>
      <c r="I101" s="493">
        <f t="shared" si="23"/>
        <v>88</v>
      </c>
      <c r="J101" s="493">
        <f t="shared" si="23"/>
        <v>86</v>
      </c>
      <c r="K101" s="493">
        <f t="shared" si="23"/>
        <v>84</v>
      </c>
      <c r="L101" s="493">
        <f t="shared" si="23"/>
        <v>82</v>
      </c>
      <c r="M101" s="494">
        <f t="shared" si="23"/>
        <v>80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0(含)-100</v>
      </c>
      <c r="D102" s="527" t="str">
        <f t="shared" ref="D102:L102" si="24">D103&amp;"(含)"&amp;"-"&amp;E103</f>
        <v>100(含)-200</v>
      </c>
      <c r="E102" s="527" t="str">
        <f t="shared" si="24"/>
        <v>200(含)-300</v>
      </c>
      <c r="F102" s="527" t="str">
        <f t="shared" si="24"/>
        <v>300(含)-500</v>
      </c>
      <c r="G102" s="527" t="str">
        <f t="shared" si="24"/>
        <v>500(含)-1000</v>
      </c>
      <c r="H102" s="527" t="str">
        <f t="shared" si="24"/>
        <v>1000(含)-</v>
      </c>
      <c r="I102" s="527" t="str">
        <f t="shared" si="24"/>
        <v>(含)-</v>
      </c>
      <c r="J102" s="527" t="str">
        <f t="shared" si="24"/>
        <v>(含)-</v>
      </c>
      <c r="K102" s="527" t="str">
        <f t="shared" si="24"/>
        <v>(含)-</v>
      </c>
      <c r="L102" s="527" t="str">
        <f t="shared" si="24"/>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v>0</v>
      </c>
      <c r="D103" s="544">
        <v>100</v>
      </c>
      <c r="E103" s="544">
        <v>200</v>
      </c>
      <c r="F103" s="544">
        <v>300</v>
      </c>
      <c r="G103" s="544">
        <v>500</v>
      </c>
      <c r="H103" s="544">
        <v>1000</v>
      </c>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v>100</v>
      </c>
      <c r="D104" s="485">
        <f>C104-2</f>
        <v>98</v>
      </c>
      <c r="E104" s="485">
        <f t="shared" ref="E104:F104" si="25">D104-2</f>
        <v>96</v>
      </c>
      <c r="F104" s="485">
        <f t="shared" si="25"/>
        <v>94</v>
      </c>
      <c r="G104" s="485">
        <v>90</v>
      </c>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3838" t="s">
        <v>3471</v>
      </c>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503" t="s">
        <v>3461</v>
      </c>
      <c r="D107" s="503" t="s">
        <v>3459</v>
      </c>
      <c r="E107" s="503" t="s">
        <v>3463</v>
      </c>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100</v>
      </c>
      <c r="E111" s="493">
        <f t="shared" ref="E111:M111" si="28">D111+$K36</f>
        <v>100</v>
      </c>
      <c r="F111" s="493">
        <f t="shared" si="28"/>
        <v>100</v>
      </c>
      <c r="G111" s="493">
        <f t="shared" si="28"/>
        <v>100</v>
      </c>
      <c r="H111" s="493">
        <f t="shared" si="28"/>
        <v>100</v>
      </c>
      <c r="I111" s="493">
        <f t="shared" si="28"/>
        <v>100</v>
      </c>
      <c r="J111" s="493">
        <f t="shared" si="28"/>
        <v>100</v>
      </c>
      <c r="K111" s="493">
        <f t="shared" si="28"/>
        <v>100</v>
      </c>
      <c r="L111" s="493">
        <f t="shared" si="28"/>
        <v>100</v>
      </c>
      <c r="M111" s="493">
        <f t="shared" si="28"/>
        <v>100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503"/>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9">D113-$K37</f>
        <v>100</v>
      </c>
      <c r="F113" s="493">
        <f t="shared" si="29"/>
        <v>100</v>
      </c>
      <c r="G113" s="493">
        <f t="shared" si="29"/>
        <v>100</v>
      </c>
      <c r="H113" s="493">
        <f t="shared" si="29"/>
        <v>100</v>
      </c>
      <c r="I113" s="493">
        <f t="shared" si="29"/>
        <v>100</v>
      </c>
      <c r="J113" s="493">
        <f t="shared" si="29"/>
        <v>100</v>
      </c>
      <c r="K113" s="493">
        <f t="shared" si="29"/>
        <v>100</v>
      </c>
      <c r="L113" s="493">
        <f t="shared" si="29"/>
        <v>100</v>
      </c>
      <c r="M113" s="493">
        <f t="shared" si="29"/>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3838" t="s">
        <v>3466</v>
      </c>
      <c r="D114" s="3838" t="s">
        <v>3468</v>
      </c>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30">C115-$K38</f>
        <v>98</v>
      </c>
      <c r="E115" s="493">
        <f t="shared" si="30"/>
        <v>96</v>
      </c>
      <c r="F115" s="493">
        <f t="shared" si="30"/>
        <v>94</v>
      </c>
      <c r="G115" s="493">
        <f t="shared" si="30"/>
        <v>92</v>
      </c>
      <c r="H115" s="493">
        <f t="shared" si="30"/>
        <v>90</v>
      </c>
      <c r="I115" s="493">
        <f t="shared" si="30"/>
        <v>88</v>
      </c>
      <c r="J115" s="493">
        <f t="shared" si="30"/>
        <v>86</v>
      </c>
      <c r="K115" s="493">
        <f t="shared" si="30"/>
        <v>84</v>
      </c>
      <c r="L115" s="493">
        <f t="shared" si="30"/>
        <v>82</v>
      </c>
      <c r="M115" s="494">
        <f t="shared" si="30"/>
        <v>80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3838" t="s">
        <v>3469</v>
      </c>
      <c r="D116" s="3838" t="s">
        <v>3470</v>
      </c>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4"/>
      <c r="D118" s="574"/>
      <c r="E118" s="574"/>
      <c r="F118" s="574"/>
      <c r="G118" s="574"/>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3838" t="s">
        <v>3462</v>
      </c>
      <c r="D122" s="3838" t="s">
        <v>3460</v>
      </c>
      <c r="E122" s="3838" t="s">
        <v>3464</v>
      </c>
      <c r="F122" s="532"/>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2">C123-$K42</f>
        <v>99</v>
      </c>
      <c r="E123" s="493">
        <f t="shared" si="32"/>
        <v>98</v>
      </c>
      <c r="F123" s="493">
        <f t="shared" si="32"/>
        <v>97</v>
      </c>
      <c r="G123" s="493">
        <f t="shared" si="32"/>
        <v>96</v>
      </c>
      <c r="H123" s="493">
        <f t="shared" si="32"/>
        <v>95</v>
      </c>
      <c r="I123" s="493">
        <f t="shared" si="32"/>
        <v>94</v>
      </c>
      <c r="J123" s="493">
        <f t="shared" si="32"/>
        <v>93</v>
      </c>
      <c r="K123" s="493">
        <f t="shared" si="32"/>
        <v>92</v>
      </c>
      <c r="L123" s="493">
        <f t="shared" si="32"/>
        <v>91</v>
      </c>
      <c r="M123" s="494">
        <f t="shared" si="32"/>
        <v>90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7"/>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P8:Q8"/>
    <mergeCell ref="Y8:Z8"/>
    <mergeCell ref="P9:P14"/>
    <mergeCell ref="Y9:Y14"/>
    <mergeCell ref="P15:P31"/>
    <mergeCell ref="Y15:Y31"/>
    <mergeCell ref="C6:D6"/>
    <mergeCell ref="E6:F6"/>
    <mergeCell ref="G6:H6"/>
    <mergeCell ref="I6:J6"/>
    <mergeCell ref="P7:Q7"/>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s>
  <phoneticPr fontId="134" type="noConversion"/>
  <conditionalFormatting sqref="F52 H52">
    <cfRule type="containsText" dxfId="19" priority="20" stopIfTrue="1" operator="containsText" text="超过">
      <formula>NOT(ISERROR(SEARCH("超过",F52)))</formula>
    </cfRule>
  </conditionalFormatting>
  <conditionalFormatting sqref="H54">
    <cfRule type="containsText" dxfId="18" priority="19" stopIfTrue="1" operator="containsText" text="超过">
      <formula>NOT(ISERROR(SEARCH("超过",H54)))</formula>
    </cfRule>
  </conditionalFormatting>
  <conditionalFormatting sqref="F54">
    <cfRule type="containsText" dxfId="17" priority="18" stopIfTrue="1" operator="containsText" text="超过">
      <formula>NOT(ISERROR(SEARCH("超过",F54)))</formula>
    </cfRule>
  </conditionalFormatting>
  <conditionalFormatting sqref="F53 H53">
    <cfRule type="containsText" dxfId="16" priority="17" stopIfTrue="1" operator="containsText" text="超过">
      <formula>NOT(ISERROR(SEARCH("超过",F53)))</formula>
    </cfRule>
  </conditionalFormatting>
  <conditionalFormatting sqref="E52">
    <cfRule type="expression" dxfId="15" priority="16" stopIfTrue="1">
      <formula>$F$52="超过30%"</formula>
    </cfRule>
  </conditionalFormatting>
  <conditionalFormatting sqref="E53">
    <cfRule type="expression" dxfId="14" priority="15" stopIfTrue="1">
      <formula>$F$53="超过20%"</formula>
    </cfRule>
  </conditionalFormatting>
  <conditionalFormatting sqref="E54">
    <cfRule type="expression" dxfId="13" priority="14" stopIfTrue="1">
      <formula>$F$54="超过30%"</formula>
    </cfRule>
  </conditionalFormatting>
  <conditionalFormatting sqref="G54">
    <cfRule type="expression" dxfId="12" priority="13" stopIfTrue="1">
      <formula>$H$54="超过30%"</formula>
    </cfRule>
  </conditionalFormatting>
  <conditionalFormatting sqref="G52">
    <cfRule type="expression" dxfId="11" priority="12" stopIfTrue="1">
      <formula>$H$52="超过30%"</formula>
    </cfRule>
  </conditionalFormatting>
  <conditionalFormatting sqref="G53">
    <cfRule type="expression" dxfId="10" priority="11" stopIfTrue="1">
      <formula>$H$53="超过20%"</formula>
    </cfRule>
  </conditionalFormatting>
  <conditionalFormatting sqref="J52">
    <cfRule type="containsText" dxfId="9" priority="10" stopIfTrue="1" operator="containsText" text="超过">
      <formula>NOT(ISERROR(SEARCH("超过",J52)))</formula>
    </cfRule>
  </conditionalFormatting>
  <conditionalFormatting sqref="J54">
    <cfRule type="containsText" dxfId="8" priority="9" stopIfTrue="1" operator="containsText" text="超过">
      <formula>NOT(ISERROR(SEARCH("超过",J54)))</formula>
    </cfRule>
  </conditionalFormatting>
  <conditionalFormatting sqref="J53">
    <cfRule type="containsText" dxfId="7" priority="8" stopIfTrue="1" operator="containsText" text="超过">
      <formula>NOT(ISERROR(SEARCH("超过",J53)))</formula>
    </cfRule>
  </conditionalFormatting>
  <conditionalFormatting sqref="I52">
    <cfRule type="expression" dxfId="6" priority="7" stopIfTrue="1">
      <formula>$J$52="超过30%"</formula>
    </cfRule>
  </conditionalFormatting>
  <conditionalFormatting sqref="I53">
    <cfRule type="expression" dxfId="5" priority="6" stopIfTrue="1">
      <formula>$J$53="超过20%"</formula>
    </cfRule>
  </conditionalFormatting>
  <conditionalFormatting sqref="I54">
    <cfRule type="expression" dxfId="4" priority="5" stopIfTrue="1">
      <formula>$J$54="超过30%"</formula>
    </cfRule>
  </conditionalFormatting>
  <conditionalFormatting sqref="F48">
    <cfRule type="expression" dxfId="3" priority="4">
      <formula>$D$48="简单平均"</formula>
    </cfRule>
  </conditionalFormatting>
  <conditionalFormatting sqref="H48">
    <cfRule type="expression" dxfId="2" priority="3">
      <formula>$D$48="简单平均"</formula>
    </cfRule>
  </conditionalFormatting>
  <conditionalFormatting sqref="J48">
    <cfRule type="expression" dxfId="1" priority="2">
      <formula>$D$48="简单平均"</formula>
    </cfRule>
  </conditionalFormatting>
  <conditionalFormatting sqref="F7:F46 H7:H46 J7:J46">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F39" sqref="F39:F48"/>
      <selection pane="bottomLeft" activeCell="H21" sqref="H21"/>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30"/>
    <col min="20" max="45" width="9" style="724"/>
    <col min="46" max="16384" width="9" style="130"/>
  </cols>
  <sheetData>
    <row r="1" spans="1:45" ht="14.25" customHeight="1" thickBot="1">
      <c r="A1" s="146"/>
      <c r="B1" s="982" t="s">
        <v>2083</v>
      </c>
      <c r="C1" s="3783" t="s">
        <v>2084</v>
      </c>
      <c r="D1" s="3784"/>
      <c r="E1" s="3784"/>
      <c r="F1" s="3784"/>
      <c r="G1" s="3784"/>
      <c r="H1" s="3784"/>
      <c r="I1" s="3784"/>
      <c r="J1" s="3784"/>
      <c r="K1" s="3784"/>
      <c r="L1" s="3784"/>
      <c r="M1" s="3784"/>
      <c r="N1" s="3784"/>
      <c r="O1" s="3784"/>
      <c r="P1" s="3784"/>
      <c r="Q1" s="3784"/>
      <c r="R1" s="3784"/>
      <c r="S1" s="3785"/>
      <c r="T1" s="982" t="s">
        <v>2085</v>
      </c>
    </row>
    <row r="2" spans="1:45" s="654" customFormat="1" ht="38.25">
      <c r="A2" s="983"/>
      <c r="B2" s="650" t="s">
        <v>2086</v>
      </c>
      <c r="C2" s="651" t="str">
        <f t="shared" ref="C2:L2" si="0">C3&amp;"(含)"&amp;"-"&amp;D3</f>
        <v>0(含)-100</v>
      </c>
      <c r="D2" s="652" t="str">
        <f t="shared" si="0"/>
        <v>100(含)-200</v>
      </c>
      <c r="E2" s="652" t="str">
        <f t="shared" si="0"/>
        <v>200(含)-300</v>
      </c>
      <c r="F2" s="652" t="str">
        <f t="shared" si="0"/>
        <v>300(含)-500</v>
      </c>
      <c r="G2" s="652" t="str">
        <f t="shared" si="0"/>
        <v>500(含)-1000</v>
      </c>
      <c r="H2" s="652" t="str">
        <f t="shared" si="0"/>
        <v>1000(含)-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4" t="str">
        <f>S3&amp;"(含)"&amp;"-"</f>
        <v>(含)-</v>
      </c>
      <c r="T2" s="653"/>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5"/>
      <c r="C3" s="656">
        <v>0</v>
      </c>
      <c r="D3" s="657">
        <v>100</v>
      </c>
      <c r="E3" s="657">
        <v>200</v>
      </c>
      <c r="F3" s="1304">
        <v>300</v>
      </c>
      <c r="G3" s="1304">
        <v>500</v>
      </c>
      <c r="H3" s="1304">
        <v>1000</v>
      </c>
      <c r="I3" s="1304"/>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c r="D4" s="989"/>
      <c r="E4" s="989"/>
      <c r="F4" s="1308"/>
      <c r="G4" s="1308"/>
      <c r="H4" s="1308"/>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93"/>
      <c r="B5" s="1335" t="s">
        <v>2087</v>
      </c>
      <c r="C5" s="994"/>
      <c r="D5" s="995"/>
      <c r="E5" s="995"/>
      <c r="F5" s="1311"/>
      <c r="G5" s="1311"/>
      <c r="H5" s="1311"/>
      <c r="I5" s="1311"/>
      <c r="J5" s="1311"/>
      <c r="K5" s="1311"/>
      <c r="L5" s="1312"/>
      <c r="M5" s="1313"/>
      <c r="N5" s="1313"/>
      <c r="O5" s="1311"/>
      <c r="P5" s="1311"/>
      <c r="Q5" s="1311"/>
      <c r="R5" s="1311"/>
      <c r="S5" s="1314"/>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100</v>
      </c>
      <c r="E6" s="901">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2088</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2089</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2090</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5" t="s">
        <v>2091</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5" t="s">
        <v>2092</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4" customFormat="1">
      <c r="A17" s="2147" t="s">
        <v>2093</v>
      </c>
      <c r="B17" s="2148" t="s">
        <v>2094</v>
      </c>
      <c r="C17" s="1009" t="s">
        <v>3484</v>
      </c>
      <c r="D17" s="1010" t="s">
        <v>3485</v>
      </c>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4" customFormat="1" ht="13.5" thickBot="1">
      <c r="A18" s="1019"/>
      <c r="B18" s="1020"/>
      <c r="C18" s="1021">
        <v>100</v>
      </c>
      <c r="D18" s="1022">
        <v>70</v>
      </c>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9"/>
      <c r="B19" s="159"/>
      <c r="C19" s="159"/>
      <c r="D19" s="2149" t="s">
        <v>2095</v>
      </c>
      <c r="E19" s="1339"/>
      <c r="F19" s="1339"/>
      <c r="G19" s="1339"/>
      <c r="H19" s="1058"/>
      <c r="I19" s="159"/>
      <c r="J19" s="159"/>
      <c r="K19" s="159"/>
      <c r="L19" s="159"/>
      <c r="M19" s="159"/>
      <c r="N19" s="159"/>
      <c r="O19" s="159"/>
      <c r="P19" s="159"/>
      <c r="Q19" s="159"/>
      <c r="R19" s="717"/>
      <c r="S19" s="129"/>
    </row>
    <row r="20" spans="1:45" ht="16.5" thickBot="1">
      <c r="A20" s="661" t="s">
        <v>2096</v>
      </c>
      <c r="B20" s="294">
        <f>IF(D20="——",S22,S22-F20)</f>
        <v>1270</v>
      </c>
      <c r="C20" s="159"/>
      <c r="D20" s="2150" t="s">
        <v>43</v>
      </c>
      <c r="E20" s="1340"/>
      <c r="F20" s="982" t="e">
        <f ca="1">SUMIF(INDIRECT("'"&amp;H20&amp;"'"&amp;"!A:A"),"承租人权益价值",INDIRECT("'"&amp;H20&amp;"'"&amp;"!c:c"))</f>
        <v>#REF!</v>
      </c>
      <c r="G20" s="982" t="s">
        <v>2097</v>
      </c>
      <c r="H20" s="2151"/>
      <c r="I20" s="159"/>
      <c r="J20" s="159"/>
      <c r="K20" s="159"/>
      <c r="L20" s="159"/>
      <c r="M20" s="159"/>
      <c r="N20" s="159"/>
      <c r="O20" s="159"/>
      <c r="P20" s="159"/>
      <c r="Q20" s="159"/>
      <c r="R20" s="717"/>
      <c r="S20" s="129"/>
    </row>
    <row r="21" spans="1:45" ht="15.75">
      <c r="A21" s="661" t="s">
        <v>2098</v>
      </c>
      <c r="B21" s="294">
        <f>ROUND(B20*10000/B22,0)</f>
        <v>29116</v>
      </c>
      <c r="C21" s="159"/>
      <c r="D21" s="159"/>
      <c r="E21" s="159"/>
      <c r="F21" s="159"/>
      <c r="G21" s="159"/>
      <c r="H21" s="159"/>
      <c r="I21" s="159"/>
      <c r="J21" s="159"/>
      <c r="K21" s="159"/>
      <c r="L21" s="159"/>
      <c r="M21" s="159"/>
      <c r="N21" s="159"/>
      <c r="O21" s="159"/>
      <c r="P21" s="159"/>
      <c r="Q21" s="159"/>
      <c r="R21" s="717"/>
      <c r="S21" s="129"/>
    </row>
    <row r="22" spans="1:45">
      <c r="A22" s="316" t="s">
        <v>2099</v>
      </c>
      <c r="B22" s="21">
        <f>SUM(B24:B10000)</f>
        <v>436.17999999999995</v>
      </c>
      <c r="C22" s="3780" t="s">
        <v>27</v>
      </c>
      <c r="D22" s="3781"/>
      <c r="E22" s="3781"/>
      <c r="F22" s="3781"/>
      <c r="G22" s="3781"/>
      <c r="H22" s="3781"/>
      <c r="I22" s="3781"/>
      <c r="J22" s="3781"/>
      <c r="K22" s="3781"/>
      <c r="L22" s="3781"/>
      <c r="M22" s="3781"/>
      <c r="N22" s="3781"/>
      <c r="O22" s="3781"/>
      <c r="P22" s="3781"/>
      <c r="Q22" s="3782"/>
      <c r="R22" s="662">
        <f>ROUND(S22*10000/B22,0)</f>
        <v>29116</v>
      </c>
      <c r="S22" s="21">
        <f>SUM(S24:S10000)</f>
        <v>1270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3" t="s">
        <v>2103</v>
      </c>
      <c r="S23" s="8" t="s">
        <v>2104</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s">
        <v>2105</v>
      </c>
      <c r="B24" s="664"/>
      <c r="C24" s="2809">
        <v>1</v>
      </c>
      <c r="D24" s="2810"/>
      <c r="E24" s="2809">
        <v>1</v>
      </c>
      <c r="F24" s="2810"/>
      <c r="G24" s="2809">
        <v>1</v>
      </c>
      <c r="H24" s="2810"/>
      <c r="I24" s="2809">
        <v>1</v>
      </c>
      <c r="J24" s="2810"/>
      <c r="K24" s="2809">
        <v>1</v>
      </c>
      <c r="L24" s="2810"/>
      <c r="M24" s="2809">
        <v>1</v>
      </c>
      <c r="N24" s="2810"/>
      <c r="O24" s="2809">
        <v>1</v>
      </c>
      <c r="P24" s="2810" t="s">
        <v>3479</v>
      </c>
      <c r="Q24" s="2809">
        <v>1</v>
      </c>
      <c r="R24" s="667">
        <f>'比较法-商业-1层基准'!C48</f>
        <v>41586</v>
      </c>
      <c r="S24" s="665">
        <f t="shared" ref="S24:S54" si="11">ROUND(R24*B24/10000,0)</f>
        <v>0</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50">
        <v>206</v>
      </c>
      <c r="B25" s="54">
        <v>149.97999999999999</v>
      </c>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t="s">
        <v>3486</v>
      </c>
      <c r="Q25" s="21">
        <f>(SUMIF($17:$17,P25,$18:$18)-SUMIF($17:$17,$P$24,$18:$18)+100)/100</f>
        <v>0.7</v>
      </c>
      <c r="R25" s="662">
        <f>IF(B25="",0,ROUND($R$24*C25*E25*G25*I25*K25*M25*O25*Q25,0))</f>
        <v>29110</v>
      </c>
      <c r="S25" s="316">
        <f t="shared" si="11"/>
        <v>437</v>
      </c>
      <c r="T25" s="724">
        <v>30403</v>
      </c>
    </row>
    <row r="26" spans="1:45">
      <c r="A26" s="150">
        <v>207</v>
      </c>
      <c r="B26" s="54">
        <v>147.44999999999999</v>
      </c>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t="s">
        <v>3486</v>
      </c>
      <c r="Q26" s="21">
        <f t="shared" ref="Q26:Q89" si="19">(SUMIF($17:$17,P26,$18:$18)-SUMIF($17:$17,$P$24,$18:$18)+100)/100</f>
        <v>0.7</v>
      </c>
      <c r="R26" s="662">
        <f t="shared" ref="R26:R89" si="20">IF(B26="",0,ROUND($R$24*C26*E26*G26*I26*K26*M26*O26*Q26,0))</f>
        <v>29110</v>
      </c>
      <c r="S26" s="316">
        <f t="shared" si="11"/>
        <v>429</v>
      </c>
    </row>
    <row r="27" spans="1:45">
      <c r="A27" s="150">
        <v>208</v>
      </c>
      <c r="B27" s="54">
        <v>138.75</v>
      </c>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t="s">
        <v>3486</v>
      </c>
      <c r="Q27" s="21">
        <f t="shared" si="19"/>
        <v>0.7</v>
      </c>
      <c r="R27" s="662">
        <f t="shared" si="20"/>
        <v>29110</v>
      </c>
      <c r="S27" s="316">
        <f t="shared" si="11"/>
        <v>404</v>
      </c>
    </row>
    <row r="28" spans="1:45">
      <c r="A28" s="150"/>
      <c r="B28" s="54"/>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c r="Q28" s="21">
        <f t="shared" si="19"/>
        <v>0</v>
      </c>
      <c r="R28" s="662">
        <f t="shared" si="20"/>
        <v>0</v>
      </c>
      <c r="S28" s="316">
        <f t="shared" si="11"/>
        <v>0</v>
      </c>
    </row>
    <row r="29" spans="1:45">
      <c r="A29" s="150"/>
      <c r="B29" s="54"/>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c r="Q29" s="21">
        <f t="shared" si="19"/>
        <v>0</v>
      </c>
      <c r="R29" s="662">
        <f t="shared" si="20"/>
        <v>0</v>
      </c>
      <c r="S29" s="316">
        <f t="shared" si="11"/>
        <v>0</v>
      </c>
    </row>
    <row r="30" spans="1:45">
      <c r="A30" s="150"/>
      <c r="B30" s="54"/>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c r="Q30" s="21">
        <f t="shared" si="19"/>
        <v>0</v>
      </c>
      <c r="R30" s="662">
        <f t="shared" si="20"/>
        <v>0</v>
      </c>
      <c r="S30" s="316">
        <f t="shared" si="11"/>
        <v>0</v>
      </c>
    </row>
    <row r="31" spans="1:45">
      <c r="A31" s="150"/>
      <c r="B31" s="54"/>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c r="Q31" s="21">
        <f t="shared" si="19"/>
        <v>0</v>
      </c>
      <c r="R31" s="662">
        <f t="shared" si="20"/>
        <v>0</v>
      </c>
      <c r="S31" s="316">
        <f t="shared" si="11"/>
        <v>0</v>
      </c>
    </row>
    <row r="32" spans="1:45">
      <c r="A32" s="150"/>
      <c r="B32" s="54"/>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c r="Q32" s="21">
        <f t="shared" si="19"/>
        <v>0</v>
      </c>
      <c r="R32" s="662">
        <f t="shared" si="20"/>
        <v>0</v>
      </c>
      <c r="S32" s="316">
        <f t="shared" si="11"/>
        <v>0</v>
      </c>
    </row>
    <row r="33" spans="1:19">
      <c r="A33" s="150"/>
      <c r="B33" s="54"/>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0</v>
      </c>
      <c r="R33" s="662">
        <f t="shared" si="20"/>
        <v>0</v>
      </c>
      <c r="S33" s="316">
        <f t="shared" si="11"/>
        <v>0</v>
      </c>
    </row>
    <row r="34" spans="1:19">
      <c r="A34" s="150"/>
      <c r="B34" s="54"/>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0</v>
      </c>
      <c r="R34" s="662">
        <f t="shared" si="20"/>
        <v>0</v>
      </c>
      <c r="S34" s="316">
        <f t="shared" si="11"/>
        <v>0</v>
      </c>
    </row>
    <row r="35" spans="1:19">
      <c r="A35" s="150"/>
      <c r="B35" s="54"/>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0</v>
      </c>
      <c r="R35" s="662">
        <f t="shared" si="20"/>
        <v>0</v>
      </c>
      <c r="S35" s="316">
        <f t="shared" si="11"/>
        <v>0</v>
      </c>
    </row>
    <row r="36" spans="1:19">
      <c r="A36" s="150"/>
      <c r="B36" s="54"/>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0</v>
      </c>
      <c r="R36" s="662">
        <f t="shared" si="20"/>
        <v>0</v>
      </c>
      <c r="S36" s="316">
        <f t="shared" si="11"/>
        <v>0</v>
      </c>
    </row>
    <row r="37" spans="1:19">
      <c r="A37" s="150"/>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0</v>
      </c>
      <c r="R37" s="662">
        <f t="shared" si="20"/>
        <v>0</v>
      </c>
      <c r="S37" s="316">
        <f t="shared" si="11"/>
        <v>0</v>
      </c>
    </row>
    <row r="38" spans="1:19">
      <c r="A38" s="150"/>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0</v>
      </c>
      <c r="R38" s="662">
        <f t="shared" si="20"/>
        <v>0</v>
      </c>
      <c r="S38" s="316">
        <f t="shared" si="11"/>
        <v>0</v>
      </c>
    </row>
    <row r="39" spans="1:19">
      <c r="A39" s="150"/>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0</v>
      </c>
      <c r="R39" s="662">
        <f t="shared" si="20"/>
        <v>0</v>
      </c>
      <c r="S39" s="316">
        <f t="shared" si="11"/>
        <v>0</v>
      </c>
    </row>
    <row r="40" spans="1:19">
      <c r="A40" s="150"/>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0</v>
      </c>
      <c r="R40" s="662">
        <f t="shared" si="20"/>
        <v>0</v>
      </c>
      <c r="S40" s="316">
        <f t="shared" si="11"/>
        <v>0</v>
      </c>
    </row>
    <row r="41" spans="1:19">
      <c r="A41" s="150"/>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0</v>
      </c>
      <c r="R41" s="662">
        <f t="shared" si="20"/>
        <v>0</v>
      </c>
      <c r="S41" s="316">
        <f t="shared" si="11"/>
        <v>0</v>
      </c>
    </row>
    <row r="42" spans="1:19">
      <c r="A42" s="150"/>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0</v>
      </c>
      <c r="R42" s="662">
        <f t="shared" si="20"/>
        <v>0</v>
      </c>
      <c r="S42" s="316">
        <f t="shared" si="11"/>
        <v>0</v>
      </c>
    </row>
    <row r="43" spans="1:19">
      <c r="A43" s="150"/>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0</v>
      </c>
      <c r="R43" s="662">
        <f t="shared" si="20"/>
        <v>0</v>
      </c>
      <c r="S43" s="316">
        <f t="shared" si="11"/>
        <v>0</v>
      </c>
    </row>
    <row r="44" spans="1:19">
      <c r="A44" s="150"/>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0</v>
      </c>
      <c r="R44" s="662">
        <f t="shared" si="20"/>
        <v>0</v>
      </c>
      <c r="S44" s="316">
        <f t="shared" si="11"/>
        <v>0</v>
      </c>
    </row>
    <row r="45" spans="1:19">
      <c r="A45" s="150"/>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0</v>
      </c>
      <c r="R45" s="662">
        <f t="shared" si="20"/>
        <v>0</v>
      </c>
      <c r="S45" s="316">
        <f t="shared" si="11"/>
        <v>0</v>
      </c>
    </row>
    <row r="46" spans="1:19">
      <c r="A46" s="150"/>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0</v>
      </c>
      <c r="R46" s="662">
        <f t="shared" si="20"/>
        <v>0</v>
      </c>
      <c r="S46" s="316">
        <f t="shared" si="11"/>
        <v>0</v>
      </c>
    </row>
    <row r="47" spans="1:19">
      <c r="A47" s="150"/>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0</v>
      </c>
      <c r="R47" s="662">
        <f t="shared" si="20"/>
        <v>0</v>
      </c>
      <c r="S47" s="316">
        <f t="shared" si="11"/>
        <v>0</v>
      </c>
    </row>
    <row r="48" spans="1:19">
      <c r="A48" s="150"/>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0</v>
      </c>
      <c r="R48" s="662">
        <f t="shared" si="20"/>
        <v>0</v>
      </c>
      <c r="S48" s="316">
        <f t="shared" si="11"/>
        <v>0</v>
      </c>
    </row>
    <row r="49" spans="1:19">
      <c r="A49" s="150"/>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0</v>
      </c>
      <c r="R49" s="662">
        <f t="shared" si="20"/>
        <v>0</v>
      </c>
      <c r="S49" s="316">
        <f t="shared" si="11"/>
        <v>0</v>
      </c>
    </row>
    <row r="50" spans="1:19">
      <c r="A50" s="150"/>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0</v>
      </c>
      <c r="R50" s="662">
        <f t="shared" si="20"/>
        <v>0</v>
      </c>
      <c r="S50" s="316">
        <f t="shared" si="11"/>
        <v>0</v>
      </c>
    </row>
    <row r="51" spans="1:19">
      <c r="A51" s="150"/>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0</v>
      </c>
      <c r="R51" s="662">
        <f t="shared" si="20"/>
        <v>0</v>
      </c>
      <c r="S51" s="316">
        <f t="shared" si="11"/>
        <v>0</v>
      </c>
    </row>
    <row r="52" spans="1:19">
      <c r="A52" s="150"/>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0</v>
      </c>
      <c r="R52" s="662">
        <f t="shared" si="20"/>
        <v>0</v>
      </c>
      <c r="S52" s="316">
        <f t="shared" si="11"/>
        <v>0</v>
      </c>
    </row>
    <row r="53" spans="1:19">
      <c r="A53" s="150"/>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0</v>
      </c>
      <c r="R53" s="662">
        <f t="shared" si="20"/>
        <v>0</v>
      </c>
      <c r="S53" s="316">
        <f t="shared" si="11"/>
        <v>0</v>
      </c>
    </row>
    <row r="54" spans="1:19">
      <c r="A54" s="150"/>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0</v>
      </c>
      <c r="R54" s="662">
        <f t="shared" si="20"/>
        <v>0</v>
      </c>
      <c r="S54" s="316">
        <f t="shared" si="11"/>
        <v>0</v>
      </c>
    </row>
    <row r="55" spans="1:19">
      <c r="A55" s="150"/>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0</v>
      </c>
      <c r="R55" s="662">
        <f t="shared" si="20"/>
        <v>0</v>
      </c>
      <c r="S55" s="316">
        <f t="shared" ref="S55:S77" si="21">ROUND(R55*B55/10000,0)</f>
        <v>0</v>
      </c>
    </row>
    <row r="56" spans="1:19">
      <c r="A56" s="150"/>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0</v>
      </c>
      <c r="R56" s="662">
        <f t="shared" si="20"/>
        <v>0</v>
      </c>
      <c r="S56" s="316">
        <f t="shared" si="21"/>
        <v>0</v>
      </c>
    </row>
    <row r="57" spans="1:19">
      <c r="A57" s="150"/>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0</v>
      </c>
      <c r="R57" s="662">
        <f t="shared" si="20"/>
        <v>0</v>
      </c>
      <c r="S57" s="316">
        <f t="shared" si="21"/>
        <v>0</v>
      </c>
    </row>
    <row r="58" spans="1:19">
      <c r="A58" s="150"/>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0</v>
      </c>
      <c r="R58" s="662">
        <f t="shared" si="20"/>
        <v>0</v>
      </c>
      <c r="S58" s="316">
        <f t="shared" si="21"/>
        <v>0</v>
      </c>
    </row>
    <row r="59" spans="1:19">
      <c r="A59" s="150"/>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0</v>
      </c>
      <c r="R59" s="662">
        <f t="shared" si="20"/>
        <v>0</v>
      </c>
      <c r="S59" s="316">
        <f t="shared" si="21"/>
        <v>0</v>
      </c>
    </row>
    <row r="60" spans="1:19">
      <c r="A60" s="150"/>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0</v>
      </c>
      <c r="R60" s="662">
        <f t="shared" si="20"/>
        <v>0</v>
      </c>
      <c r="S60" s="316">
        <f t="shared" si="21"/>
        <v>0</v>
      </c>
    </row>
    <row r="61" spans="1:19">
      <c r="A61" s="150"/>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0</v>
      </c>
      <c r="R61" s="662">
        <f t="shared" si="20"/>
        <v>0</v>
      </c>
      <c r="S61" s="316">
        <f t="shared" si="21"/>
        <v>0</v>
      </c>
    </row>
    <row r="62" spans="1:19">
      <c r="A62" s="150"/>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0</v>
      </c>
      <c r="R62" s="662">
        <f t="shared" si="20"/>
        <v>0</v>
      </c>
      <c r="S62" s="316">
        <f t="shared" si="21"/>
        <v>0</v>
      </c>
    </row>
    <row r="63" spans="1:19">
      <c r="A63" s="150"/>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0</v>
      </c>
      <c r="R63" s="662">
        <f t="shared" si="20"/>
        <v>0</v>
      </c>
      <c r="S63" s="316">
        <f t="shared" si="21"/>
        <v>0</v>
      </c>
    </row>
    <row r="64" spans="1:19">
      <c r="A64" s="150"/>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0</v>
      </c>
      <c r="R64" s="662">
        <f t="shared" si="20"/>
        <v>0</v>
      </c>
      <c r="S64" s="316">
        <f t="shared" si="21"/>
        <v>0</v>
      </c>
    </row>
    <row r="65" spans="1:19">
      <c r="A65" s="150"/>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0</v>
      </c>
      <c r="R65" s="662">
        <f t="shared" si="20"/>
        <v>0</v>
      </c>
      <c r="S65" s="316">
        <f t="shared" si="21"/>
        <v>0</v>
      </c>
    </row>
    <row r="66" spans="1:19">
      <c r="A66" s="150"/>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0</v>
      </c>
      <c r="R66" s="662">
        <f t="shared" si="20"/>
        <v>0</v>
      </c>
      <c r="S66" s="316">
        <f t="shared" si="21"/>
        <v>0</v>
      </c>
    </row>
    <row r="67" spans="1:19">
      <c r="A67" s="150"/>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0</v>
      </c>
      <c r="R67" s="662">
        <f t="shared" si="20"/>
        <v>0</v>
      </c>
      <c r="S67" s="316">
        <f t="shared" si="21"/>
        <v>0</v>
      </c>
    </row>
    <row r="68" spans="1:19">
      <c r="A68" s="150"/>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0</v>
      </c>
      <c r="R68" s="662">
        <f t="shared" si="20"/>
        <v>0</v>
      </c>
      <c r="S68" s="316">
        <f t="shared" si="21"/>
        <v>0</v>
      </c>
    </row>
    <row r="69" spans="1:19">
      <c r="A69" s="150"/>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0</v>
      </c>
      <c r="R69" s="662">
        <f t="shared" si="20"/>
        <v>0</v>
      </c>
      <c r="S69" s="316">
        <f t="shared" si="21"/>
        <v>0</v>
      </c>
    </row>
    <row r="70" spans="1:19">
      <c r="A70" s="150"/>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0</v>
      </c>
      <c r="R70" s="662">
        <f t="shared" si="20"/>
        <v>0</v>
      </c>
      <c r="S70" s="316">
        <f t="shared" si="21"/>
        <v>0</v>
      </c>
    </row>
    <row r="71" spans="1:19">
      <c r="A71" s="150"/>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0</v>
      </c>
      <c r="R71" s="662">
        <f t="shared" si="20"/>
        <v>0</v>
      </c>
      <c r="S71" s="316">
        <f t="shared" si="21"/>
        <v>0</v>
      </c>
    </row>
    <row r="72" spans="1:19">
      <c r="A72" s="150"/>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0</v>
      </c>
      <c r="R72" s="662">
        <f t="shared" si="20"/>
        <v>0</v>
      </c>
      <c r="S72" s="316">
        <f t="shared" si="21"/>
        <v>0</v>
      </c>
    </row>
    <row r="73" spans="1:19">
      <c r="A73" s="150"/>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0</v>
      </c>
      <c r="R73" s="662">
        <f t="shared" si="20"/>
        <v>0</v>
      </c>
      <c r="S73" s="316">
        <f t="shared" si="21"/>
        <v>0</v>
      </c>
    </row>
    <row r="74" spans="1:19">
      <c r="A74" s="150"/>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0</v>
      </c>
      <c r="R74" s="662">
        <f t="shared" si="20"/>
        <v>0</v>
      </c>
      <c r="S74" s="316">
        <f t="shared" si="21"/>
        <v>0</v>
      </c>
    </row>
    <row r="75" spans="1:19">
      <c r="A75" s="150"/>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0</v>
      </c>
      <c r="R75" s="662">
        <f t="shared" si="20"/>
        <v>0</v>
      </c>
      <c r="S75" s="316">
        <f t="shared" si="21"/>
        <v>0</v>
      </c>
    </row>
    <row r="76" spans="1:19">
      <c r="A76" s="150"/>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0</v>
      </c>
      <c r="R76" s="662">
        <f t="shared" si="20"/>
        <v>0</v>
      </c>
      <c r="S76" s="316">
        <f t="shared" si="21"/>
        <v>0</v>
      </c>
    </row>
    <row r="77" spans="1:19">
      <c r="A77" s="150"/>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0</v>
      </c>
      <c r="R77" s="662">
        <f t="shared" si="20"/>
        <v>0</v>
      </c>
      <c r="S77" s="316">
        <f t="shared" si="21"/>
        <v>0</v>
      </c>
    </row>
    <row r="78" spans="1:19">
      <c r="A78" s="150"/>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0</v>
      </c>
      <c r="R78" s="662">
        <f t="shared" si="20"/>
        <v>0</v>
      </c>
      <c r="S78" s="316">
        <f t="shared" ref="S78:S122" si="22">ROUND(R78*B78/10000,0)</f>
        <v>0</v>
      </c>
    </row>
    <row r="79" spans="1:19">
      <c r="A79" s="150"/>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0</v>
      </c>
      <c r="R79" s="662">
        <f t="shared" si="20"/>
        <v>0</v>
      </c>
      <c r="S79" s="316">
        <f t="shared" si="22"/>
        <v>0</v>
      </c>
    </row>
    <row r="80" spans="1:19">
      <c r="A80" s="150"/>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0</v>
      </c>
      <c r="R80" s="662">
        <f t="shared" si="20"/>
        <v>0</v>
      </c>
      <c r="S80" s="316">
        <f t="shared" si="22"/>
        <v>0</v>
      </c>
    </row>
    <row r="81" spans="1:19">
      <c r="A81" s="150"/>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0</v>
      </c>
      <c r="R81" s="662">
        <f t="shared" si="20"/>
        <v>0</v>
      </c>
      <c r="S81" s="316">
        <f t="shared" si="22"/>
        <v>0</v>
      </c>
    </row>
    <row r="82" spans="1:19">
      <c r="A82" s="150"/>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0</v>
      </c>
      <c r="R82" s="662">
        <f t="shared" si="20"/>
        <v>0</v>
      </c>
      <c r="S82" s="316">
        <f t="shared" si="22"/>
        <v>0</v>
      </c>
    </row>
    <row r="83" spans="1:19">
      <c r="A83" s="150"/>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0</v>
      </c>
      <c r="R83" s="662">
        <f t="shared" si="20"/>
        <v>0</v>
      </c>
      <c r="S83" s="316">
        <f t="shared" si="22"/>
        <v>0</v>
      </c>
    </row>
    <row r="84" spans="1:19">
      <c r="A84" s="150"/>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0</v>
      </c>
      <c r="R84" s="662">
        <f t="shared" si="20"/>
        <v>0</v>
      </c>
      <c r="S84" s="316">
        <f t="shared" si="22"/>
        <v>0</v>
      </c>
    </row>
    <row r="85" spans="1:19">
      <c r="A85" s="150"/>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0</v>
      </c>
      <c r="R85" s="662">
        <f t="shared" si="20"/>
        <v>0</v>
      </c>
      <c r="S85" s="316">
        <f t="shared" si="22"/>
        <v>0</v>
      </c>
    </row>
    <row r="86" spans="1:19">
      <c r="A86" s="150"/>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0</v>
      </c>
      <c r="R86" s="662">
        <f t="shared" si="20"/>
        <v>0</v>
      </c>
      <c r="S86" s="316">
        <f t="shared" si="22"/>
        <v>0</v>
      </c>
    </row>
    <row r="87" spans="1:19">
      <c r="A87" s="150"/>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0</v>
      </c>
      <c r="R87" s="662">
        <f t="shared" si="20"/>
        <v>0</v>
      </c>
      <c r="S87" s="316">
        <f t="shared" si="22"/>
        <v>0</v>
      </c>
    </row>
    <row r="88" spans="1:19">
      <c r="A88" s="150"/>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0</v>
      </c>
      <c r="R88" s="662">
        <f t="shared" si="20"/>
        <v>0</v>
      </c>
      <c r="S88" s="316">
        <f t="shared" si="22"/>
        <v>0</v>
      </c>
    </row>
    <row r="89" spans="1:19">
      <c r="A89" s="150"/>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0</v>
      </c>
      <c r="R89" s="662">
        <f t="shared" si="20"/>
        <v>0</v>
      </c>
      <c r="S89" s="316">
        <f t="shared" si="22"/>
        <v>0</v>
      </c>
    </row>
    <row r="90" spans="1:19">
      <c r="A90" s="150"/>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0</v>
      </c>
      <c r="R90" s="662">
        <f t="shared" ref="R90:R153" si="31">IF(B90="",0,ROUND($R$24*C90*E90*G90*I90*K90*M90*O90*Q90,0))</f>
        <v>0</v>
      </c>
      <c r="S90" s="316">
        <f t="shared" si="22"/>
        <v>0</v>
      </c>
    </row>
    <row r="91" spans="1:19">
      <c r="A91" s="150"/>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0</v>
      </c>
      <c r="R91" s="662">
        <f t="shared" si="31"/>
        <v>0</v>
      </c>
      <c r="S91" s="316">
        <f t="shared" si="22"/>
        <v>0</v>
      </c>
    </row>
    <row r="92" spans="1:19">
      <c r="A92" s="150"/>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0</v>
      </c>
      <c r="R92" s="662">
        <f t="shared" si="31"/>
        <v>0</v>
      </c>
      <c r="S92" s="316">
        <f t="shared" si="22"/>
        <v>0</v>
      </c>
    </row>
    <row r="93" spans="1:19">
      <c r="A93" s="150"/>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0</v>
      </c>
      <c r="R93" s="662">
        <f t="shared" si="31"/>
        <v>0</v>
      </c>
      <c r="S93" s="316">
        <f t="shared" si="22"/>
        <v>0</v>
      </c>
    </row>
    <row r="94" spans="1:19">
      <c r="A94" s="150"/>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0</v>
      </c>
      <c r="R94" s="662">
        <f t="shared" si="31"/>
        <v>0</v>
      </c>
      <c r="S94" s="316">
        <f t="shared" si="22"/>
        <v>0</v>
      </c>
    </row>
    <row r="95" spans="1:19">
      <c r="A95" s="150"/>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0</v>
      </c>
      <c r="R95" s="662">
        <f t="shared" si="31"/>
        <v>0</v>
      </c>
      <c r="S95" s="316">
        <f t="shared" si="22"/>
        <v>0</v>
      </c>
    </row>
    <row r="96" spans="1:19">
      <c r="A96" s="150"/>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0</v>
      </c>
      <c r="R96" s="662">
        <f t="shared" si="31"/>
        <v>0</v>
      </c>
      <c r="S96" s="316">
        <f t="shared" si="22"/>
        <v>0</v>
      </c>
    </row>
    <row r="97" spans="1:19">
      <c r="A97" s="150"/>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0</v>
      </c>
      <c r="R97" s="662">
        <f t="shared" si="31"/>
        <v>0</v>
      </c>
      <c r="S97" s="316">
        <f t="shared" si="22"/>
        <v>0</v>
      </c>
    </row>
    <row r="98" spans="1:19">
      <c r="A98" s="150"/>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0</v>
      </c>
      <c r="R98" s="662">
        <f t="shared" si="31"/>
        <v>0</v>
      </c>
      <c r="S98" s="316">
        <f t="shared" si="22"/>
        <v>0</v>
      </c>
    </row>
    <row r="99" spans="1:19">
      <c r="A99" s="150"/>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0</v>
      </c>
      <c r="R99" s="662">
        <f t="shared" si="31"/>
        <v>0</v>
      </c>
      <c r="S99" s="316">
        <f t="shared" si="22"/>
        <v>0</v>
      </c>
    </row>
    <row r="100" spans="1:19">
      <c r="A100" s="150"/>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0</v>
      </c>
      <c r="R100" s="662">
        <f t="shared" si="31"/>
        <v>0</v>
      </c>
      <c r="S100" s="316">
        <f t="shared" si="22"/>
        <v>0</v>
      </c>
    </row>
    <row r="101" spans="1:19">
      <c r="A101" s="150"/>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0</v>
      </c>
      <c r="R101" s="662">
        <f t="shared" si="31"/>
        <v>0</v>
      </c>
      <c r="S101" s="316">
        <f t="shared" si="22"/>
        <v>0</v>
      </c>
    </row>
    <row r="102" spans="1:19">
      <c r="A102" s="150"/>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0</v>
      </c>
      <c r="R102" s="662">
        <f t="shared" si="31"/>
        <v>0</v>
      </c>
      <c r="S102" s="316">
        <f t="shared" si="22"/>
        <v>0</v>
      </c>
    </row>
    <row r="103" spans="1:19">
      <c r="A103" s="150"/>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0</v>
      </c>
      <c r="R103" s="662">
        <f t="shared" si="31"/>
        <v>0</v>
      </c>
      <c r="S103" s="316">
        <f t="shared" si="22"/>
        <v>0</v>
      </c>
    </row>
    <row r="104" spans="1:19">
      <c r="A104" s="150"/>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0</v>
      </c>
      <c r="R104" s="662">
        <f t="shared" si="31"/>
        <v>0</v>
      </c>
      <c r="S104" s="316">
        <f t="shared" si="22"/>
        <v>0</v>
      </c>
    </row>
    <row r="105" spans="1:19">
      <c r="A105" s="150"/>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0</v>
      </c>
      <c r="R105" s="662">
        <f t="shared" si="31"/>
        <v>0</v>
      </c>
      <c r="S105" s="316">
        <f t="shared" si="22"/>
        <v>0</v>
      </c>
    </row>
    <row r="106" spans="1:19">
      <c r="A106" s="150"/>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0</v>
      </c>
      <c r="R106" s="662">
        <f t="shared" si="31"/>
        <v>0</v>
      </c>
      <c r="S106" s="316">
        <f t="shared" si="22"/>
        <v>0</v>
      </c>
    </row>
    <row r="107" spans="1:19">
      <c r="A107" s="150"/>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0</v>
      </c>
      <c r="R107" s="662">
        <f t="shared" si="31"/>
        <v>0</v>
      </c>
      <c r="S107" s="316">
        <f t="shared" si="22"/>
        <v>0</v>
      </c>
    </row>
    <row r="108" spans="1:19">
      <c r="A108" s="150"/>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0</v>
      </c>
      <c r="R108" s="662">
        <f t="shared" si="31"/>
        <v>0</v>
      </c>
      <c r="S108" s="316">
        <f t="shared" si="22"/>
        <v>0</v>
      </c>
    </row>
    <row r="109" spans="1:19">
      <c r="A109" s="150"/>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0</v>
      </c>
      <c r="R109" s="662">
        <f t="shared" si="31"/>
        <v>0</v>
      </c>
      <c r="S109" s="316">
        <f t="shared" si="22"/>
        <v>0</v>
      </c>
    </row>
    <row r="110" spans="1:19">
      <c r="A110" s="150"/>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0</v>
      </c>
      <c r="R110" s="662">
        <f t="shared" si="31"/>
        <v>0</v>
      </c>
      <c r="S110" s="316">
        <f t="shared" si="22"/>
        <v>0</v>
      </c>
    </row>
    <row r="111" spans="1:19">
      <c r="A111" s="150"/>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0</v>
      </c>
      <c r="R111" s="662">
        <f t="shared" si="31"/>
        <v>0</v>
      </c>
      <c r="S111" s="316">
        <f t="shared" si="22"/>
        <v>0</v>
      </c>
    </row>
    <row r="112" spans="1:19">
      <c r="A112" s="150"/>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0</v>
      </c>
      <c r="R112" s="662">
        <f t="shared" si="31"/>
        <v>0</v>
      </c>
      <c r="S112" s="316">
        <f t="shared" si="22"/>
        <v>0</v>
      </c>
    </row>
    <row r="113" spans="1:19">
      <c r="A113" s="150"/>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0</v>
      </c>
      <c r="R113" s="662">
        <f t="shared" si="31"/>
        <v>0</v>
      </c>
      <c r="S113" s="316">
        <f t="shared" si="22"/>
        <v>0</v>
      </c>
    </row>
    <row r="114" spans="1:19">
      <c r="A114" s="150"/>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0</v>
      </c>
      <c r="R114" s="662">
        <f t="shared" si="31"/>
        <v>0</v>
      </c>
      <c r="S114" s="316">
        <f t="shared" si="22"/>
        <v>0</v>
      </c>
    </row>
    <row r="115" spans="1:19">
      <c r="A115" s="150"/>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0</v>
      </c>
      <c r="R115" s="662">
        <f t="shared" si="31"/>
        <v>0</v>
      </c>
      <c r="S115" s="316">
        <f t="shared" si="22"/>
        <v>0</v>
      </c>
    </row>
    <row r="116" spans="1:19">
      <c r="A116" s="150"/>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0</v>
      </c>
      <c r="R116" s="662">
        <f t="shared" si="31"/>
        <v>0</v>
      </c>
      <c r="S116" s="316">
        <f t="shared" si="22"/>
        <v>0</v>
      </c>
    </row>
    <row r="117" spans="1:19">
      <c r="A117" s="150"/>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0</v>
      </c>
      <c r="R117" s="662">
        <f t="shared" si="31"/>
        <v>0</v>
      </c>
      <c r="S117" s="316">
        <f t="shared" si="22"/>
        <v>0</v>
      </c>
    </row>
    <row r="118" spans="1:19">
      <c r="A118" s="150"/>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0</v>
      </c>
      <c r="R118" s="662">
        <f t="shared" si="31"/>
        <v>0</v>
      </c>
      <c r="S118" s="316">
        <f t="shared" si="22"/>
        <v>0</v>
      </c>
    </row>
    <row r="119" spans="1:19">
      <c r="A119" s="150"/>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0</v>
      </c>
      <c r="R119" s="662">
        <f t="shared" si="31"/>
        <v>0</v>
      </c>
      <c r="S119" s="316">
        <f t="shared" si="22"/>
        <v>0</v>
      </c>
    </row>
    <row r="120" spans="1:19">
      <c r="A120" s="150"/>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0</v>
      </c>
      <c r="R120" s="662">
        <f t="shared" si="31"/>
        <v>0</v>
      </c>
      <c r="S120" s="316">
        <f t="shared" si="22"/>
        <v>0</v>
      </c>
    </row>
    <row r="121" spans="1:19">
      <c r="A121" s="150"/>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0</v>
      </c>
      <c r="R121" s="662">
        <f t="shared" si="31"/>
        <v>0</v>
      </c>
      <c r="S121" s="316">
        <f t="shared" si="22"/>
        <v>0</v>
      </c>
    </row>
    <row r="122" spans="1:19">
      <c r="A122" s="150"/>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0</v>
      </c>
      <c r="R122" s="662">
        <f t="shared" si="31"/>
        <v>0</v>
      </c>
      <c r="S122" s="316">
        <f t="shared" si="22"/>
        <v>0</v>
      </c>
    </row>
    <row r="123" spans="1:19">
      <c r="A123" s="150"/>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0</v>
      </c>
      <c r="R123" s="662">
        <f t="shared" si="31"/>
        <v>0</v>
      </c>
      <c r="S123" s="316">
        <f t="shared" ref="S123:S186" si="32">ROUND(R123*B123/10000,0)</f>
        <v>0</v>
      </c>
    </row>
    <row r="124" spans="1:19">
      <c r="A124" s="150"/>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0</v>
      </c>
      <c r="R124" s="662">
        <f t="shared" si="31"/>
        <v>0</v>
      </c>
      <c r="S124" s="316">
        <f t="shared" si="32"/>
        <v>0</v>
      </c>
    </row>
    <row r="125" spans="1:19">
      <c r="A125" s="150"/>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0</v>
      </c>
      <c r="R125" s="662">
        <f t="shared" si="31"/>
        <v>0</v>
      </c>
      <c r="S125" s="316">
        <f t="shared" si="32"/>
        <v>0</v>
      </c>
    </row>
    <row r="126" spans="1:19">
      <c r="A126" s="150"/>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0</v>
      </c>
      <c r="R126" s="662">
        <f t="shared" si="31"/>
        <v>0</v>
      </c>
      <c r="S126" s="316">
        <f t="shared" si="32"/>
        <v>0</v>
      </c>
    </row>
    <row r="127" spans="1:19">
      <c r="A127" s="150"/>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0</v>
      </c>
      <c r="R127" s="662">
        <f t="shared" si="31"/>
        <v>0</v>
      </c>
      <c r="S127" s="316">
        <f t="shared" si="32"/>
        <v>0</v>
      </c>
    </row>
    <row r="128" spans="1:19">
      <c r="A128" s="150"/>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0</v>
      </c>
      <c r="R128" s="662">
        <f t="shared" si="31"/>
        <v>0</v>
      </c>
      <c r="S128" s="316">
        <f t="shared" si="32"/>
        <v>0</v>
      </c>
    </row>
    <row r="129" spans="1:19">
      <c r="A129" s="150"/>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0</v>
      </c>
      <c r="R129" s="662">
        <f t="shared" si="31"/>
        <v>0</v>
      </c>
      <c r="S129" s="316">
        <f t="shared" si="32"/>
        <v>0</v>
      </c>
    </row>
    <row r="130" spans="1:19">
      <c r="A130" s="150"/>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0</v>
      </c>
      <c r="R130" s="662">
        <f t="shared" si="31"/>
        <v>0</v>
      </c>
      <c r="S130" s="316">
        <f t="shared" si="32"/>
        <v>0</v>
      </c>
    </row>
    <row r="131" spans="1:19">
      <c r="A131" s="150"/>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0</v>
      </c>
      <c r="R131" s="662">
        <f t="shared" si="31"/>
        <v>0</v>
      </c>
      <c r="S131" s="316">
        <f t="shared" si="32"/>
        <v>0</v>
      </c>
    </row>
    <row r="132" spans="1:19">
      <c r="A132" s="150"/>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0</v>
      </c>
      <c r="R132" s="662">
        <f t="shared" si="31"/>
        <v>0</v>
      </c>
      <c r="S132" s="316">
        <f t="shared" si="32"/>
        <v>0</v>
      </c>
    </row>
    <row r="133" spans="1:19">
      <c r="A133" s="150"/>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0</v>
      </c>
      <c r="R133" s="662">
        <f t="shared" si="31"/>
        <v>0</v>
      </c>
      <c r="S133" s="316">
        <f t="shared" si="32"/>
        <v>0</v>
      </c>
    </row>
    <row r="134" spans="1:19">
      <c r="A134" s="150"/>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0</v>
      </c>
      <c r="R134" s="662">
        <f t="shared" si="31"/>
        <v>0</v>
      </c>
      <c r="S134" s="316">
        <f t="shared" si="32"/>
        <v>0</v>
      </c>
    </row>
    <row r="135" spans="1:19">
      <c r="A135" s="150"/>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0</v>
      </c>
      <c r="R135" s="662">
        <f t="shared" si="31"/>
        <v>0</v>
      </c>
      <c r="S135" s="316">
        <f t="shared" si="32"/>
        <v>0</v>
      </c>
    </row>
    <row r="136" spans="1:19">
      <c r="A136" s="150"/>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0</v>
      </c>
      <c r="R136" s="662">
        <f t="shared" si="31"/>
        <v>0</v>
      </c>
      <c r="S136" s="316">
        <f t="shared" si="32"/>
        <v>0</v>
      </c>
    </row>
    <row r="137" spans="1:19">
      <c r="A137" s="150"/>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0</v>
      </c>
      <c r="R137" s="662">
        <f t="shared" si="31"/>
        <v>0</v>
      </c>
      <c r="S137" s="316">
        <f t="shared" si="32"/>
        <v>0</v>
      </c>
    </row>
    <row r="138" spans="1:19">
      <c r="A138" s="150"/>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0</v>
      </c>
      <c r="R138" s="662">
        <f t="shared" si="31"/>
        <v>0</v>
      </c>
      <c r="S138" s="316">
        <f t="shared" si="32"/>
        <v>0</v>
      </c>
    </row>
    <row r="139" spans="1:19">
      <c r="A139" s="150"/>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0</v>
      </c>
      <c r="R139" s="662">
        <f t="shared" si="31"/>
        <v>0</v>
      </c>
      <c r="S139" s="316">
        <f t="shared" si="32"/>
        <v>0</v>
      </c>
    </row>
    <row r="140" spans="1:19">
      <c r="A140" s="150"/>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0</v>
      </c>
      <c r="R140" s="662">
        <f t="shared" si="31"/>
        <v>0</v>
      </c>
      <c r="S140" s="316">
        <f t="shared" si="32"/>
        <v>0</v>
      </c>
    </row>
    <row r="141" spans="1:19">
      <c r="A141" s="150"/>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0</v>
      </c>
      <c r="R141" s="662">
        <f t="shared" si="31"/>
        <v>0</v>
      </c>
      <c r="S141" s="316">
        <f t="shared" si="32"/>
        <v>0</v>
      </c>
    </row>
    <row r="142" spans="1:19">
      <c r="A142" s="150"/>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0</v>
      </c>
      <c r="R142" s="662">
        <f t="shared" si="31"/>
        <v>0</v>
      </c>
      <c r="S142" s="316">
        <f t="shared" si="32"/>
        <v>0</v>
      </c>
    </row>
    <row r="143" spans="1:19">
      <c r="A143" s="150"/>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0</v>
      </c>
      <c r="R143" s="662">
        <f t="shared" si="31"/>
        <v>0</v>
      </c>
      <c r="S143" s="316">
        <f t="shared" si="32"/>
        <v>0</v>
      </c>
    </row>
    <row r="144" spans="1:19">
      <c r="A144" s="150"/>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0</v>
      </c>
      <c r="R144" s="662">
        <f t="shared" si="31"/>
        <v>0</v>
      </c>
      <c r="S144" s="316">
        <f t="shared" si="32"/>
        <v>0</v>
      </c>
    </row>
    <row r="145" spans="1:19">
      <c r="A145" s="150"/>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0</v>
      </c>
      <c r="R145" s="662">
        <f t="shared" si="31"/>
        <v>0</v>
      </c>
      <c r="S145" s="316">
        <f t="shared" si="32"/>
        <v>0</v>
      </c>
    </row>
    <row r="146" spans="1:19">
      <c r="A146" s="150"/>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0</v>
      </c>
      <c r="R146" s="662">
        <f t="shared" si="31"/>
        <v>0</v>
      </c>
      <c r="S146" s="316">
        <f t="shared" si="32"/>
        <v>0</v>
      </c>
    </row>
    <row r="147" spans="1:19">
      <c r="A147" s="150"/>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0</v>
      </c>
      <c r="R147" s="662">
        <f t="shared" si="31"/>
        <v>0</v>
      </c>
      <c r="S147" s="316">
        <f t="shared" si="32"/>
        <v>0</v>
      </c>
    </row>
    <row r="148" spans="1:19">
      <c r="A148" s="150"/>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0</v>
      </c>
      <c r="R148" s="662">
        <f t="shared" si="31"/>
        <v>0</v>
      </c>
      <c r="S148" s="316">
        <f t="shared" si="32"/>
        <v>0</v>
      </c>
    </row>
    <row r="149" spans="1:19">
      <c r="A149" s="150"/>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0</v>
      </c>
      <c r="R149" s="662">
        <f t="shared" si="31"/>
        <v>0</v>
      </c>
      <c r="S149" s="316">
        <f t="shared" si="32"/>
        <v>0</v>
      </c>
    </row>
    <row r="150" spans="1:19">
      <c r="A150" s="150"/>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0</v>
      </c>
      <c r="R150" s="662">
        <f t="shared" si="31"/>
        <v>0</v>
      </c>
      <c r="S150" s="316">
        <f t="shared" si="32"/>
        <v>0</v>
      </c>
    </row>
    <row r="151" spans="1:19">
      <c r="A151" s="150"/>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0</v>
      </c>
      <c r="R151" s="662">
        <f t="shared" si="31"/>
        <v>0</v>
      </c>
      <c r="S151" s="316">
        <f t="shared" si="32"/>
        <v>0</v>
      </c>
    </row>
    <row r="152" spans="1:19">
      <c r="A152" s="150"/>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0</v>
      </c>
      <c r="R152" s="662">
        <f t="shared" si="31"/>
        <v>0</v>
      </c>
      <c r="S152" s="316">
        <f t="shared" si="32"/>
        <v>0</v>
      </c>
    </row>
    <row r="153" spans="1:19">
      <c r="A153" s="150"/>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0</v>
      </c>
      <c r="R153" s="662">
        <f t="shared" si="31"/>
        <v>0</v>
      </c>
      <c r="S153" s="316">
        <f t="shared" si="32"/>
        <v>0</v>
      </c>
    </row>
    <row r="154" spans="1:19">
      <c r="A154" s="150"/>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0</v>
      </c>
      <c r="R154" s="662">
        <f t="shared" ref="R154:R217" si="41">IF(B154="",0,ROUND($R$24*C154*E154*G154*I154*K154*M154*O154*Q154,0))</f>
        <v>0</v>
      </c>
      <c r="S154" s="316">
        <f t="shared" si="32"/>
        <v>0</v>
      </c>
    </row>
    <row r="155" spans="1:19">
      <c r="A155" s="150"/>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0</v>
      </c>
      <c r="R155" s="662">
        <f t="shared" si="41"/>
        <v>0</v>
      </c>
      <c r="S155" s="316">
        <f t="shared" si="32"/>
        <v>0</v>
      </c>
    </row>
    <row r="156" spans="1:19">
      <c r="A156" s="150"/>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0</v>
      </c>
      <c r="R156" s="662">
        <f t="shared" si="41"/>
        <v>0</v>
      </c>
      <c r="S156" s="316">
        <f t="shared" si="32"/>
        <v>0</v>
      </c>
    </row>
    <row r="157" spans="1:19">
      <c r="A157" s="150"/>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0</v>
      </c>
      <c r="R157" s="662">
        <f t="shared" si="41"/>
        <v>0</v>
      </c>
      <c r="S157" s="316">
        <f t="shared" si="32"/>
        <v>0</v>
      </c>
    </row>
    <row r="158" spans="1:19">
      <c r="A158" s="150"/>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0</v>
      </c>
      <c r="R158" s="662">
        <f t="shared" si="41"/>
        <v>0</v>
      </c>
      <c r="S158" s="316">
        <f t="shared" si="32"/>
        <v>0</v>
      </c>
    </row>
    <row r="159" spans="1:19">
      <c r="A159" s="150"/>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0</v>
      </c>
      <c r="R159" s="662">
        <f t="shared" si="41"/>
        <v>0</v>
      </c>
      <c r="S159" s="316">
        <f t="shared" si="32"/>
        <v>0</v>
      </c>
    </row>
    <row r="160" spans="1:19">
      <c r="A160" s="150"/>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0</v>
      </c>
      <c r="R160" s="662">
        <f t="shared" si="41"/>
        <v>0</v>
      </c>
      <c r="S160" s="316">
        <f t="shared" si="32"/>
        <v>0</v>
      </c>
    </row>
    <row r="161" spans="1:19">
      <c r="A161" s="150"/>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0</v>
      </c>
      <c r="R161" s="662">
        <f t="shared" si="41"/>
        <v>0</v>
      </c>
      <c r="S161" s="316">
        <f t="shared" si="32"/>
        <v>0</v>
      </c>
    </row>
    <row r="162" spans="1:19">
      <c r="A162" s="150"/>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0</v>
      </c>
      <c r="R162" s="662">
        <f t="shared" si="41"/>
        <v>0</v>
      </c>
      <c r="S162" s="316">
        <f t="shared" si="32"/>
        <v>0</v>
      </c>
    </row>
    <row r="163" spans="1:19">
      <c r="A163" s="150"/>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0</v>
      </c>
      <c r="R163" s="662">
        <f t="shared" si="41"/>
        <v>0</v>
      </c>
      <c r="S163" s="316">
        <f t="shared" si="32"/>
        <v>0</v>
      </c>
    </row>
    <row r="164" spans="1:19">
      <c r="A164" s="150"/>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0</v>
      </c>
      <c r="R164" s="662">
        <f t="shared" si="41"/>
        <v>0</v>
      </c>
      <c r="S164" s="316">
        <f t="shared" si="32"/>
        <v>0</v>
      </c>
    </row>
    <row r="165" spans="1:19">
      <c r="A165" s="150"/>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0</v>
      </c>
      <c r="R165" s="662">
        <f t="shared" si="41"/>
        <v>0</v>
      </c>
      <c r="S165" s="316">
        <f t="shared" si="32"/>
        <v>0</v>
      </c>
    </row>
    <row r="166" spans="1:19">
      <c r="A166" s="150"/>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0</v>
      </c>
      <c r="R166" s="662">
        <f t="shared" si="41"/>
        <v>0</v>
      </c>
      <c r="S166" s="316">
        <f t="shared" si="32"/>
        <v>0</v>
      </c>
    </row>
    <row r="167" spans="1:19">
      <c r="A167" s="150"/>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0</v>
      </c>
      <c r="R167" s="662">
        <f t="shared" si="41"/>
        <v>0</v>
      </c>
      <c r="S167" s="316">
        <f t="shared" si="32"/>
        <v>0</v>
      </c>
    </row>
    <row r="168" spans="1:19">
      <c r="A168" s="150"/>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0</v>
      </c>
      <c r="R168" s="662">
        <f t="shared" si="41"/>
        <v>0</v>
      </c>
      <c r="S168" s="316">
        <f t="shared" si="32"/>
        <v>0</v>
      </c>
    </row>
    <row r="169" spans="1:19">
      <c r="A169" s="150"/>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0</v>
      </c>
      <c r="R169" s="662">
        <f t="shared" si="41"/>
        <v>0</v>
      </c>
      <c r="S169" s="316">
        <f t="shared" si="32"/>
        <v>0</v>
      </c>
    </row>
    <row r="170" spans="1:19">
      <c r="A170" s="150"/>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0</v>
      </c>
      <c r="R170" s="662">
        <f t="shared" si="41"/>
        <v>0</v>
      </c>
      <c r="S170" s="316">
        <f t="shared" si="32"/>
        <v>0</v>
      </c>
    </row>
    <row r="171" spans="1:19">
      <c r="A171" s="150"/>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0</v>
      </c>
      <c r="R171" s="662">
        <f t="shared" si="41"/>
        <v>0</v>
      </c>
      <c r="S171" s="316">
        <f t="shared" si="32"/>
        <v>0</v>
      </c>
    </row>
    <row r="172" spans="1:19">
      <c r="A172" s="150"/>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0</v>
      </c>
      <c r="R172" s="662">
        <f t="shared" si="41"/>
        <v>0</v>
      </c>
      <c r="S172" s="316">
        <f t="shared" si="32"/>
        <v>0</v>
      </c>
    </row>
    <row r="173" spans="1:19">
      <c r="A173" s="150"/>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0</v>
      </c>
      <c r="R173" s="662">
        <f t="shared" si="41"/>
        <v>0</v>
      </c>
      <c r="S173" s="316">
        <f t="shared" si="32"/>
        <v>0</v>
      </c>
    </row>
    <row r="174" spans="1:19">
      <c r="A174" s="150"/>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0</v>
      </c>
      <c r="R174" s="662">
        <f t="shared" si="41"/>
        <v>0</v>
      </c>
      <c r="S174" s="316">
        <f t="shared" si="32"/>
        <v>0</v>
      </c>
    </row>
    <row r="175" spans="1:19">
      <c r="A175" s="150"/>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0</v>
      </c>
      <c r="R175" s="662">
        <f t="shared" si="41"/>
        <v>0</v>
      </c>
      <c r="S175" s="316">
        <f t="shared" si="32"/>
        <v>0</v>
      </c>
    </row>
    <row r="176" spans="1:19">
      <c r="A176" s="150"/>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0</v>
      </c>
      <c r="R176" s="662">
        <f t="shared" si="41"/>
        <v>0</v>
      </c>
      <c r="S176" s="316">
        <f t="shared" si="32"/>
        <v>0</v>
      </c>
    </row>
    <row r="177" spans="1:19">
      <c r="A177" s="150"/>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0</v>
      </c>
      <c r="R177" s="662">
        <f t="shared" si="41"/>
        <v>0</v>
      </c>
      <c r="S177" s="316">
        <f t="shared" si="32"/>
        <v>0</v>
      </c>
    </row>
    <row r="178" spans="1:19">
      <c r="A178" s="150"/>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0</v>
      </c>
      <c r="R178" s="662">
        <f t="shared" si="41"/>
        <v>0</v>
      </c>
      <c r="S178" s="316">
        <f t="shared" si="32"/>
        <v>0</v>
      </c>
    </row>
    <row r="179" spans="1:19">
      <c r="A179" s="150"/>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0</v>
      </c>
      <c r="R179" s="662">
        <f t="shared" si="41"/>
        <v>0</v>
      </c>
      <c r="S179" s="316">
        <f t="shared" si="32"/>
        <v>0</v>
      </c>
    </row>
    <row r="180" spans="1:19">
      <c r="A180" s="150"/>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0</v>
      </c>
      <c r="R180" s="662">
        <f t="shared" si="41"/>
        <v>0</v>
      </c>
      <c r="S180" s="316">
        <f t="shared" si="32"/>
        <v>0</v>
      </c>
    </row>
    <row r="181" spans="1:19">
      <c r="A181" s="150"/>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0</v>
      </c>
      <c r="R181" s="662">
        <f t="shared" si="41"/>
        <v>0</v>
      </c>
      <c r="S181" s="316">
        <f t="shared" si="32"/>
        <v>0</v>
      </c>
    </row>
    <row r="182" spans="1:19">
      <c r="A182" s="150"/>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0</v>
      </c>
      <c r="R182" s="662">
        <f t="shared" si="41"/>
        <v>0</v>
      </c>
      <c r="S182" s="316">
        <f t="shared" si="32"/>
        <v>0</v>
      </c>
    </row>
    <row r="183" spans="1:19">
      <c r="A183" s="150"/>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0</v>
      </c>
      <c r="R183" s="662">
        <f t="shared" si="41"/>
        <v>0</v>
      </c>
      <c r="S183" s="316">
        <f t="shared" si="32"/>
        <v>0</v>
      </c>
    </row>
    <row r="184" spans="1:19">
      <c r="A184" s="150"/>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0</v>
      </c>
      <c r="R184" s="662">
        <f t="shared" si="41"/>
        <v>0</v>
      </c>
      <c r="S184" s="316">
        <f t="shared" si="32"/>
        <v>0</v>
      </c>
    </row>
    <row r="185" spans="1:19">
      <c r="A185" s="150"/>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0</v>
      </c>
      <c r="R185" s="662">
        <f t="shared" si="41"/>
        <v>0</v>
      </c>
      <c r="S185" s="316">
        <f t="shared" si="32"/>
        <v>0</v>
      </c>
    </row>
    <row r="186" spans="1:19">
      <c r="A186" s="150"/>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0</v>
      </c>
      <c r="R186" s="662">
        <f t="shared" si="41"/>
        <v>0</v>
      </c>
      <c r="S186" s="316">
        <f t="shared" si="32"/>
        <v>0</v>
      </c>
    </row>
    <row r="187" spans="1:19">
      <c r="A187" s="150"/>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0</v>
      </c>
      <c r="R187" s="662">
        <f t="shared" si="41"/>
        <v>0</v>
      </c>
      <c r="S187" s="316">
        <f t="shared" ref="S187:S222" si="42">ROUND(R187*B187/10000,0)</f>
        <v>0</v>
      </c>
    </row>
    <row r="188" spans="1:19">
      <c r="A188" s="150"/>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0</v>
      </c>
      <c r="R188" s="662">
        <f t="shared" si="41"/>
        <v>0</v>
      </c>
      <c r="S188" s="316">
        <f t="shared" si="42"/>
        <v>0</v>
      </c>
    </row>
    <row r="189" spans="1:19">
      <c r="A189" s="150"/>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0</v>
      </c>
      <c r="R189" s="662">
        <f t="shared" si="41"/>
        <v>0</v>
      </c>
      <c r="S189" s="316">
        <f t="shared" si="42"/>
        <v>0</v>
      </c>
    </row>
    <row r="190" spans="1:19">
      <c r="A190" s="150"/>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0</v>
      </c>
      <c r="R190" s="662">
        <f t="shared" si="41"/>
        <v>0</v>
      </c>
      <c r="S190" s="316">
        <f t="shared" si="42"/>
        <v>0</v>
      </c>
    </row>
    <row r="191" spans="1:19">
      <c r="A191" s="150"/>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0</v>
      </c>
      <c r="R191" s="662">
        <f t="shared" si="41"/>
        <v>0</v>
      </c>
      <c r="S191" s="316">
        <f t="shared" si="42"/>
        <v>0</v>
      </c>
    </row>
    <row r="192" spans="1:19">
      <c r="A192" s="150"/>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0</v>
      </c>
      <c r="R192" s="662">
        <f t="shared" si="41"/>
        <v>0</v>
      </c>
      <c r="S192" s="316">
        <f t="shared" si="42"/>
        <v>0</v>
      </c>
    </row>
    <row r="193" spans="1:19">
      <c r="A193" s="150"/>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0</v>
      </c>
      <c r="R193" s="662">
        <f t="shared" si="41"/>
        <v>0</v>
      </c>
      <c r="S193" s="316">
        <f t="shared" si="42"/>
        <v>0</v>
      </c>
    </row>
    <row r="194" spans="1:19">
      <c r="A194" s="150"/>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0</v>
      </c>
      <c r="R194" s="662">
        <f t="shared" si="41"/>
        <v>0</v>
      </c>
      <c r="S194" s="316">
        <f t="shared" si="42"/>
        <v>0</v>
      </c>
    </row>
    <row r="195" spans="1:19">
      <c r="A195" s="150"/>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0</v>
      </c>
      <c r="R195" s="662">
        <f t="shared" si="41"/>
        <v>0</v>
      </c>
      <c r="S195" s="316">
        <f t="shared" si="42"/>
        <v>0</v>
      </c>
    </row>
    <row r="196" spans="1:19">
      <c r="A196" s="150"/>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0</v>
      </c>
      <c r="R196" s="662">
        <f t="shared" si="41"/>
        <v>0</v>
      </c>
      <c r="S196" s="316">
        <f t="shared" si="42"/>
        <v>0</v>
      </c>
    </row>
    <row r="197" spans="1:19">
      <c r="A197" s="150"/>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0</v>
      </c>
      <c r="R197" s="662">
        <f t="shared" si="41"/>
        <v>0</v>
      </c>
      <c r="S197" s="316">
        <f t="shared" si="42"/>
        <v>0</v>
      </c>
    </row>
    <row r="198" spans="1:19">
      <c r="A198" s="150"/>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0</v>
      </c>
      <c r="R198" s="662">
        <f t="shared" si="41"/>
        <v>0</v>
      </c>
      <c r="S198" s="316">
        <f t="shared" si="42"/>
        <v>0</v>
      </c>
    </row>
    <row r="199" spans="1:19">
      <c r="A199" s="150"/>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0</v>
      </c>
      <c r="R199" s="662">
        <f t="shared" si="41"/>
        <v>0</v>
      </c>
      <c r="S199" s="316">
        <f t="shared" si="42"/>
        <v>0</v>
      </c>
    </row>
    <row r="200" spans="1:19">
      <c r="A200" s="150"/>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0</v>
      </c>
      <c r="R200" s="662">
        <f t="shared" si="41"/>
        <v>0</v>
      </c>
      <c r="S200" s="316">
        <f t="shared" si="42"/>
        <v>0</v>
      </c>
    </row>
    <row r="201" spans="1:19">
      <c r="A201" s="150"/>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0</v>
      </c>
      <c r="R201" s="662">
        <f t="shared" si="41"/>
        <v>0</v>
      </c>
      <c r="S201" s="316">
        <f t="shared" si="42"/>
        <v>0</v>
      </c>
    </row>
    <row r="202" spans="1:19">
      <c r="A202" s="150"/>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0</v>
      </c>
      <c r="R202" s="662">
        <f t="shared" si="41"/>
        <v>0</v>
      </c>
      <c r="S202" s="316">
        <f t="shared" si="42"/>
        <v>0</v>
      </c>
    </row>
    <row r="203" spans="1:19">
      <c r="A203" s="150"/>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0</v>
      </c>
      <c r="R203" s="662">
        <f t="shared" si="41"/>
        <v>0</v>
      </c>
      <c r="S203" s="316">
        <f t="shared" si="42"/>
        <v>0</v>
      </c>
    </row>
    <row r="204" spans="1:19">
      <c r="A204" s="150"/>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0</v>
      </c>
      <c r="R204" s="662">
        <f t="shared" si="41"/>
        <v>0</v>
      </c>
      <c r="S204" s="316">
        <f t="shared" si="42"/>
        <v>0</v>
      </c>
    </row>
    <row r="205" spans="1:19">
      <c r="A205" s="150"/>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0</v>
      </c>
      <c r="R205" s="662">
        <f t="shared" si="41"/>
        <v>0</v>
      </c>
      <c r="S205" s="316">
        <f t="shared" si="42"/>
        <v>0</v>
      </c>
    </row>
    <row r="206" spans="1:19">
      <c r="A206" s="150"/>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0</v>
      </c>
      <c r="R206" s="662">
        <f t="shared" si="41"/>
        <v>0</v>
      </c>
      <c r="S206" s="316">
        <f t="shared" si="42"/>
        <v>0</v>
      </c>
    </row>
    <row r="207" spans="1:19">
      <c r="A207" s="150"/>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0</v>
      </c>
      <c r="R207" s="662">
        <f t="shared" si="41"/>
        <v>0</v>
      </c>
      <c r="S207" s="316">
        <f t="shared" si="42"/>
        <v>0</v>
      </c>
    </row>
    <row r="208" spans="1:19">
      <c r="A208" s="150"/>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0</v>
      </c>
      <c r="R208" s="662">
        <f t="shared" si="41"/>
        <v>0</v>
      </c>
      <c r="S208" s="316">
        <f t="shared" si="42"/>
        <v>0</v>
      </c>
    </row>
    <row r="209" spans="1:19">
      <c r="A209" s="150"/>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0</v>
      </c>
      <c r="R209" s="662">
        <f t="shared" si="41"/>
        <v>0</v>
      </c>
      <c r="S209" s="316">
        <f t="shared" si="42"/>
        <v>0</v>
      </c>
    </row>
    <row r="210" spans="1:19">
      <c r="A210" s="150"/>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0</v>
      </c>
      <c r="R210" s="662">
        <f t="shared" si="41"/>
        <v>0</v>
      </c>
      <c r="S210" s="316">
        <f t="shared" si="42"/>
        <v>0</v>
      </c>
    </row>
    <row r="211" spans="1:19">
      <c r="A211" s="150"/>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0</v>
      </c>
      <c r="R211" s="662">
        <f t="shared" si="41"/>
        <v>0</v>
      </c>
      <c r="S211" s="316">
        <f t="shared" si="42"/>
        <v>0</v>
      </c>
    </row>
    <row r="212" spans="1:19">
      <c r="A212" s="150"/>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0</v>
      </c>
      <c r="R212" s="662">
        <f t="shared" si="41"/>
        <v>0</v>
      </c>
      <c r="S212" s="316">
        <f t="shared" si="42"/>
        <v>0</v>
      </c>
    </row>
    <row r="213" spans="1:19">
      <c r="A213" s="150"/>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0</v>
      </c>
      <c r="R213" s="662">
        <f t="shared" si="41"/>
        <v>0</v>
      </c>
      <c r="S213" s="316">
        <f t="shared" si="42"/>
        <v>0</v>
      </c>
    </row>
    <row r="214" spans="1:19">
      <c r="A214" s="150"/>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0</v>
      </c>
      <c r="R214" s="662">
        <f t="shared" si="41"/>
        <v>0</v>
      </c>
      <c r="S214" s="316">
        <f t="shared" si="42"/>
        <v>0</v>
      </c>
    </row>
    <row r="215" spans="1:19">
      <c r="A215" s="150"/>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0</v>
      </c>
      <c r="R215" s="662">
        <f t="shared" si="41"/>
        <v>0</v>
      </c>
      <c r="S215" s="316">
        <f t="shared" si="42"/>
        <v>0</v>
      </c>
    </row>
    <row r="216" spans="1:19">
      <c r="A216" s="150"/>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0</v>
      </c>
      <c r="R216" s="662">
        <f t="shared" si="41"/>
        <v>0</v>
      </c>
      <c r="S216" s="316">
        <f t="shared" si="42"/>
        <v>0</v>
      </c>
    </row>
    <row r="217" spans="1:19">
      <c r="A217" s="150"/>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0</v>
      </c>
      <c r="R217" s="662">
        <f t="shared" si="41"/>
        <v>0</v>
      </c>
      <c r="S217" s="316">
        <f t="shared" si="42"/>
        <v>0</v>
      </c>
    </row>
    <row r="218" spans="1:19">
      <c r="A218" s="150"/>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0</v>
      </c>
      <c r="R218" s="662">
        <f t="shared" ref="R218:R281" si="51">IF(B218="",0,ROUND($R$24*C218*E218*G218*I218*K218*M218*O218*Q218,0))</f>
        <v>0</v>
      </c>
      <c r="S218" s="316">
        <f t="shared" si="42"/>
        <v>0</v>
      </c>
    </row>
    <row r="219" spans="1:19">
      <c r="A219" s="150"/>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0</v>
      </c>
      <c r="R219" s="662">
        <f t="shared" si="51"/>
        <v>0</v>
      </c>
      <c r="S219" s="316">
        <f t="shared" si="42"/>
        <v>0</v>
      </c>
    </row>
    <row r="220" spans="1:19">
      <c r="A220" s="150"/>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0</v>
      </c>
      <c r="R220" s="662">
        <f t="shared" si="51"/>
        <v>0</v>
      </c>
      <c r="S220" s="316">
        <f t="shared" si="42"/>
        <v>0</v>
      </c>
    </row>
    <row r="221" spans="1:19">
      <c r="A221" s="150"/>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0</v>
      </c>
      <c r="R221" s="662">
        <f t="shared" si="51"/>
        <v>0</v>
      </c>
      <c r="S221" s="316">
        <f t="shared" si="42"/>
        <v>0</v>
      </c>
    </row>
    <row r="222" spans="1:19">
      <c r="A222" s="150"/>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0</v>
      </c>
      <c r="R222" s="662">
        <f t="shared" si="51"/>
        <v>0</v>
      </c>
      <c r="S222" s="316">
        <f t="shared" si="42"/>
        <v>0</v>
      </c>
    </row>
    <row r="223" spans="1:19">
      <c r="A223" s="150"/>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0</v>
      </c>
      <c r="R223" s="662">
        <f t="shared" si="51"/>
        <v>0</v>
      </c>
      <c r="S223" s="316">
        <f t="shared" ref="S223:S286" si="52">ROUND(R223*B223/10000,0)</f>
        <v>0</v>
      </c>
    </row>
    <row r="224" spans="1:19">
      <c r="A224" s="150"/>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0</v>
      </c>
      <c r="R224" s="662">
        <f t="shared" si="51"/>
        <v>0</v>
      </c>
      <c r="S224" s="316">
        <f t="shared" si="52"/>
        <v>0</v>
      </c>
    </row>
    <row r="225" spans="1:19">
      <c r="A225" s="150"/>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0</v>
      </c>
      <c r="R225" s="662">
        <f t="shared" si="51"/>
        <v>0</v>
      </c>
      <c r="S225" s="316">
        <f t="shared" si="52"/>
        <v>0</v>
      </c>
    </row>
    <row r="226" spans="1:19">
      <c r="A226" s="150"/>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0</v>
      </c>
      <c r="R226" s="662">
        <f t="shared" si="51"/>
        <v>0</v>
      </c>
      <c r="S226" s="316">
        <f t="shared" si="52"/>
        <v>0</v>
      </c>
    </row>
    <row r="227" spans="1:19">
      <c r="A227" s="150"/>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0</v>
      </c>
      <c r="R227" s="662">
        <f t="shared" si="51"/>
        <v>0</v>
      </c>
      <c r="S227" s="316">
        <f t="shared" si="52"/>
        <v>0</v>
      </c>
    </row>
    <row r="228" spans="1:19">
      <c r="A228" s="150"/>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0</v>
      </c>
      <c r="R228" s="662">
        <f t="shared" si="51"/>
        <v>0</v>
      </c>
      <c r="S228" s="316">
        <f t="shared" si="52"/>
        <v>0</v>
      </c>
    </row>
    <row r="229" spans="1:19">
      <c r="A229" s="150"/>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0</v>
      </c>
      <c r="R229" s="662">
        <f t="shared" si="51"/>
        <v>0</v>
      </c>
      <c r="S229" s="316">
        <f t="shared" si="52"/>
        <v>0</v>
      </c>
    </row>
    <row r="230" spans="1:19">
      <c r="A230" s="150"/>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0</v>
      </c>
      <c r="R230" s="662">
        <f t="shared" si="51"/>
        <v>0</v>
      </c>
      <c r="S230" s="316">
        <f t="shared" si="52"/>
        <v>0</v>
      </c>
    </row>
    <row r="231" spans="1:19">
      <c r="A231" s="150"/>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0</v>
      </c>
      <c r="R231" s="662">
        <f t="shared" si="51"/>
        <v>0</v>
      </c>
      <c r="S231" s="316">
        <f t="shared" si="52"/>
        <v>0</v>
      </c>
    </row>
    <row r="232" spans="1:19">
      <c r="A232" s="150"/>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0</v>
      </c>
      <c r="R232" s="662">
        <f t="shared" si="51"/>
        <v>0</v>
      </c>
      <c r="S232" s="316">
        <f t="shared" si="52"/>
        <v>0</v>
      </c>
    </row>
    <row r="233" spans="1:19">
      <c r="A233" s="150"/>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0</v>
      </c>
      <c r="R233" s="662">
        <f t="shared" si="51"/>
        <v>0</v>
      </c>
      <c r="S233" s="316">
        <f t="shared" si="52"/>
        <v>0</v>
      </c>
    </row>
    <row r="234" spans="1:19">
      <c r="A234" s="150"/>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0</v>
      </c>
      <c r="R234" s="662">
        <f t="shared" si="51"/>
        <v>0</v>
      </c>
      <c r="S234" s="316">
        <f t="shared" si="52"/>
        <v>0</v>
      </c>
    </row>
    <row r="235" spans="1:19">
      <c r="A235" s="150"/>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0</v>
      </c>
      <c r="R235" s="662">
        <f t="shared" si="51"/>
        <v>0</v>
      </c>
      <c r="S235" s="316">
        <f t="shared" si="52"/>
        <v>0</v>
      </c>
    </row>
    <row r="236" spans="1:19">
      <c r="A236" s="150"/>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0</v>
      </c>
      <c r="R236" s="662">
        <f t="shared" si="51"/>
        <v>0</v>
      </c>
      <c r="S236" s="316">
        <f t="shared" si="52"/>
        <v>0</v>
      </c>
    </row>
    <row r="237" spans="1:19">
      <c r="A237" s="150"/>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0</v>
      </c>
      <c r="R237" s="662">
        <f t="shared" si="51"/>
        <v>0</v>
      </c>
      <c r="S237" s="316">
        <f t="shared" si="52"/>
        <v>0</v>
      </c>
    </row>
    <row r="238" spans="1:19">
      <c r="A238" s="150"/>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0</v>
      </c>
      <c r="R238" s="662">
        <f t="shared" si="51"/>
        <v>0</v>
      </c>
      <c r="S238" s="316">
        <f t="shared" si="52"/>
        <v>0</v>
      </c>
    </row>
    <row r="239" spans="1:19">
      <c r="A239" s="150"/>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0</v>
      </c>
      <c r="R239" s="662">
        <f t="shared" si="51"/>
        <v>0</v>
      </c>
      <c r="S239" s="316">
        <f t="shared" si="52"/>
        <v>0</v>
      </c>
    </row>
    <row r="240" spans="1:19">
      <c r="A240" s="150"/>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0</v>
      </c>
      <c r="R240" s="662">
        <f t="shared" si="51"/>
        <v>0</v>
      </c>
      <c r="S240" s="316">
        <f t="shared" si="52"/>
        <v>0</v>
      </c>
    </row>
    <row r="241" spans="1:19">
      <c r="A241" s="150"/>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0</v>
      </c>
      <c r="R241" s="662">
        <f t="shared" si="51"/>
        <v>0</v>
      </c>
      <c r="S241" s="316">
        <f t="shared" si="52"/>
        <v>0</v>
      </c>
    </row>
    <row r="242" spans="1:19">
      <c r="A242" s="150"/>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0</v>
      </c>
      <c r="R242" s="662">
        <f t="shared" si="51"/>
        <v>0</v>
      </c>
      <c r="S242" s="316">
        <f t="shared" si="52"/>
        <v>0</v>
      </c>
    </row>
    <row r="243" spans="1:19">
      <c r="A243" s="150"/>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0</v>
      </c>
      <c r="R243" s="662">
        <f t="shared" si="51"/>
        <v>0</v>
      </c>
      <c r="S243" s="316">
        <f t="shared" si="52"/>
        <v>0</v>
      </c>
    </row>
    <row r="244" spans="1:19">
      <c r="A244" s="150"/>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0</v>
      </c>
      <c r="R244" s="662">
        <f t="shared" si="51"/>
        <v>0</v>
      </c>
      <c r="S244" s="316">
        <f t="shared" si="52"/>
        <v>0</v>
      </c>
    </row>
    <row r="245" spans="1:19">
      <c r="A245" s="150"/>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0</v>
      </c>
      <c r="R245" s="662">
        <f t="shared" si="51"/>
        <v>0</v>
      </c>
      <c r="S245" s="316">
        <f t="shared" si="52"/>
        <v>0</v>
      </c>
    </row>
    <row r="246" spans="1:19">
      <c r="A246" s="150"/>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0</v>
      </c>
      <c r="R246" s="662">
        <f t="shared" si="51"/>
        <v>0</v>
      </c>
      <c r="S246" s="316">
        <f t="shared" si="52"/>
        <v>0</v>
      </c>
    </row>
    <row r="247" spans="1:19">
      <c r="A247" s="150"/>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0</v>
      </c>
      <c r="R247" s="662">
        <f t="shared" si="51"/>
        <v>0</v>
      </c>
      <c r="S247" s="316">
        <f t="shared" si="52"/>
        <v>0</v>
      </c>
    </row>
    <row r="248" spans="1:19">
      <c r="A248" s="150"/>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0</v>
      </c>
      <c r="R248" s="662">
        <f t="shared" si="51"/>
        <v>0</v>
      </c>
      <c r="S248" s="316">
        <f t="shared" si="52"/>
        <v>0</v>
      </c>
    </row>
    <row r="249" spans="1:19">
      <c r="A249" s="150"/>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0</v>
      </c>
      <c r="R249" s="662">
        <f t="shared" si="51"/>
        <v>0</v>
      </c>
      <c r="S249" s="316">
        <f t="shared" si="52"/>
        <v>0</v>
      </c>
    </row>
    <row r="250" spans="1:19">
      <c r="A250" s="150"/>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0</v>
      </c>
      <c r="R250" s="662">
        <f t="shared" si="51"/>
        <v>0</v>
      </c>
      <c r="S250" s="316">
        <f t="shared" si="52"/>
        <v>0</v>
      </c>
    </row>
    <row r="251" spans="1:19">
      <c r="A251" s="150"/>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0</v>
      </c>
      <c r="R251" s="662">
        <f t="shared" si="51"/>
        <v>0</v>
      </c>
      <c r="S251" s="316">
        <f t="shared" si="52"/>
        <v>0</v>
      </c>
    </row>
    <row r="252" spans="1:19">
      <c r="A252" s="150"/>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0</v>
      </c>
      <c r="R252" s="662">
        <f t="shared" si="51"/>
        <v>0</v>
      </c>
      <c r="S252" s="316">
        <f t="shared" si="52"/>
        <v>0</v>
      </c>
    </row>
    <row r="253" spans="1:19">
      <c r="A253" s="150"/>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0</v>
      </c>
      <c r="R253" s="662">
        <f t="shared" si="51"/>
        <v>0</v>
      </c>
      <c r="S253" s="316">
        <f t="shared" si="52"/>
        <v>0</v>
      </c>
    </row>
    <row r="254" spans="1:19">
      <c r="A254" s="150"/>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0</v>
      </c>
      <c r="R254" s="662">
        <f t="shared" si="51"/>
        <v>0</v>
      </c>
      <c r="S254" s="316">
        <f t="shared" si="52"/>
        <v>0</v>
      </c>
    </row>
    <row r="255" spans="1:19">
      <c r="A255" s="150"/>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0</v>
      </c>
      <c r="R255" s="662">
        <f t="shared" si="51"/>
        <v>0</v>
      </c>
      <c r="S255" s="316">
        <f t="shared" si="52"/>
        <v>0</v>
      </c>
    </row>
    <row r="256" spans="1:19">
      <c r="A256" s="150"/>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0</v>
      </c>
      <c r="R256" s="662">
        <f t="shared" si="51"/>
        <v>0</v>
      </c>
      <c r="S256" s="316">
        <f t="shared" si="52"/>
        <v>0</v>
      </c>
    </row>
    <row r="257" spans="1:19">
      <c r="A257" s="150"/>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0</v>
      </c>
      <c r="R257" s="662">
        <f t="shared" si="51"/>
        <v>0</v>
      </c>
      <c r="S257" s="316">
        <f t="shared" si="52"/>
        <v>0</v>
      </c>
    </row>
    <row r="258" spans="1:19">
      <c r="A258" s="150"/>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0</v>
      </c>
      <c r="R258" s="662">
        <f t="shared" si="51"/>
        <v>0</v>
      </c>
      <c r="S258" s="316">
        <f t="shared" si="52"/>
        <v>0</v>
      </c>
    </row>
    <row r="259" spans="1:19">
      <c r="A259" s="150"/>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0</v>
      </c>
      <c r="R259" s="662">
        <f t="shared" si="51"/>
        <v>0</v>
      </c>
      <c r="S259" s="316">
        <f t="shared" si="52"/>
        <v>0</v>
      </c>
    </row>
    <row r="260" spans="1:19">
      <c r="A260" s="150"/>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0</v>
      </c>
      <c r="R260" s="662">
        <f t="shared" si="51"/>
        <v>0</v>
      </c>
      <c r="S260" s="316">
        <f t="shared" si="52"/>
        <v>0</v>
      </c>
    </row>
    <row r="261" spans="1:19">
      <c r="A261" s="150"/>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0</v>
      </c>
      <c r="R261" s="662">
        <f t="shared" si="51"/>
        <v>0</v>
      </c>
      <c r="S261" s="316">
        <f t="shared" si="52"/>
        <v>0</v>
      </c>
    </row>
    <row r="262" spans="1:19">
      <c r="A262" s="150"/>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0</v>
      </c>
      <c r="R262" s="662">
        <f t="shared" si="51"/>
        <v>0</v>
      </c>
      <c r="S262" s="316">
        <f t="shared" si="52"/>
        <v>0</v>
      </c>
    </row>
    <row r="263" spans="1:19">
      <c r="A263" s="150"/>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0</v>
      </c>
      <c r="R263" s="662">
        <f t="shared" si="51"/>
        <v>0</v>
      </c>
      <c r="S263" s="316">
        <f t="shared" si="52"/>
        <v>0</v>
      </c>
    </row>
    <row r="264" spans="1:19">
      <c r="A264" s="150"/>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0</v>
      </c>
      <c r="R264" s="662">
        <f t="shared" si="51"/>
        <v>0</v>
      </c>
      <c r="S264" s="316">
        <f t="shared" si="52"/>
        <v>0</v>
      </c>
    </row>
    <row r="265" spans="1:19">
      <c r="A265" s="150"/>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0</v>
      </c>
      <c r="R265" s="662">
        <f t="shared" si="51"/>
        <v>0</v>
      </c>
      <c r="S265" s="316">
        <f t="shared" si="52"/>
        <v>0</v>
      </c>
    </row>
    <row r="266" spans="1:19">
      <c r="A266" s="150"/>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0</v>
      </c>
      <c r="R266" s="662">
        <f t="shared" si="51"/>
        <v>0</v>
      </c>
      <c r="S266" s="316">
        <f t="shared" si="52"/>
        <v>0</v>
      </c>
    </row>
    <row r="267" spans="1:19">
      <c r="A267" s="150"/>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0</v>
      </c>
      <c r="R267" s="662">
        <f t="shared" si="51"/>
        <v>0</v>
      </c>
      <c r="S267" s="316">
        <f t="shared" si="52"/>
        <v>0</v>
      </c>
    </row>
    <row r="268" spans="1:19">
      <c r="A268" s="150"/>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0</v>
      </c>
      <c r="R268" s="662">
        <f t="shared" si="51"/>
        <v>0</v>
      </c>
      <c r="S268" s="316">
        <f t="shared" si="52"/>
        <v>0</v>
      </c>
    </row>
    <row r="269" spans="1:19">
      <c r="A269" s="150"/>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0</v>
      </c>
      <c r="R269" s="662">
        <f t="shared" si="51"/>
        <v>0</v>
      </c>
      <c r="S269" s="316">
        <f t="shared" si="52"/>
        <v>0</v>
      </c>
    </row>
    <row r="270" spans="1:19">
      <c r="A270" s="150"/>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0</v>
      </c>
      <c r="R270" s="662">
        <f t="shared" si="51"/>
        <v>0</v>
      </c>
      <c r="S270" s="316">
        <f t="shared" si="52"/>
        <v>0</v>
      </c>
    </row>
    <row r="271" spans="1:19">
      <c r="A271" s="150"/>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0</v>
      </c>
      <c r="R271" s="662">
        <f t="shared" si="51"/>
        <v>0</v>
      </c>
      <c r="S271" s="316">
        <f t="shared" si="52"/>
        <v>0</v>
      </c>
    </row>
    <row r="272" spans="1:19">
      <c r="A272" s="150"/>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0</v>
      </c>
      <c r="R272" s="662">
        <f t="shared" si="51"/>
        <v>0</v>
      </c>
      <c r="S272" s="316">
        <f t="shared" si="52"/>
        <v>0</v>
      </c>
    </row>
    <row r="273" spans="1:19">
      <c r="A273" s="150"/>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0</v>
      </c>
      <c r="R273" s="662">
        <f t="shared" si="51"/>
        <v>0</v>
      </c>
      <c r="S273" s="316">
        <f t="shared" si="52"/>
        <v>0</v>
      </c>
    </row>
    <row r="274" spans="1:19">
      <c r="A274" s="150"/>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0</v>
      </c>
      <c r="R274" s="662">
        <f t="shared" si="51"/>
        <v>0</v>
      </c>
      <c r="S274" s="316">
        <f t="shared" si="52"/>
        <v>0</v>
      </c>
    </row>
    <row r="275" spans="1:19">
      <c r="A275" s="150"/>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0</v>
      </c>
      <c r="R275" s="662">
        <f t="shared" si="51"/>
        <v>0</v>
      </c>
      <c r="S275" s="316">
        <f t="shared" si="52"/>
        <v>0</v>
      </c>
    </row>
    <row r="276" spans="1:19">
      <c r="A276" s="150"/>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0</v>
      </c>
      <c r="R276" s="662">
        <f t="shared" si="51"/>
        <v>0</v>
      </c>
      <c r="S276" s="316">
        <f t="shared" si="52"/>
        <v>0</v>
      </c>
    </row>
    <row r="277" spans="1:19">
      <c r="A277" s="150"/>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0</v>
      </c>
      <c r="R277" s="662">
        <f t="shared" si="51"/>
        <v>0</v>
      </c>
      <c r="S277" s="316">
        <f t="shared" si="52"/>
        <v>0</v>
      </c>
    </row>
    <row r="278" spans="1:19">
      <c r="A278" s="150"/>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0</v>
      </c>
      <c r="R278" s="662">
        <f t="shared" si="51"/>
        <v>0</v>
      </c>
      <c r="S278" s="316">
        <f t="shared" si="52"/>
        <v>0</v>
      </c>
    </row>
    <row r="279" spans="1:19">
      <c r="A279" s="150"/>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0</v>
      </c>
      <c r="R279" s="662">
        <f t="shared" si="51"/>
        <v>0</v>
      </c>
      <c r="S279" s="316">
        <f t="shared" si="52"/>
        <v>0</v>
      </c>
    </row>
    <row r="280" spans="1:19">
      <c r="A280" s="150"/>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0</v>
      </c>
      <c r="R280" s="662">
        <f t="shared" si="51"/>
        <v>0</v>
      </c>
      <c r="S280" s="316">
        <f t="shared" si="52"/>
        <v>0</v>
      </c>
    </row>
    <row r="281" spans="1:19">
      <c r="A281" s="150"/>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0</v>
      </c>
      <c r="R281" s="662">
        <f t="shared" si="51"/>
        <v>0</v>
      </c>
      <c r="S281" s="316">
        <f t="shared" si="52"/>
        <v>0</v>
      </c>
    </row>
    <row r="282" spans="1:19">
      <c r="A282" s="150"/>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0</v>
      </c>
      <c r="R282" s="662">
        <f t="shared" ref="R282:R345" si="61">IF(B282="",0,ROUND($R$24*C282*E282*G282*I282*K282*M282*O282*Q282,0))</f>
        <v>0</v>
      </c>
      <c r="S282" s="316">
        <f t="shared" si="52"/>
        <v>0</v>
      </c>
    </row>
    <row r="283" spans="1:19">
      <c r="A283" s="150"/>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0</v>
      </c>
      <c r="R283" s="662">
        <f t="shared" si="61"/>
        <v>0</v>
      </c>
      <c r="S283" s="316">
        <f t="shared" si="52"/>
        <v>0</v>
      </c>
    </row>
    <row r="284" spans="1:19">
      <c r="A284" s="150"/>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0</v>
      </c>
      <c r="R284" s="662">
        <f t="shared" si="61"/>
        <v>0</v>
      </c>
      <c r="S284" s="316">
        <f t="shared" si="52"/>
        <v>0</v>
      </c>
    </row>
    <row r="285" spans="1:19">
      <c r="A285" s="150"/>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0</v>
      </c>
      <c r="R285" s="662">
        <f t="shared" si="61"/>
        <v>0</v>
      </c>
      <c r="S285" s="316">
        <f t="shared" si="52"/>
        <v>0</v>
      </c>
    </row>
    <row r="286" spans="1:19">
      <c r="A286" s="150"/>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0</v>
      </c>
      <c r="R286" s="662">
        <f t="shared" si="61"/>
        <v>0</v>
      </c>
      <c r="S286" s="316">
        <f t="shared" si="52"/>
        <v>0</v>
      </c>
    </row>
    <row r="287" spans="1:19">
      <c r="A287" s="150"/>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0</v>
      </c>
      <c r="R287" s="662">
        <f t="shared" si="61"/>
        <v>0</v>
      </c>
      <c r="S287" s="316">
        <f t="shared" ref="S287:S320" si="62">ROUND(R287*B287/10000,0)</f>
        <v>0</v>
      </c>
    </row>
    <row r="288" spans="1:19">
      <c r="A288" s="150"/>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0</v>
      </c>
      <c r="R288" s="662">
        <f t="shared" si="61"/>
        <v>0</v>
      </c>
      <c r="S288" s="316">
        <f t="shared" si="62"/>
        <v>0</v>
      </c>
    </row>
    <row r="289" spans="1:19">
      <c r="A289" s="150"/>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0</v>
      </c>
      <c r="R289" s="662">
        <f t="shared" si="61"/>
        <v>0</v>
      </c>
      <c r="S289" s="316">
        <f t="shared" si="62"/>
        <v>0</v>
      </c>
    </row>
    <row r="290" spans="1:19">
      <c r="A290" s="150"/>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0</v>
      </c>
      <c r="R290" s="662">
        <f t="shared" si="61"/>
        <v>0</v>
      </c>
      <c r="S290" s="316">
        <f t="shared" si="62"/>
        <v>0</v>
      </c>
    </row>
    <row r="291" spans="1:19">
      <c r="A291" s="150"/>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0</v>
      </c>
      <c r="R291" s="662">
        <f t="shared" si="61"/>
        <v>0</v>
      </c>
      <c r="S291" s="316">
        <f t="shared" si="62"/>
        <v>0</v>
      </c>
    </row>
    <row r="292" spans="1:19">
      <c r="A292" s="150"/>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0</v>
      </c>
      <c r="R292" s="662">
        <f t="shared" si="61"/>
        <v>0</v>
      </c>
      <c r="S292" s="316">
        <f t="shared" si="62"/>
        <v>0</v>
      </c>
    </row>
    <row r="293" spans="1:19">
      <c r="A293" s="150"/>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0</v>
      </c>
      <c r="R293" s="662">
        <f t="shared" si="61"/>
        <v>0</v>
      </c>
      <c r="S293" s="316">
        <f t="shared" si="62"/>
        <v>0</v>
      </c>
    </row>
    <row r="294" spans="1:19">
      <c r="A294" s="150"/>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0</v>
      </c>
      <c r="R294" s="662">
        <f t="shared" si="61"/>
        <v>0</v>
      </c>
      <c r="S294" s="316">
        <f t="shared" si="62"/>
        <v>0</v>
      </c>
    </row>
    <row r="295" spans="1:19">
      <c r="A295" s="150"/>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0</v>
      </c>
      <c r="R295" s="662">
        <f t="shared" si="61"/>
        <v>0</v>
      </c>
      <c r="S295" s="316">
        <f t="shared" si="62"/>
        <v>0</v>
      </c>
    </row>
    <row r="296" spans="1:19">
      <c r="A296" s="150"/>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0</v>
      </c>
      <c r="R296" s="662">
        <f t="shared" si="61"/>
        <v>0</v>
      </c>
      <c r="S296" s="316">
        <f t="shared" si="62"/>
        <v>0</v>
      </c>
    </row>
    <row r="297" spans="1:19">
      <c r="A297" s="150"/>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0</v>
      </c>
      <c r="R297" s="662">
        <f t="shared" si="61"/>
        <v>0</v>
      </c>
      <c r="S297" s="316">
        <f t="shared" si="62"/>
        <v>0</v>
      </c>
    </row>
    <row r="298" spans="1:19">
      <c r="A298" s="150"/>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0</v>
      </c>
      <c r="R298" s="662">
        <f t="shared" si="61"/>
        <v>0</v>
      </c>
      <c r="S298" s="316">
        <f t="shared" si="62"/>
        <v>0</v>
      </c>
    </row>
    <row r="299" spans="1:19">
      <c r="A299" s="150"/>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0</v>
      </c>
      <c r="R299" s="662">
        <f t="shared" si="61"/>
        <v>0</v>
      </c>
      <c r="S299" s="316">
        <f t="shared" si="62"/>
        <v>0</v>
      </c>
    </row>
    <row r="300" spans="1:19">
      <c r="A300" s="150"/>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0</v>
      </c>
      <c r="R300" s="662">
        <f t="shared" si="61"/>
        <v>0</v>
      </c>
      <c r="S300" s="316">
        <f t="shared" si="62"/>
        <v>0</v>
      </c>
    </row>
    <row r="301" spans="1:19">
      <c r="A301" s="150"/>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0</v>
      </c>
      <c r="R301" s="662">
        <f t="shared" si="61"/>
        <v>0</v>
      </c>
      <c r="S301" s="316">
        <f t="shared" si="62"/>
        <v>0</v>
      </c>
    </row>
    <row r="302" spans="1:19">
      <c r="A302" s="150"/>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0</v>
      </c>
      <c r="R302" s="662">
        <f t="shared" si="61"/>
        <v>0</v>
      </c>
      <c r="S302" s="316">
        <f t="shared" si="62"/>
        <v>0</v>
      </c>
    </row>
    <row r="303" spans="1:19">
      <c r="A303" s="150"/>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0</v>
      </c>
      <c r="R303" s="662">
        <f t="shared" si="61"/>
        <v>0</v>
      </c>
      <c r="S303" s="316">
        <f t="shared" si="62"/>
        <v>0</v>
      </c>
    </row>
    <row r="304" spans="1:19">
      <c r="A304" s="150"/>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0</v>
      </c>
      <c r="R304" s="662">
        <f t="shared" si="61"/>
        <v>0</v>
      </c>
      <c r="S304" s="316">
        <f t="shared" si="62"/>
        <v>0</v>
      </c>
    </row>
    <row r="305" spans="1:19">
      <c r="A305" s="150"/>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0</v>
      </c>
      <c r="R305" s="662">
        <f t="shared" si="61"/>
        <v>0</v>
      </c>
      <c r="S305" s="316">
        <f t="shared" si="62"/>
        <v>0</v>
      </c>
    </row>
    <row r="306" spans="1:19">
      <c r="A306" s="150"/>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0</v>
      </c>
      <c r="R306" s="662">
        <f t="shared" si="61"/>
        <v>0</v>
      </c>
      <c r="S306" s="316">
        <f t="shared" si="62"/>
        <v>0</v>
      </c>
    </row>
    <row r="307" spans="1:19">
      <c r="A307" s="150"/>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0</v>
      </c>
      <c r="R307" s="662">
        <f t="shared" si="61"/>
        <v>0</v>
      </c>
      <c r="S307" s="316">
        <f t="shared" si="62"/>
        <v>0</v>
      </c>
    </row>
    <row r="308" spans="1:19">
      <c r="A308" s="150"/>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0</v>
      </c>
      <c r="R308" s="662">
        <f t="shared" si="61"/>
        <v>0</v>
      </c>
      <c r="S308" s="316">
        <f t="shared" si="62"/>
        <v>0</v>
      </c>
    </row>
    <row r="309" spans="1:19">
      <c r="A309" s="150"/>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0</v>
      </c>
      <c r="R309" s="662">
        <f t="shared" si="61"/>
        <v>0</v>
      </c>
      <c r="S309" s="316">
        <f t="shared" si="62"/>
        <v>0</v>
      </c>
    </row>
    <row r="310" spans="1:19">
      <c r="A310" s="150"/>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0</v>
      </c>
      <c r="R310" s="662">
        <f t="shared" si="61"/>
        <v>0</v>
      </c>
      <c r="S310" s="316">
        <f t="shared" si="62"/>
        <v>0</v>
      </c>
    </row>
    <row r="311" spans="1:19">
      <c r="A311" s="150"/>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0</v>
      </c>
      <c r="R311" s="662">
        <f t="shared" si="61"/>
        <v>0</v>
      </c>
      <c r="S311" s="316">
        <f t="shared" si="62"/>
        <v>0</v>
      </c>
    </row>
    <row r="312" spans="1:19">
      <c r="A312" s="150"/>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0</v>
      </c>
      <c r="R312" s="662">
        <f t="shared" si="61"/>
        <v>0</v>
      </c>
      <c r="S312" s="316">
        <f t="shared" si="62"/>
        <v>0</v>
      </c>
    </row>
    <row r="313" spans="1:19">
      <c r="A313" s="150"/>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0</v>
      </c>
      <c r="R313" s="662">
        <f t="shared" si="61"/>
        <v>0</v>
      </c>
      <c r="S313" s="316">
        <f t="shared" si="62"/>
        <v>0</v>
      </c>
    </row>
    <row r="314" spans="1:19">
      <c r="A314" s="150"/>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0</v>
      </c>
      <c r="R314" s="662">
        <f t="shared" si="61"/>
        <v>0</v>
      </c>
      <c r="S314" s="316">
        <f t="shared" si="62"/>
        <v>0</v>
      </c>
    </row>
    <row r="315" spans="1:19">
      <c r="A315" s="150"/>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0</v>
      </c>
      <c r="R315" s="662">
        <f t="shared" si="61"/>
        <v>0</v>
      </c>
      <c r="S315" s="316">
        <f t="shared" si="62"/>
        <v>0</v>
      </c>
    </row>
    <row r="316" spans="1:19">
      <c r="A316" s="150"/>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0</v>
      </c>
      <c r="R316" s="662">
        <f t="shared" si="61"/>
        <v>0</v>
      </c>
      <c r="S316" s="316">
        <f t="shared" si="62"/>
        <v>0</v>
      </c>
    </row>
    <row r="317" spans="1:19">
      <c r="A317" s="150"/>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0</v>
      </c>
      <c r="R317" s="662">
        <f t="shared" si="61"/>
        <v>0</v>
      </c>
      <c r="S317" s="316">
        <f t="shared" si="62"/>
        <v>0</v>
      </c>
    </row>
    <row r="318" spans="1:19">
      <c r="A318" s="150"/>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0</v>
      </c>
      <c r="R318" s="662">
        <f t="shared" si="61"/>
        <v>0</v>
      </c>
      <c r="S318" s="316">
        <f t="shared" si="62"/>
        <v>0</v>
      </c>
    </row>
    <row r="319" spans="1:19">
      <c r="A319" s="150"/>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0</v>
      </c>
      <c r="R319" s="662">
        <f t="shared" si="61"/>
        <v>0</v>
      </c>
      <c r="S319" s="316">
        <f t="shared" si="62"/>
        <v>0</v>
      </c>
    </row>
    <row r="320" spans="1:19">
      <c r="A320" s="150"/>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0</v>
      </c>
      <c r="R320" s="662">
        <f t="shared" si="61"/>
        <v>0</v>
      </c>
      <c r="S320" s="316">
        <f t="shared" si="62"/>
        <v>0</v>
      </c>
    </row>
    <row r="321" spans="1:19">
      <c r="A321" s="150"/>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0</v>
      </c>
      <c r="R321" s="662">
        <f t="shared" si="61"/>
        <v>0</v>
      </c>
      <c r="S321" s="316">
        <f t="shared" ref="S321:S384" si="63">ROUND(R321*B321/10000,0)</f>
        <v>0</v>
      </c>
    </row>
    <row r="322" spans="1:19">
      <c r="A322" s="150"/>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0</v>
      </c>
      <c r="R322" s="662">
        <f t="shared" si="61"/>
        <v>0</v>
      </c>
      <c r="S322" s="316">
        <f t="shared" si="63"/>
        <v>0</v>
      </c>
    </row>
    <row r="323" spans="1:19">
      <c r="A323" s="150"/>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0</v>
      </c>
      <c r="R323" s="662">
        <f t="shared" si="61"/>
        <v>0</v>
      </c>
      <c r="S323" s="316">
        <f t="shared" si="63"/>
        <v>0</v>
      </c>
    </row>
    <row r="324" spans="1:19">
      <c r="A324" s="150"/>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0</v>
      </c>
      <c r="R324" s="662">
        <f t="shared" si="61"/>
        <v>0</v>
      </c>
      <c r="S324" s="316">
        <f t="shared" si="63"/>
        <v>0</v>
      </c>
    </row>
    <row r="325" spans="1:19">
      <c r="A325" s="150"/>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0</v>
      </c>
      <c r="R325" s="662">
        <f t="shared" si="61"/>
        <v>0</v>
      </c>
      <c r="S325" s="316">
        <f t="shared" si="63"/>
        <v>0</v>
      </c>
    </row>
    <row r="326" spans="1:19">
      <c r="A326" s="150"/>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0</v>
      </c>
      <c r="R326" s="662">
        <f t="shared" si="61"/>
        <v>0</v>
      </c>
      <c r="S326" s="316">
        <f t="shared" si="63"/>
        <v>0</v>
      </c>
    </row>
    <row r="327" spans="1:19">
      <c r="A327" s="150"/>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0</v>
      </c>
      <c r="R327" s="662">
        <f t="shared" si="61"/>
        <v>0</v>
      </c>
      <c r="S327" s="316">
        <f t="shared" si="63"/>
        <v>0</v>
      </c>
    </row>
    <row r="328" spans="1:19">
      <c r="A328" s="150"/>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0</v>
      </c>
      <c r="R328" s="662">
        <f t="shared" si="61"/>
        <v>0</v>
      </c>
      <c r="S328" s="316">
        <f t="shared" si="63"/>
        <v>0</v>
      </c>
    </row>
    <row r="329" spans="1:19">
      <c r="A329" s="150"/>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0</v>
      </c>
      <c r="R329" s="662">
        <f t="shared" si="61"/>
        <v>0</v>
      </c>
      <c r="S329" s="316">
        <f t="shared" si="63"/>
        <v>0</v>
      </c>
    </row>
    <row r="330" spans="1:19">
      <c r="A330" s="150"/>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0</v>
      </c>
      <c r="R330" s="662">
        <f t="shared" si="61"/>
        <v>0</v>
      </c>
      <c r="S330" s="316">
        <f t="shared" si="63"/>
        <v>0</v>
      </c>
    </row>
    <row r="331" spans="1:19">
      <c r="A331" s="150"/>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0</v>
      </c>
      <c r="R331" s="662">
        <f t="shared" si="61"/>
        <v>0</v>
      </c>
      <c r="S331" s="316">
        <f t="shared" si="63"/>
        <v>0</v>
      </c>
    </row>
    <row r="332" spans="1:19">
      <c r="A332" s="150"/>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0</v>
      </c>
      <c r="R332" s="662">
        <f t="shared" si="61"/>
        <v>0</v>
      </c>
      <c r="S332" s="316">
        <f t="shared" si="63"/>
        <v>0</v>
      </c>
    </row>
    <row r="333" spans="1:19">
      <c r="A333" s="150"/>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0</v>
      </c>
      <c r="R333" s="662">
        <f t="shared" si="61"/>
        <v>0</v>
      </c>
      <c r="S333" s="316">
        <f t="shared" si="63"/>
        <v>0</v>
      </c>
    </row>
    <row r="334" spans="1:19">
      <c r="A334" s="150"/>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0</v>
      </c>
      <c r="R334" s="662">
        <f t="shared" si="61"/>
        <v>0</v>
      </c>
      <c r="S334" s="316">
        <f t="shared" si="63"/>
        <v>0</v>
      </c>
    </row>
    <row r="335" spans="1:19">
      <c r="A335" s="150"/>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0</v>
      </c>
      <c r="R335" s="662">
        <f t="shared" si="61"/>
        <v>0</v>
      </c>
      <c r="S335" s="316">
        <f t="shared" si="63"/>
        <v>0</v>
      </c>
    </row>
    <row r="336" spans="1:19">
      <c r="A336" s="150"/>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0</v>
      </c>
      <c r="R336" s="662">
        <f t="shared" si="61"/>
        <v>0</v>
      </c>
      <c r="S336" s="316">
        <f t="shared" si="63"/>
        <v>0</v>
      </c>
    </row>
    <row r="337" spans="1:19">
      <c r="A337" s="150"/>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0</v>
      </c>
      <c r="R337" s="662">
        <f t="shared" si="61"/>
        <v>0</v>
      </c>
      <c r="S337" s="316">
        <f t="shared" si="63"/>
        <v>0</v>
      </c>
    </row>
    <row r="338" spans="1:19">
      <c r="A338" s="150"/>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0</v>
      </c>
      <c r="R338" s="662">
        <f t="shared" si="61"/>
        <v>0</v>
      </c>
      <c r="S338" s="316">
        <f t="shared" si="63"/>
        <v>0</v>
      </c>
    </row>
    <row r="339" spans="1:19">
      <c r="A339" s="150"/>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0</v>
      </c>
      <c r="R339" s="662">
        <f t="shared" si="61"/>
        <v>0</v>
      </c>
      <c r="S339" s="316">
        <f t="shared" si="63"/>
        <v>0</v>
      </c>
    </row>
    <row r="340" spans="1:19">
      <c r="A340" s="150"/>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0</v>
      </c>
      <c r="R340" s="662">
        <f t="shared" si="61"/>
        <v>0</v>
      </c>
      <c r="S340" s="316">
        <f t="shared" si="63"/>
        <v>0</v>
      </c>
    </row>
    <row r="341" spans="1:19">
      <c r="A341" s="150"/>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0</v>
      </c>
      <c r="R341" s="662">
        <f t="shared" si="61"/>
        <v>0</v>
      </c>
      <c r="S341" s="316">
        <f t="shared" si="63"/>
        <v>0</v>
      </c>
    </row>
    <row r="342" spans="1:19">
      <c r="A342" s="150"/>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0</v>
      </c>
      <c r="R342" s="662">
        <f t="shared" si="61"/>
        <v>0</v>
      </c>
      <c r="S342" s="316">
        <f t="shared" si="63"/>
        <v>0</v>
      </c>
    </row>
    <row r="343" spans="1:19">
      <c r="A343" s="150"/>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0</v>
      </c>
      <c r="R343" s="662">
        <f t="shared" si="61"/>
        <v>0</v>
      </c>
      <c r="S343" s="316">
        <f t="shared" si="63"/>
        <v>0</v>
      </c>
    </row>
    <row r="344" spans="1:19">
      <c r="A344" s="150"/>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0</v>
      </c>
      <c r="R344" s="662">
        <f t="shared" si="61"/>
        <v>0</v>
      </c>
      <c r="S344" s="316">
        <f t="shared" si="63"/>
        <v>0</v>
      </c>
    </row>
    <row r="345" spans="1:19">
      <c r="A345" s="150"/>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0</v>
      </c>
      <c r="R345" s="662">
        <f t="shared" si="61"/>
        <v>0</v>
      </c>
      <c r="S345" s="316">
        <f t="shared" si="63"/>
        <v>0</v>
      </c>
    </row>
    <row r="346" spans="1:19">
      <c r="A346" s="150"/>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0</v>
      </c>
      <c r="R346" s="662">
        <f t="shared" ref="R346:R409" si="72">IF(B346="",0,ROUND($R$24*C346*E346*G346*I346*K346*M346*O346*Q346,0))</f>
        <v>0</v>
      </c>
      <c r="S346" s="316">
        <f t="shared" si="63"/>
        <v>0</v>
      </c>
    </row>
    <row r="347" spans="1:19">
      <c r="A347" s="150"/>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0</v>
      </c>
      <c r="R347" s="662">
        <f t="shared" si="72"/>
        <v>0</v>
      </c>
      <c r="S347" s="316">
        <f t="shared" si="63"/>
        <v>0</v>
      </c>
    </row>
    <row r="348" spans="1:19">
      <c r="A348" s="150"/>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0</v>
      </c>
      <c r="R348" s="662">
        <f t="shared" si="72"/>
        <v>0</v>
      </c>
      <c r="S348" s="316">
        <f t="shared" si="63"/>
        <v>0</v>
      </c>
    </row>
    <row r="349" spans="1:19">
      <c r="A349" s="150"/>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0</v>
      </c>
      <c r="R349" s="662">
        <f t="shared" si="72"/>
        <v>0</v>
      </c>
      <c r="S349" s="316">
        <f t="shared" si="63"/>
        <v>0</v>
      </c>
    </row>
    <row r="350" spans="1:19">
      <c r="A350" s="150"/>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0</v>
      </c>
      <c r="R350" s="662">
        <f t="shared" si="72"/>
        <v>0</v>
      </c>
      <c r="S350" s="316">
        <f t="shared" si="63"/>
        <v>0</v>
      </c>
    </row>
    <row r="351" spans="1:19">
      <c r="A351" s="150"/>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0</v>
      </c>
      <c r="R351" s="662">
        <f t="shared" si="72"/>
        <v>0</v>
      </c>
      <c r="S351" s="316">
        <f t="shared" si="63"/>
        <v>0</v>
      </c>
    </row>
    <row r="352" spans="1:19">
      <c r="A352" s="150"/>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0</v>
      </c>
      <c r="R352" s="662">
        <f t="shared" si="72"/>
        <v>0</v>
      </c>
      <c r="S352" s="316">
        <f t="shared" si="63"/>
        <v>0</v>
      </c>
    </row>
    <row r="353" spans="1:19">
      <c r="A353" s="150"/>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0</v>
      </c>
      <c r="R353" s="662">
        <f t="shared" si="72"/>
        <v>0</v>
      </c>
      <c r="S353" s="316">
        <f t="shared" si="63"/>
        <v>0</v>
      </c>
    </row>
    <row r="354" spans="1:19">
      <c r="A354" s="150"/>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0</v>
      </c>
      <c r="R354" s="662">
        <f t="shared" si="72"/>
        <v>0</v>
      </c>
      <c r="S354" s="316">
        <f t="shared" si="63"/>
        <v>0</v>
      </c>
    </row>
    <row r="355" spans="1:19">
      <c r="A355" s="150"/>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0</v>
      </c>
      <c r="R355" s="662">
        <f t="shared" si="72"/>
        <v>0</v>
      </c>
      <c r="S355" s="316">
        <f t="shared" si="63"/>
        <v>0</v>
      </c>
    </row>
    <row r="356" spans="1:19">
      <c r="A356" s="150"/>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0</v>
      </c>
      <c r="R356" s="662">
        <f t="shared" si="72"/>
        <v>0</v>
      </c>
      <c r="S356" s="316">
        <f t="shared" si="63"/>
        <v>0</v>
      </c>
    </row>
    <row r="357" spans="1:19">
      <c r="A357" s="150"/>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0</v>
      </c>
      <c r="R357" s="662">
        <f t="shared" si="72"/>
        <v>0</v>
      </c>
      <c r="S357" s="316">
        <f t="shared" si="63"/>
        <v>0</v>
      </c>
    </row>
    <row r="358" spans="1:19">
      <c r="A358" s="150"/>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0</v>
      </c>
      <c r="R358" s="662">
        <f t="shared" si="72"/>
        <v>0</v>
      </c>
      <c r="S358" s="316">
        <f t="shared" si="63"/>
        <v>0</v>
      </c>
    </row>
    <row r="359" spans="1:19">
      <c r="A359" s="150"/>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0</v>
      </c>
      <c r="R359" s="662">
        <f t="shared" si="72"/>
        <v>0</v>
      </c>
      <c r="S359" s="316">
        <f t="shared" si="63"/>
        <v>0</v>
      </c>
    </row>
    <row r="360" spans="1:19">
      <c r="A360" s="150"/>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0</v>
      </c>
      <c r="R360" s="662">
        <f t="shared" si="72"/>
        <v>0</v>
      </c>
      <c r="S360" s="316">
        <f t="shared" si="63"/>
        <v>0</v>
      </c>
    </row>
    <row r="361" spans="1:19">
      <c r="A361" s="150"/>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0</v>
      </c>
      <c r="R361" s="662">
        <f t="shared" si="72"/>
        <v>0</v>
      </c>
      <c r="S361" s="316">
        <f t="shared" si="63"/>
        <v>0</v>
      </c>
    </row>
    <row r="362" spans="1:19">
      <c r="A362" s="150"/>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0</v>
      </c>
      <c r="R362" s="662">
        <f t="shared" si="72"/>
        <v>0</v>
      </c>
      <c r="S362" s="316">
        <f t="shared" si="63"/>
        <v>0</v>
      </c>
    </row>
    <row r="363" spans="1:19">
      <c r="A363" s="150"/>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0</v>
      </c>
      <c r="R363" s="662">
        <f t="shared" si="72"/>
        <v>0</v>
      </c>
      <c r="S363" s="316">
        <f t="shared" si="63"/>
        <v>0</v>
      </c>
    </row>
    <row r="364" spans="1:19">
      <c r="A364" s="150"/>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0</v>
      </c>
      <c r="R364" s="662">
        <f t="shared" si="72"/>
        <v>0</v>
      </c>
      <c r="S364" s="316">
        <f t="shared" si="63"/>
        <v>0</v>
      </c>
    </row>
    <row r="365" spans="1:19">
      <c r="A365" s="150"/>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0</v>
      </c>
      <c r="R365" s="662">
        <f t="shared" si="72"/>
        <v>0</v>
      </c>
      <c r="S365" s="316">
        <f t="shared" si="63"/>
        <v>0</v>
      </c>
    </row>
    <row r="366" spans="1:19">
      <c r="A366" s="150"/>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0</v>
      </c>
      <c r="R366" s="662">
        <f t="shared" si="72"/>
        <v>0</v>
      </c>
      <c r="S366" s="316">
        <f t="shared" si="63"/>
        <v>0</v>
      </c>
    </row>
    <row r="367" spans="1:19">
      <c r="A367" s="150"/>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0</v>
      </c>
      <c r="R367" s="662">
        <f t="shared" si="72"/>
        <v>0</v>
      </c>
      <c r="S367" s="316">
        <f t="shared" si="63"/>
        <v>0</v>
      </c>
    </row>
    <row r="368" spans="1:19">
      <c r="A368" s="150"/>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0</v>
      </c>
      <c r="R368" s="662">
        <f t="shared" si="72"/>
        <v>0</v>
      </c>
      <c r="S368" s="316">
        <f t="shared" si="63"/>
        <v>0</v>
      </c>
    </row>
    <row r="369" spans="1:19">
      <c r="A369" s="150"/>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0</v>
      </c>
      <c r="R369" s="662">
        <f t="shared" si="72"/>
        <v>0</v>
      </c>
      <c r="S369" s="316">
        <f t="shared" si="63"/>
        <v>0</v>
      </c>
    </row>
    <row r="370" spans="1:19">
      <c r="A370" s="150"/>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0</v>
      </c>
      <c r="R370" s="662">
        <f t="shared" si="72"/>
        <v>0</v>
      </c>
      <c r="S370" s="316">
        <f t="shared" si="63"/>
        <v>0</v>
      </c>
    </row>
    <row r="371" spans="1:19">
      <c r="A371" s="150"/>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0</v>
      </c>
      <c r="R371" s="662">
        <f t="shared" si="72"/>
        <v>0</v>
      </c>
      <c r="S371" s="316">
        <f t="shared" si="63"/>
        <v>0</v>
      </c>
    </row>
    <row r="372" spans="1:19">
      <c r="A372" s="150"/>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0</v>
      </c>
      <c r="R372" s="662">
        <f t="shared" si="72"/>
        <v>0</v>
      </c>
      <c r="S372" s="316">
        <f t="shared" si="63"/>
        <v>0</v>
      </c>
    </row>
    <row r="373" spans="1:19">
      <c r="A373" s="150"/>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0</v>
      </c>
      <c r="R373" s="662">
        <f t="shared" si="72"/>
        <v>0</v>
      </c>
      <c r="S373" s="316">
        <f t="shared" si="63"/>
        <v>0</v>
      </c>
    </row>
    <row r="374" spans="1:19">
      <c r="A374" s="150"/>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0</v>
      </c>
      <c r="R374" s="662">
        <f t="shared" si="72"/>
        <v>0</v>
      </c>
      <c r="S374" s="316">
        <f t="shared" si="63"/>
        <v>0</v>
      </c>
    </row>
    <row r="375" spans="1:19">
      <c r="A375" s="150"/>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0</v>
      </c>
      <c r="R375" s="662">
        <f t="shared" si="72"/>
        <v>0</v>
      </c>
      <c r="S375" s="316">
        <f t="shared" si="63"/>
        <v>0</v>
      </c>
    </row>
    <row r="376" spans="1:19">
      <c r="A376" s="150"/>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0</v>
      </c>
      <c r="R376" s="662">
        <f t="shared" si="72"/>
        <v>0</v>
      </c>
      <c r="S376" s="316">
        <f t="shared" si="63"/>
        <v>0</v>
      </c>
    </row>
    <row r="377" spans="1:19">
      <c r="A377" s="150"/>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0</v>
      </c>
      <c r="R377" s="662">
        <f t="shared" si="72"/>
        <v>0</v>
      </c>
      <c r="S377" s="316">
        <f t="shared" si="63"/>
        <v>0</v>
      </c>
    </row>
    <row r="378" spans="1:19">
      <c r="A378" s="150"/>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0</v>
      </c>
      <c r="R378" s="662">
        <f t="shared" si="72"/>
        <v>0</v>
      </c>
      <c r="S378" s="316">
        <f t="shared" si="63"/>
        <v>0</v>
      </c>
    </row>
    <row r="379" spans="1:19">
      <c r="A379" s="150"/>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0</v>
      </c>
      <c r="R379" s="662">
        <f t="shared" si="72"/>
        <v>0</v>
      </c>
      <c r="S379" s="316">
        <f t="shared" si="63"/>
        <v>0</v>
      </c>
    </row>
    <row r="380" spans="1:19">
      <c r="A380" s="150"/>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0</v>
      </c>
      <c r="R380" s="662">
        <f t="shared" si="72"/>
        <v>0</v>
      </c>
      <c r="S380" s="316">
        <f t="shared" si="63"/>
        <v>0</v>
      </c>
    </row>
    <row r="381" spans="1:19">
      <c r="A381" s="150"/>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0</v>
      </c>
      <c r="R381" s="662">
        <f t="shared" si="72"/>
        <v>0</v>
      </c>
      <c r="S381" s="316">
        <f t="shared" si="63"/>
        <v>0</v>
      </c>
    </row>
    <row r="382" spans="1:19">
      <c r="A382" s="150"/>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0</v>
      </c>
      <c r="R382" s="662">
        <f t="shared" si="72"/>
        <v>0</v>
      </c>
      <c r="S382" s="316">
        <f t="shared" si="63"/>
        <v>0</v>
      </c>
    </row>
    <row r="383" spans="1:19">
      <c r="A383" s="150"/>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0</v>
      </c>
      <c r="R383" s="662">
        <f t="shared" si="72"/>
        <v>0</v>
      </c>
      <c r="S383" s="316">
        <f t="shared" si="63"/>
        <v>0</v>
      </c>
    </row>
    <row r="384" spans="1:19">
      <c r="A384" s="150"/>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0</v>
      </c>
      <c r="R384" s="662">
        <f t="shared" si="72"/>
        <v>0</v>
      </c>
      <c r="S384" s="316">
        <f t="shared" si="63"/>
        <v>0</v>
      </c>
    </row>
    <row r="385" spans="1:19">
      <c r="A385" s="150"/>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0</v>
      </c>
      <c r="R385" s="662">
        <f t="shared" si="72"/>
        <v>0</v>
      </c>
      <c r="S385" s="316">
        <f t="shared" ref="S385:S422" si="73">ROUND(R385*B385/10000,0)</f>
        <v>0</v>
      </c>
    </row>
    <row r="386" spans="1:19">
      <c r="A386" s="150"/>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0</v>
      </c>
      <c r="R386" s="662">
        <f t="shared" si="72"/>
        <v>0</v>
      </c>
      <c r="S386" s="316">
        <f t="shared" si="73"/>
        <v>0</v>
      </c>
    </row>
    <row r="387" spans="1:19">
      <c r="A387" s="150"/>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0</v>
      </c>
      <c r="R387" s="662">
        <f t="shared" si="72"/>
        <v>0</v>
      </c>
      <c r="S387" s="316">
        <f t="shared" si="73"/>
        <v>0</v>
      </c>
    </row>
    <row r="388" spans="1:19">
      <c r="A388" s="150"/>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0</v>
      </c>
      <c r="R388" s="662">
        <f t="shared" si="72"/>
        <v>0</v>
      </c>
      <c r="S388" s="316">
        <f t="shared" si="73"/>
        <v>0</v>
      </c>
    </row>
    <row r="389" spans="1:19">
      <c r="A389" s="150"/>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0</v>
      </c>
      <c r="R389" s="662">
        <f t="shared" si="72"/>
        <v>0</v>
      </c>
      <c r="S389" s="316">
        <f t="shared" si="73"/>
        <v>0</v>
      </c>
    </row>
    <row r="390" spans="1:19">
      <c r="A390" s="150"/>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0</v>
      </c>
      <c r="R390" s="662">
        <f t="shared" si="72"/>
        <v>0</v>
      </c>
      <c r="S390" s="316">
        <f t="shared" si="73"/>
        <v>0</v>
      </c>
    </row>
    <row r="391" spans="1:19">
      <c r="A391" s="150"/>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0</v>
      </c>
      <c r="R391" s="662">
        <f t="shared" si="72"/>
        <v>0</v>
      </c>
      <c r="S391" s="316">
        <f t="shared" si="73"/>
        <v>0</v>
      </c>
    </row>
    <row r="392" spans="1:19">
      <c r="A392" s="150"/>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0</v>
      </c>
      <c r="R392" s="662">
        <f t="shared" si="72"/>
        <v>0</v>
      </c>
      <c r="S392" s="316">
        <f t="shared" si="73"/>
        <v>0</v>
      </c>
    </row>
    <row r="393" spans="1:19">
      <c r="A393" s="150"/>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0</v>
      </c>
      <c r="R393" s="662">
        <f t="shared" si="72"/>
        <v>0</v>
      </c>
      <c r="S393" s="316">
        <f t="shared" si="73"/>
        <v>0</v>
      </c>
    </row>
    <row r="394" spans="1:19">
      <c r="A394" s="150"/>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0</v>
      </c>
      <c r="R394" s="662">
        <f t="shared" si="72"/>
        <v>0</v>
      </c>
      <c r="S394" s="316">
        <f t="shared" si="73"/>
        <v>0</v>
      </c>
    </row>
    <row r="395" spans="1:19">
      <c r="A395" s="150"/>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0</v>
      </c>
      <c r="R395" s="662">
        <f t="shared" si="72"/>
        <v>0</v>
      </c>
      <c r="S395" s="316">
        <f t="shared" si="73"/>
        <v>0</v>
      </c>
    </row>
    <row r="396" spans="1:19">
      <c r="A396" s="150"/>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0</v>
      </c>
      <c r="R396" s="662">
        <f t="shared" si="72"/>
        <v>0</v>
      </c>
      <c r="S396" s="316">
        <f t="shared" si="73"/>
        <v>0</v>
      </c>
    </row>
    <row r="397" spans="1:19">
      <c r="A397" s="150"/>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0</v>
      </c>
      <c r="R397" s="662">
        <f t="shared" si="72"/>
        <v>0</v>
      </c>
      <c r="S397" s="316">
        <f t="shared" si="73"/>
        <v>0</v>
      </c>
    </row>
    <row r="398" spans="1:19">
      <c r="A398" s="150"/>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0</v>
      </c>
      <c r="R398" s="662">
        <f t="shared" si="72"/>
        <v>0</v>
      </c>
      <c r="S398" s="316">
        <f t="shared" si="73"/>
        <v>0</v>
      </c>
    </row>
    <row r="399" spans="1:19">
      <c r="A399" s="150"/>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0</v>
      </c>
      <c r="R399" s="662">
        <f t="shared" si="72"/>
        <v>0</v>
      </c>
      <c r="S399" s="316">
        <f t="shared" si="73"/>
        <v>0</v>
      </c>
    </row>
    <row r="400" spans="1:19">
      <c r="A400" s="150"/>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0</v>
      </c>
      <c r="R400" s="662">
        <f t="shared" si="72"/>
        <v>0</v>
      </c>
      <c r="S400" s="316">
        <f t="shared" si="73"/>
        <v>0</v>
      </c>
    </row>
    <row r="401" spans="1:19">
      <c r="A401" s="150"/>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0</v>
      </c>
      <c r="R401" s="662">
        <f t="shared" si="72"/>
        <v>0</v>
      </c>
      <c r="S401" s="316">
        <f t="shared" si="73"/>
        <v>0</v>
      </c>
    </row>
    <row r="402" spans="1:19">
      <c r="A402" s="150"/>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0</v>
      </c>
      <c r="R402" s="662">
        <f t="shared" si="72"/>
        <v>0</v>
      </c>
      <c r="S402" s="316">
        <f t="shared" si="73"/>
        <v>0</v>
      </c>
    </row>
    <row r="403" spans="1:19">
      <c r="A403" s="150"/>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0</v>
      </c>
      <c r="R403" s="662">
        <f t="shared" si="72"/>
        <v>0</v>
      </c>
      <c r="S403" s="316">
        <f t="shared" si="73"/>
        <v>0</v>
      </c>
    </row>
    <row r="404" spans="1:19">
      <c r="A404" s="150"/>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0</v>
      </c>
      <c r="R404" s="662">
        <f t="shared" si="72"/>
        <v>0</v>
      </c>
      <c r="S404" s="316">
        <f t="shared" si="73"/>
        <v>0</v>
      </c>
    </row>
    <row r="405" spans="1:19">
      <c r="A405" s="150"/>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0</v>
      </c>
      <c r="R405" s="662">
        <f t="shared" si="72"/>
        <v>0</v>
      </c>
      <c r="S405" s="316">
        <f t="shared" si="73"/>
        <v>0</v>
      </c>
    </row>
    <row r="406" spans="1:19">
      <c r="A406" s="150"/>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0</v>
      </c>
      <c r="R406" s="662">
        <f t="shared" si="72"/>
        <v>0</v>
      </c>
      <c r="S406" s="316">
        <f t="shared" si="73"/>
        <v>0</v>
      </c>
    </row>
    <row r="407" spans="1:19">
      <c r="A407" s="150"/>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0</v>
      </c>
      <c r="R407" s="662">
        <f t="shared" si="72"/>
        <v>0</v>
      </c>
      <c r="S407" s="316">
        <f t="shared" si="73"/>
        <v>0</v>
      </c>
    </row>
    <row r="408" spans="1:19">
      <c r="A408" s="150"/>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0</v>
      </c>
      <c r="R408" s="662">
        <f t="shared" si="72"/>
        <v>0</v>
      </c>
      <c r="S408" s="316">
        <f t="shared" si="73"/>
        <v>0</v>
      </c>
    </row>
    <row r="409" spans="1:19">
      <c r="A409" s="150"/>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0</v>
      </c>
      <c r="R409" s="662">
        <f t="shared" si="72"/>
        <v>0</v>
      </c>
      <c r="S409" s="316">
        <f t="shared" si="73"/>
        <v>0</v>
      </c>
    </row>
    <row r="410" spans="1:19">
      <c r="A410" s="150"/>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0</v>
      </c>
      <c r="R410" s="662">
        <f t="shared" ref="R410:R473" si="82">IF(B410="",0,ROUND($R$24*C410*E410*G410*I410*K410*M410*O410*Q410,0))</f>
        <v>0</v>
      </c>
      <c r="S410" s="316">
        <f t="shared" si="73"/>
        <v>0</v>
      </c>
    </row>
    <row r="411" spans="1:19">
      <c r="A411" s="150"/>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0</v>
      </c>
      <c r="R411" s="662">
        <f t="shared" si="82"/>
        <v>0</v>
      </c>
      <c r="S411" s="316">
        <f t="shared" si="73"/>
        <v>0</v>
      </c>
    </row>
    <row r="412" spans="1:19">
      <c r="A412" s="150"/>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0</v>
      </c>
      <c r="R412" s="662">
        <f t="shared" si="82"/>
        <v>0</v>
      </c>
      <c r="S412" s="316">
        <f t="shared" si="73"/>
        <v>0</v>
      </c>
    </row>
    <row r="413" spans="1:19">
      <c r="A413" s="150"/>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0</v>
      </c>
      <c r="R413" s="662">
        <f t="shared" si="82"/>
        <v>0</v>
      </c>
      <c r="S413" s="316">
        <f t="shared" si="73"/>
        <v>0</v>
      </c>
    </row>
    <row r="414" spans="1:19">
      <c r="A414" s="150"/>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0</v>
      </c>
      <c r="R414" s="662">
        <f t="shared" si="82"/>
        <v>0</v>
      </c>
      <c r="S414" s="316">
        <f t="shared" si="73"/>
        <v>0</v>
      </c>
    </row>
    <row r="415" spans="1:19">
      <c r="A415" s="150"/>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0</v>
      </c>
      <c r="R415" s="662">
        <f t="shared" si="82"/>
        <v>0</v>
      </c>
      <c r="S415" s="316">
        <f t="shared" si="73"/>
        <v>0</v>
      </c>
    </row>
    <row r="416" spans="1:19">
      <c r="A416" s="150"/>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0</v>
      </c>
      <c r="R416" s="662">
        <f t="shared" si="82"/>
        <v>0</v>
      </c>
      <c r="S416" s="316">
        <f t="shared" si="73"/>
        <v>0</v>
      </c>
    </row>
    <row r="417" spans="1:19">
      <c r="A417" s="150"/>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0</v>
      </c>
      <c r="R417" s="662">
        <f t="shared" si="82"/>
        <v>0</v>
      </c>
      <c r="S417" s="316">
        <f t="shared" si="73"/>
        <v>0</v>
      </c>
    </row>
    <row r="418" spans="1:19">
      <c r="A418" s="150"/>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0</v>
      </c>
      <c r="R418" s="662">
        <f t="shared" si="82"/>
        <v>0</v>
      </c>
      <c r="S418" s="316">
        <f t="shared" si="73"/>
        <v>0</v>
      </c>
    </row>
    <row r="419" spans="1:19">
      <c r="A419" s="150"/>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0</v>
      </c>
      <c r="R419" s="662">
        <f t="shared" si="82"/>
        <v>0</v>
      </c>
      <c r="S419" s="316">
        <f t="shared" si="73"/>
        <v>0</v>
      </c>
    </row>
    <row r="420" spans="1:19">
      <c r="A420" s="150"/>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0</v>
      </c>
      <c r="R420" s="662">
        <f t="shared" si="82"/>
        <v>0</v>
      </c>
      <c r="S420" s="316">
        <f t="shared" si="73"/>
        <v>0</v>
      </c>
    </row>
    <row r="421" spans="1:19">
      <c r="A421" s="150"/>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0</v>
      </c>
      <c r="R421" s="662">
        <f t="shared" si="82"/>
        <v>0</v>
      </c>
      <c r="S421" s="316">
        <f t="shared" si="73"/>
        <v>0</v>
      </c>
    </row>
    <row r="422" spans="1:19">
      <c r="A422" s="150"/>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0</v>
      </c>
      <c r="R422" s="662">
        <f t="shared" si="82"/>
        <v>0</v>
      </c>
      <c r="S422" s="316">
        <f t="shared" si="73"/>
        <v>0</v>
      </c>
    </row>
    <row r="423" spans="1:19">
      <c r="A423" s="150"/>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0</v>
      </c>
      <c r="R423" s="662">
        <f t="shared" si="82"/>
        <v>0</v>
      </c>
      <c r="S423" s="316">
        <f t="shared" ref="S423:S467" si="83">ROUND(R423*B423/10000,0)</f>
        <v>0</v>
      </c>
    </row>
    <row r="424" spans="1:19">
      <c r="A424" s="150"/>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0</v>
      </c>
      <c r="R424" s="662">
        <f t="shared" si="82"/>
        <v>0</v>
      </c>
      <c r="S424" s="316">
        <f t="shared" si="83"/>
        <v>0</v>
      </c>
    </row>
    <row r="425" spans="1:19">
      <c r="A425" s="150"/>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0</v>
      </c>
      <c r="R425" s="662">
        <f t="shared" si="82"/>
        <v>0</v>
      </c>
      <c r="S425" s="316">
        <f t="shared" si="83"/>
        <v>0</v>
      </c>
    </row>
    <row r="426" spans="1:19">
      <c r="A426" s="150"/>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0</v>
      </c>
      <c r="R426" s="662">
        <f t="shared" si="82"/>
        <v>0</v>
      </c>
      <c r="S426" s="316">
        <f t="shared" si="83"/>
        <v>0</v>
      </c>
    </row>
    <row r="427" spans="1:19">
      <c r="A427" s="150"/>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0</v>
      </c>
      <c r="R427" s="662">
        <f t="shared" si="82"/>
        <v>0</v>
      </c>
      <c r="S427" s="316">
        <f t="shared" si="83"/>
        <v>0</v>
      </c>
    </row>
    <row r="428" spans="1:19">
      <c r="A428" s="150"/>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0</v>
      </c>
      <c r="R428" s="662">
        <f t="shared" si="82"/>
        <v>0</v>
      </c>
      <c r="S428" s="316">
        <f t="shared" si="83"/>
        <v>0</v>
      </c>
    </row>
    <row r="429" spans="1:19">
      <c r="A429" s="150"/>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0</v>
      </c>
      <c r="R429" s="662">
        <f t="shared" si="82"/>
        <v>0</v>
      </c>
      <c r="S429" s="316">
        <f t="shared" si="83"/>
        <v>0</v>
      </c>
    </row>
    <row r="430" spans="1:19">
      <c r="A430" s="150"/>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0</v>
      </c>
      <c r="R430" s="662">
        <f t="shared" si="82"/>
        <v>0</v>
      </c>
      <c r="S430" s="316">
        <f t="shared" si="83"/>
        <v>0</v>
      </c>
    </row>
    <row r="431" spans="1:19">
      <c r="A431" s="150"/>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0</v>
      </c>
      <c r="R431" s="662">
        <f t="shared" si="82"/>
        <v>0</v>
      </c>
      <c r="S431" s="316">
        <f t="shared" si="83"/>
        <v>0</v>
      </c>
    </row>
    <row r="432" spans="1:19">
      <c r="A432" s="150"/>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0</v>
      </c>
      <c r="R432" s="662">
        <f t="shared" si="82"/>
        <v>0</v>
      </c>
      <c r="S432" s="316">
        <f t="shared" si="83"/>
        <v>0</v>
      </c>
    </row>
    <row r="433" spans="1:19">
      <c r="A433" s="150"/>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0</v>
      </c>
      <c r="R433" s="662">
        <f t="shared" si="82"/>
        <v>0</v>
      </c>
      <c r="S433" s="316">
        <f t="shared" si="83"/>
        <v>0</v>
      </c>
    </row>
    <row r="434" spans="1:19">
      <c r="A434" s="150"/>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0</v>
      </c>
      <c r="R434" s="662">
        <f t="shared" si="82"/>
        <v>0</v>
      </c>
      <c r="S434" s="316">
        <f t="shared" si="83"/>
        <v>0</v>
      </c>
    </row>
    <row r="435" spans="1:19">
      <c r="A435" s="150"/>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0</v>
      </c>
      <c r="R435" s="662">
        <f t="shared" si="82"/>
        <v>0</v>
      </c>
      <c r="S435" s="316">
        <f t="shared" si="83"/>
        <v>0</v>
      </c>
    </row>
    <row r="436" spans="1:19">
      <c r="A436" s="150"/>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0</v>
      </c>
      <c r="R436" s="662">
        <f t="shared" si="82"/>
        <v>0</v>
      </c>
      <c r="S436" s="316">
        <f t="shared" si="83"/>
        <v>0</v>
      </c>
    </row>
    <row r="437" spans="1:19">
      <c r="A437" s="150"/>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0</v>
      </c>
      <c r="R437" s="662">
        <f t="shared" si="82"/>
        <v>0</v>
      </c>
      <c r="S437" s="316">
        <f t="shared" si="83"/>
        <v>0</v>
      </c>
    </row>
    <row r="438" spans="1:19">
      <c r="A438" s="150"/>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0</v>
      </c>
      <c r="R438" s="662">
        <f t="shared" si="82"/>
        <v>0</v>
      </c>
      <c r="S438" s="316">
        <f t="shared" si="83"/>
        <v>0</v>
      </c>
    </row>
    <row r="439" spans="1:19">
      <c r="A439" s="150"/>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0</v>
      </c>
      <c r="R439" s="662">
        <f t="shared" si="82"/>
        <v>0</v>
      </c>
      <c r="S439" s="316">
        <f t="shared" si="83"/>
        <v>0</v>
      </c>
    </row>
    <row r="440" spans="1:19">
      <c r="A440" s="150"/>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0</v>
      </c>
      <c r="R440" s="662">
        <f t="shared" si="82"/>
        <v>0</v>
      </c>
      <c r="S440" s="316">
        <f t="shared" si="83"/>
        <v>0</v>
      </c>
    </row>
    <row r="441" spans="1:19">
      <c r="A441" s="150"/>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0</v>
      </c>
      <c r="R441" s="662">
        <f t="shared" si="82"/>
        <v>0</v>
      </c>
      <c r="S441" s="316">
        <f t="shared" si="83"/>
        <v>0</v>
      </c>
    </row>
    <row r="442" spans="1:19">
      <c r="A442" s="150"/>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0</v>
      </c>
      <c r="R442" s="662">
        <f t="shared" si="82"/>
        <v>0</v>
      </c>
      <c r="S442" s="316">
        <f t="shared" si="83"/>
        <v>0</v>
      </c>
    </row>
    <row r="443" spans="1:19">
      <c r="A443" s="150"/>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0</v>
      </c>
      <c r="R443" s="662">
        <f t="shared" si="82"/>
        <v>0</v>
      </c>
      <c r="S443" s="316">
        <f t="shared" si="83"/>
        <v>0</v>
      </c>
    </row>
    <row r="444" spans="1:19">
      <c r="A444" s="150"/>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0</v>
      </c>
      <c r="R444" s="662">
        <f t="shared" si="82"/>
        <v>0</v>
      </c>
      <c r="S444" s="316">
        <f t="shared" si="83"/>
        <v>0</v>
      </c>
    </row>
    <row r="445" spans="1:19">
      <c r="A445" s="150"/>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0</v>
      </c>
      <c r="R445" s="662">
        <f t="shared" si="82"/>
        <v>0</v>
      </c>
      <c r="S445" s="316">
        <f t="shared" si="83"/>
        <v>0</v>
      </c>
    </row>
    <row r="446" spans="1:19">
      <c r="A446" s="150"/>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0</v>
      </c>
      <c r="R446" s="662">
        <f t="shared" si="82"/>
        <v>0</v>
      </c>
      <c r="S446" s="316">
        <f t="shared" si="83"/>
        <v>0</v>
      </c>
    </row>
    <row r="447" spans="1:19">
      <c r="A447" s="150"/>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0</v>
      </c>
      <c r="R447" s="662">
        <f t="shared" si="82"/>
        <v>0</v>
      </c>
      <c r="S447" s="316">
        <f t="shared" si="83"/>
        <v>0</v>
      </c>
    </row>
    <row r="448" spans="1:19">
      <c r="A448" s="150"/>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0</v>
      </c>
      <c r="R448" s="662">
        <f t="shared" si="82"/>
        <v>0</v>
      </c>
      <c r="S448" s="316">
        <f t="shared" si="83"/>
        <v>0</v>
      </c>
    </row>
    <row r="449" spans="1:19">
      <c r="A449" s="150"/>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0</v>
      </c>
      <c r="R449" s="662">
        <f t="shared" si="82"/>
        <v>0</v>
      </c>
      <c r="S449" s="316">
        <f t="shared" si="83"/>
        <v>0</v>
      </c>
    </row>
    <row r="450" spans="1:19">
      <c r="A450" s="150"/>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0</v>
      </c>
      <c r="R450" s="662">
        <f t="shared" si="82"/>
        <v>0</v>
      </c>
      <c r="S450" s="316">
        <f t="shared" si="83"/>
        <v>0</v>
      </c>
    </row>
    <row r="451" spans="1:19">
      <c r="A451" s="150"/>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0</v>
      </c>
      <c r="R451" s="662">
        <f t="shared" si="82"/>
        <v>0</v>
      </c>
      <c r="S451" s="316">
        <f t="shared" si="83"/>
        <v>0</v>
      </c>
    </row>
    <row r="452" spans="1:19">
      <c r="A452" s="150"/>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0</v>
      </c>
      <c r="R452" s="662">
        <f t="shared" si="82"/>
        <v>0</v>
      </c>
      <c r="S452" s="316">
        <f t="shared" si="83"/>
        <v>0</v>
      </c>
    </row>
    <row r="453" spans="1:19">
      <c r="A453" s="150"/>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0</v>
      </c>
      <c r="R453" s="662">
        <f t="shared" si="82"/>
        <v>0</v>
      </c>
      <c r="S453" s="316">
        <f t="shared" si="83"/>
        <v>0</v>
      </c>
    </row>
    <row r="454" spans="1:19">
      <c r="A454" s="150"/>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0</v>
      </c>
      <c r="R454" s="662">
        <f t="shared" si="82"/>
        <v>0</v>
      </c>
      <c r="S454" s="316">
        <f t="shared" si="83"/>
        <v>0</v>
      </c>
    </row>
    <row r="455" spans="1:19">
      <c r="A455" s="150"/>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0</v>
      </c>
      <c r="R455" s="662">
        <f t="shared" si="82"/>
        <v>0</v>
      </c>
      <c r="S455" s="316">
        <f t="shared" si="83"/>
        <v>0</v>
      </c>
    </row>
    <row r="456" spans="1:19">
      <c r="A456" s="150"/>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0</v>
      </c>
      <c r="R456" s="662">
        <f t="shared" si="82"/>
        <v>0</v>
      </c>
      <c r="S456" s="316">
        <f t="shared" si="83"/>
        <v>0</v>
      </c>
    </row>
    <row r="457" spans="1:19">
      <c r="A457" s="150"/>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0</v>
      </c>
      <c r="R457" s="662">
        <f t="shared" si="82"/>
        <v>0</v>
      </c>
      <c r="S457" s="316">
        <f t="shared" si="83"/>
        <v>0</v>
      </c>
    </row>
    <row r="458" spans="1:19">
      <c r="A458" s="150"/>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0</v>
      </c>
      <c r="R458" s="662">
        <f t="shared" si="82"/>
        <v>0</v>
      </c>
      <c r="S458" s="316">
        <f t="shared" si="83"/>
        <v>0</v>
      </c>
    </row>
    <row r="459" spans="1:19">
      <c r="A459" s="150"/>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0</v>
      </c>
      <c r="R459" s="662">
        <f t="shared" si="82"/>
        <v>0</v>
      </c>
      <c r="S459" s="316">
        <f t="shared" si="83"/>
        <v>0</v>
      </c>
    </row>
    <row r="460" spans="1:19">
      <c r="A460" s="150"/>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0</v>
      </c>
      <c r="R460" s="662">
        <f t="shared" si="82"/>
        <v>0</v>
      </c>
      <c r="S460" s="316">
        <f t="shared" si="83"/>
        <v>0</v>
      </c>
    </row>
    <row r="461" spans="1:19">
      <c r="A461" s="150"/>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0</v>
      </c>
      <c r="R461" s="662">
        <f t="shared" si="82"/>
        <v>0</v>
      </c>
      <c r="S461" s="316">
        <f t="shared" si="83"/>
        <v>0</v>
      </c>
    </row>
    <row r="462" spans="1:19">
      <c r="A462" s="150"/>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0</v>
      </c>
      <c r="R462" s="662">
        <f t="shared" si="82"/>
        <v>0</v>
      </c>
      <c r="S462" s="316">
        <f t="shared" si="83"/>
        <v>0</v>
      </c>
    </row>
    <row r="463" spans="1:19">
      <c r="A463" s="150"/>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0</v>
      </c>
      <c r="R463" s="662">
        <f t="shared" si="82"/>
        <v>0</v>
      </c>
      <c r="S463" s="316">
        <f t="shared" si="83"/>
        <v>0</v>
      </c>
    </row>
    <row r="464" spans="1:19">
      <c r="A464" s="150"/>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0</v>
      </c>
      <c r="R464" s="662">
        <f t="shared" si="82"/>
        <v>0</v>
      </c>
      <c r="S464" s="316">
        <f t="shared" si="83"/>
        <v>0</v>
      </c>
    </row>
    <row r="465" spans="1:19">
      <c r="A465" s="150"/>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0</v>
      </c>
      <c r="R465" s="662">
        <f t="shared" si="82"/>
        <v>0</v>
      </c>
      <c r="S465" s="316">
        <f t="shared" si="83"/>
        <v>0</v>
      </c>
    </row>
    <row r="466" spans="1:19">
      <c r="A466" s="150"/>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0</v>
      </c>
      <c r="R466" s="662">
        <f t="shared" si="82"/>
        <v>0</v>
      </c>
      <c r="S466" s="316">
        <f t="shared" si="83"/>
        <v>0</v>
      </c>
    </row>
    <row r="467" spans="1:19">
      <c r="A467" s="150"/>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0</v>
      </c>
      <c r="R467" s="662">
        <f t="shared" si="82"/>
        <v>0</v>
      </c>
      <c r="S467" s="316">
        <f t="shared" si="83"/>
        <v>0</v>
      </c>
    </row>
    <row r="468" spans="1:19">
      <c r="A468" s="150"/>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0</v>
      </c>
      <c r="R468" s="662">
        <f t="shared" si="82"/>
        <v>0</v>
      </c>
      <c r="S468" s="316">
        <f t="shared" ref="S468:S497" si="84">ROUND(R468*B468/10000,0)</f>
        <v>0</v>
      </c>
    </row>
    <row r="469" spans="1:19">
      <c r="A469" s="150"/>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0</v>
      </c>
      <c r="R469" s="662">
        <f t="shared" si="82"/>
        <v>0</v>
      </c>
      <c r="S469" s="316">
        <f t="shared" si="84"/>
        <v>0</v>
      </c>
    </row>
    <row r="470" spans="1:19">
      <c r="A470" s="150"/>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0</v>
      </c>
      <c r="R470" s="662">
        <f t="shared" si="82"/>
        <v>0</v>
      </c>
      <c r="S470" s="316">
        <f t="shared" si="84"/>
        <v>0</v>
      </c>
    </row>
    <row r="471" spans="1:19">
      <c r="A471" s="150"/>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0</v>
      </c>
      <c r="R471" s="662">
        <f t="shared" si="82"/>
        <v>0</v>
      </c>
      <c r="S471" s="316">
        <f t="shared" si="84"/>
        <v>0</v>
      </c>
    </row>
    <row r="472" spans="1:19">
      <c r="A472" s="150"/>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0</v>
      </c>
      <c r="R472" s="662">
        <f t="shared" si="82"/>
        <v>0</v>
      </c>
      <c r="S472" s="316">
        <f t="shared" si="84"/>
        <v>0</v>
      </c>
    </row>
    <row r="473" spans="1:19">
      <c r="A473" s="150"/>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0</v>
      </c>
      <c r="R473" s="662">
        <f t="shared" si="82"/>
        <v>0</v>
      </c>
      <c r="S473" s="316">
        <f t="shared" si="84"/>
        <v>0</v>
      </c>
    </row>
    <row r="474" spans="1:19">
      <c r="A474" s="150"/>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0</v>
      </c>
      <c r="R474" s="662">
        <f t="shared" ref="R474:R524" si="93">IF(B474="",0,ROUND($R$24*C474*E474*G474*I474*K474*M474*O474*Q474,0))</f>
        <v>0</v>
      </c>
      <c r="S474" s="316">
        <f t="shared" si="84"/>
        <v>0</v>
      </c>
    </row>
    <row r="475" spans="1:19">
      <c r="A475" s="150"/>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0</v>
      </c>
      <c r="R475" s="662">
        <f t="shared" si="93"/>
        <v>0</v>
      </c>
      <c r="S475" s="316">
        <f t="shared" si="84"/>
        <v>0</v>
      </c>
    </row>
    <row r="476" spans="1:19">
      <c r="A476" s="150"/>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0</v>
      </c>
      <c r="R476" s="662">
        <f t="shared" si="93"/>
        <v>0</v>
      </c>
      <c r="S476" s="316">
        <f t="shared" si="84"/>
        <v>0</v>
      </c>
    </row>
    <row r="477" spans="1:19">
      <c r="A477" s="150"/>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0</v>
      </c>
      <c r="R477" s="662">
        <f t="shared" si="93"/>
        <v>0</v>
      </c>
      <c r="S477" s="316">
        <f t="shared" si="84"/>
        <v>0</v>
      </c>
    </row>
    <row r="478" spans="1:19">
      <c r="A478" s="150"/>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0</v>
      </c>
      <c r="R478" s="662">
        <f t="shared" si="93"/>
        <v>0</v>
      </c>
      <c r="S478" s="316">
        <f t="shared" si="84"/>
        <v>0</v>
      </c>
    </row>
    <row r="479" spans="1:19">
      <c r="A479" s="150"/>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0</v>
      </c>
      <c r="R479" s="662">
        <f t="shared" si="93"/>
        <v>0</v>
      </c>
      <c r="S479" s="316">
        <f t="shared" si="84"/>
        <v>0</v>
      </c>
    </row>
    <row r="480" spans="1:19">
      <c r="A480" s="150"/>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0</v>
      </c>
      <c r="R480" s="662">
        <f t="shared" si="93"/>
        <v>0</v>
      </c>
      <c r="S480" s="316">
        <f t="shared" si="84"/>
        <v>0</v>
      </c>
    </row>
    <row r="481" spans="1:19">
      <c r="A481" s="150"/>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0</v>
      </c>
      <c r="R481" s="662">
        <f t="shared" si="93"/>
        <v>0</v>
      </c>
      <c r="S481" s="316">
        <f t="shared" si="84"/>
        <v>0</v>
      </c>
    </row>
    <row r="482" spans="1:19">
      <c r="A482" s="150"/>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0</v>
      </c>
      <c r="R482" s="662">
        <f t="shared" si="93"/>
        <v>0</v>
      </c>
      <c r="S482" s="316">
        <f t="shared" si="84"/>
        <v>0</v>
      </c>
    </row>
    <row r="483" spans="1:19">
      <c r="A483" s="150"/>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0</v>
      </c>
      <c r="R483" s="662">
        <f t="shared" si="93"/>
        <v>0</v>
      </c>
      <c r="S483" s="316">
        <f t="shared" si="84"/>
        <v>0</v>
      </c>
    </row>
    <row r="484" spans="1:19">
      <c r="A484" s="150"/>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0</v>
      </c>
      <c r="R484" s="662">
        <f t="shared" si="93"/>
        <v>0</v>
      </c>
      <c r="S484" s="316">
        <f t="shared" si="84"/>
        <v>0</v>
      </c>
    </row>
    <row r="485" spans="1:19">
      <c r="A485" s="150"/>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0</v>
      </c>
      <c r="R485" s="662">
        <f t="shared" si="93"/>
        <v>0</v>
      </c>
      <c r="S485" s="316">
        <f t="shared" si="84"/>
        <v>0</v>
      </c>
    </row>
    <row r="486" spans="1:19">
      <c r="A486" s="150"/>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0</v>
      </c>
      <c r="R486" s="662">
        <f t="shared" si="93"/>
        <v>0</v>
      </c>
      <c r="S486" s="316">
        <f t="shared" si="84"/>
        <v>0</v>
      </c>
    </row>
    <row r="487" spans="1:19">
      <c r="A487" s="150"/>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0</v>
      </c>
      <c r="R487" s="662">
        <f t="shared" si="93"/>
        <v>0</v>
      </c>
      <c r="S487" s="316">
        <f t="shared" si="84"/>
        <v>0</v>
      </c>
    </row>
    <row r="488" spans="1:19">
      <c r="A488" s="150"/>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0</v>
      </c>
      <c r="R488" s="662">
        <f t="shared" si="93"/>
        <v>0</v>
      </c>
      <c r="S488" s="316">
        <f t="shared" si="84"/>
        <v>0</v>
      </c>
    </row>
    <row r="489" spans="1:19">
      <c r="A489" s="150"/>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0</v>
      </c>
      <c r="R489" s="662">
        <f t="shared" si="93"/>
        <v>0</v>
      </c>
      <c r="S489" s="316">
        <f t="shared" si="84"/>
        <v>0</v>
      </c>
    </row>
    <row r="490" spans="1:19">
      <c r="A490" s="150"/>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0</v>
      </c>
      <c r="R490" s="662">
        <f t="shared" si="93"/>
        <v>0</v>
      </c>
      <c r="S490" s="316">
        <f t="shared" si="84"/>
        <v>0</v>
      </c>
    </row>
    <row r="491" spans="1:19">
      <c r="A491" s="150"/>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0</v>
      </c>
      <c r="R491" s="662">
        <f t="shared" si="93"/>
        <v>0</v>
      </c>
      <c r="S491" s="316">
        <f t="shared" si="84"/>
        <v>0</v>
      </c>
    </row>
    <row r="492" spans="1:19">
      <c r="A492" s="150"/>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0</v>
      </c>
      <c r="R492" s="662">
        <f t="shared" si="93"/>
        <v>0</v>
      </c>
      <c r="S492" s="316">
        <f t="shared" si="84"/>
        <v>0</v>
      </c>
    </row>
    <row r="493" spans="1:19">
      <c r="A493" s="150"/>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0</v>
      </c>
      <c r="R493" s="662">
        <f t="shared" si="93"/>
        <v>0</v>
      </c>
      <c r="S493" s="316">
        <f t="shared" si="84"/>
        <v>0</v>
      </c>
    </row>
    <row r="494" spans="1:19">
      <c r="A494" s="150"/>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0</v>
      </c>
      <c r="R494" s="662">
        <f t="shared" si="93"/>
        <v>0</v>
      </c>
      <c r="S494" s="316">
        <f t="shared" si="84"/>
        <v>0</v>
      </c>
    </row>
    <row r="495" spans="1:19">
      <c r="A495" s="150"/>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0</v>
      </c>
      <c r="R495" s="662">
        <f t="shared" si="93"/>
        <v>0</v>
      </c>
      <c r="S495" s="316">
        <f t="shared" si="84"/>
        <v>0</v>
      </c>
    </row>
    <row r="496" spans="1:19">
      <c r="A496" s="150"/>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0</v>
      </c>
      <c r="R496" s="662">
        <f t="shared" si="93"/>
        <v>0</v>
      </c>
      <c r="S496" s="316">
        <f t="shared" si="84"/>
        <v>0</v>
      </c>
    </row>
    <row r="497" spans="1:19">
      <c r="A497" s="150"/>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0</v>
      </c>
      <c r="R497" s="662">
        <f t="shared" si="93"/>
        <v>0</v>
      </c>
      <c r="S497" s="316">
        <f t="shared" si="84"/>
        <v>0</v>
      </c>
    </row>
    <row r="498" spans="1:19">
      <c r="A498" s="150"/>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0</v>
      </c>
      <c r="R498" s="662">
        <f t="shared" si="93"/>
        <v>0</v>
      </c>
      <c r="S498" s="316">
        <f t="shared" ref="S498:S524" si="94">ROUND(R498*B498/10000,0)</f>
        <v>0</v>
      </c>
    </row>
    <row r="499" spans="1:19">
      <c r="A499" s="150"/>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0</v>
      </c>
      <c r="R499" s="662">
        <f t="shared" si="93"/>
        <v>0</v>
      </c>
      <c r="S499" s="316">
        <f t="shared" si="94"/>
        <v>0</v>
      </c>
    </row>
    <row r="500" spans="1:19">
      <c r="A500" s="150"/>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0</v>
      </c>
      <c r="R500" s="662">
        <f t="shared" si="93"/>
        <v>0</v>
      </c>
      <c r="S500" s="316">
        <f t="shared" si="94"/>
        <v>0</v>
      </c>
    </row>
    <row r="501" spans="1:19">
      <c r="A501" s="150"/>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0</v>
      </c>
      <c r="R501" s="662">
        <f t="shared" si="93"/>
        <v>0</v>
      </c>
      <c r="S501" s="316">
        <f t="shared" si="94"/>
        <v>0</v>
      </c>
    </row>
    <row r="502" spans="1:19">
      <c r="A502" s="150"/>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0</v>
      </c>
      <c r="R502" s="662">
        <f t="shared" si="93"/>
        <v>0</v>
      </c>
      <c r="S502" s="316">
        <f t="shared" si="94"/>
        <v>0</v>
      </c>
    </row>
    <row r="503" spans="1:19">
      <c r="A503" s="150"/>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0</v>
      </c>
      <c r="R503" s="662">
        <f t="shared" si="93"/>
        <v>0</v>
      </c>
      <c r="S503" s="316">
        <f t="shared" si="94"/>
        <v>0</v>
      </c>
    </row>
    <row r="504" spans="1:19">
      <c r="A504" s="150"/>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0</v>
      </c>
      <c r="R504" s="662">
        <f t="shared" si="93"/>
        <v>0</v>
      </c>
      <c r="S504" s="316">
        <f t="shared" si="94"/>
        <v>0</v>
      </c>
    </row>
    <row r="505" spans="1:19">
      <c r="A505" s="150"/>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0</v>
      </c>
      <c r="R505" s="662">
        <f t="shared" si="93"/>
        <v>0</v>
      </c>
      <c r="S505" s="316">
        <f t="shared" si="94"/>
        <v>0</v>
      </c>
    </row>
    <row r="506" spans="1:19">
      <c r="A506" s="150"/>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0</v>
      </c>
      <c r="R506" s="662">
        <f t="shared" si="93"/>
        <v>0</v>
      </c>
      <c r="S506" s="316">
        <f t="shared" si="94"/>
        <v>0</v>
      </c>
    </row>
    <row r="507" spans="1:19">
      <c r="A507" s="150"/>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0</v>
      </c>
      <c r="R507" s="662">
        <f t="shared" si="93"/>
        <v>0</v>
      </c>
      <c r="S507" s="316">
        <f t="shared" si="94"/>
        <v>0</v>
      </c>
    </row>
    <row r="508" spans="1:19">
      <c r="A508" s="150"/>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0</v>
      </c>
      <c r="R508" s="662">
        <f t="shared" si="93"/>
        <v>0</v>
      </c>
      <c r="S508" s="316">
        <f t="shared" si="94"/>
        <v>0</v>
      </c>
    </row>
    <row r="509" spans="1:19">
      <c r="A509" s="150"/>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0</v>
      </c>
      <c r="R509" s="662">
        <f t="shared" si="93"/>
        <v>0</v>
      </c>
      <c r="S509" s="316">
        <f t="shared" si="94"/>
        <v>0</v>
      </c>
    </row>
    <row r="510" spans="1:19">
      <c r="A510" s="150"/>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0</v>
      </c>
      <c r="R510" s="662">
        <f t="shared" si="93"/>
        <v>0</v>
      </c>
      <c r="S510" s="316">
        <f t="shared" si="94"/>
        <v>0</v>
      </c>
    </row>
    <row r="511" spans="1:19">
      <c r="A511" s="150"/>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0</v>
      </c>
      <c r="R511" s="662">
        <f t="shared" si="93"/>
        <v>0</v>
      </c>
      <c r="S511" s="316">
        <f t="shared" si="94"/>
        <v>0</v>
      </c>
    </row>
    <row r="512" spans="1:19">
      <c r="A512" s="150"/>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0</v>
      </c>
      <c r="R512" s="662">
        <f t="shared" si="93"/>
        <v>0</v>
      </c>
      <c r="S512" s="316">
        <f t="shared" si="94"/>
        <v>0</v>
      </c>
    </row>
    <row r="513" spans="1:19">
      <c r="A513" s="150"/>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0</v>
      </c>
      <c r="R513" s="662">
        <f t="shared" si="93"/>
        <v>0</v>
      </c>
      <c r="S513" s="316">
        <f t="shared" si="94"/>
        <v>0</v>
      </c>
    </row>
    <row r="514" spans="1:19">
      <c r="A514" s="150"/>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0</v>
      </c>
      <c r="R514" s="662">
        <f t="shared" si="93"/>
        <v>0</v>
      </c>
      <c r="S514" s="316">
        <f t="shared" si="94"/>
        <v>0</v>
      </c>
    </row>
    <row r="515" spans="1:19">
      <c r="A515" s="150"/>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0</v>
      </c>
      <c r="R515" s="662">
        <f t="shared" si="93"/>
        <v>0</v>
      </c>
      <c r="S515" s="316">
        <f t="shared" si="94"/>
        <v>0</v>
      </c>
    </row>
    <row r="516" spans="1:19">
      <c r="A516" s="150"/>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0</v>
      </c>
      <c r="R516" s="662">
        <f t="shared" si="93"/>
        <v>0</v>
      </c>
      <c r="S516" s="316">
        <f t="shared" si="94"/>
        <v>0</v>
      </c>
    </row>
    <row r="517" spans="1:19">
      <c r="A517" s="150"/>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0</v>
      </c>
      <c r="R517" s="662">
        <f t="shared" si="93"/>
        <v>0</v>
      </c>
      <c r="S517" s="316">
        <f t="shared" si="94"/>
        <v>0</v>
      </c>
    </row>
    <row r="518" spans="1:19">
      <c r="A518" s="150"/>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0</v>
      </c>
      <c r="R518" s="662">
        <f t="shared" si="93"/>
        <v>0</v>
      </c>
      <c r="S518" s="316">
        <f t="shared" si="94"/>
        <v>0</v>
      </c>
    </row>
    <row r="519" spans="1:19">
      <c r="A519" s="150"/>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0</v>
      </c>
      <c r="R519" s="662">
        <f t="shared" si="93"/>
        <v>0</v>
      </c>
      <c r="S519" s="316">
        <f t="shared" si="94"/>
        <v>0</v>
      </c>
    </row>
    <row r="520" spans="1:19">
      <c r="A520" s="150"/>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0</v>
      </c>
      <c r="R520" s="662">
        <f t="shared" si="93"/>
        <v>0</v>
      </c>
      <c r="S520" s="316">
        <f t="shared" si="94"/>
        <v>0</v>
      </c>
    </row>
    <row r="521" spans="1:19">
      <c r="A521" s="150"/>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0</v>
      </c>
      <c r="R521" s="662">
        <f t="shared" si="93"/>
        <v>0</v>
      </c>
      <c r="S521" s="316">
        <f t="shared" si="94"/>
        <v>0</v>
      </c>
    </row>
    <row r="522" spans="1:19">
      <c r="A522" s="150"/>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0</v>
      </c>
      <c r="R522" s="662">
        <f t="shared" si="93"/>
        <v>0</v>
      </c>
      <c r="S522" s="316">
        <f t="shared" si="94"/>
        <v>0</v>
      </c>
    </row>
    <row r="523" spans="1:19">
      <c r="A523" s="150"/>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0</v>
      </c>
      <c r="R523" s="662">
        <f t="shared" si="93"/>
        <v>0</v>
      </c>
      <c r="S523" s="316">
        <f t="shared" si="94"/>
        <v>0</v>
      </c>
    </row>
    <row r="524" spans="1:19">
      <c r="A524" s="150"/>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0</v>
      </c>
      <c r="R524" s="662">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4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37" zoomScale="70" zoomScaleNormal="70" zoomScaleSheetLayoutView="70" workbookViewId="0">
      <selection activeCell="F52" sqref="F52"/>
    </sheetView>
  </sheetViews>
  <sheetFormatPr defaultColWidth="9" defaultRowHeight="12.75"/>
  <cols>
    <col min="1" max="1" width="9" style="258" customWidth="1"/>
    <col min="2" max="2" width="20.625" style="654" customWidth="1"/>
    <col min="3" max="3" width="11.875" style="654"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t="s">
        <v>3448</v>
      </c>
      <c r="D1" s="1361" t="s">
        <v>43</v>
      </c>
      <c r="E1" s="1362" t="s">
        <v>678</v>
      </c>
      <c r="F1" s="1061">
        <f ca="1">J53</f>
        <v>29.32</v>
      </c>
      <c r="G1" s="1377">
        <f>MATCH(C1,'数据-取费表'!A6:A16,0)+5</f>
        <v>7</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878</v>
      </c>
      <c r="B2" s="3424">
        <f ca="1">ROUND(D2/10000,4)</f>
        <v>851.45190000000002</v>
      </c>
      <c r="C2" s="1386" t="s">
        <v>879</v>
      </c>
      <c r="D2" s="1470">
        <f ca="1">C40+J29+L46</f>
        <v>8514519</v>
      </c>
      <c r="E2" s="1387" t="s">
        <v>880</v>
      </c>
      <c r="F2" s="1388"/>
      <c r="G2" s="2705"/>
      <c r="H2" s="2694"/>
      <c r="I2" s="2694"/>
      <c r="J2" s="2694"/>
      <c r="K2" s="2695"/>
      <c r="L2" s="2694"/>
      <c r="M2" s="2694"/>
    </row>
    <row r="3" spans="1:37" ht="18" customHeight="1" thickBot="1">
      <c r="A3" s="1389" t="s">
        <v>881</v>
      </c>
      <c r="B3" s="1390">
        <f ca="1">IF(ISERROR(D2/F43),0,ROUND(D2/F43,0))</f>
        <v>19521</v>
      </c>
      <c r="C3" s="1386" t="s">
        <v>882</v>
      </c>
      <c r="D3" s="1386"/>
      <c r="E3" s="1387"/>
      <c r="F3" s="1388"/>
      <c r="G3" s="2705"/>
      <c r="H3" s="682"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69">
        <f ca="1">C6+C10+C12</f>
        <v>573857</v>
      </c>
      <c r="D5" s="1363" t="s">
        <v>889</v>
      </c>
      <c r="E5" s="1070"/>
      <c r="F5" s="1071"/>
      <c r="G5" s="1383"/>
      <c r="H5" s="299">
        <v>1</v>
      </c>
      <c r="I5" s="300" t="s">
        <v>888</v>
      </c>
      <c r="J5" s="1069">
        <f ca="1">J6+J10+J12</f>
        <v>0</v>
      </c>
      <c r="K5" s="1363" t="s">
        <v>889</v>
      </c>
      <c r="L5" s="1070"/>
      <c r="M5" s="1071"/>
    </row>
    <row r="6" spans="1:37" ht="18" customHeight="1">
      <c r="A6" s="1068" t="s">
        <v>398</v>
      </c>
      <c r="B6" s="3686" t="s">
        <v>694</v>
      </c>
      <c r="C6" s="1073">
        <f ca="1">ROUND(F6*F8*F7*(1-F9),0)</f>
        <v>573141</v>
      </c>
      <c r="D6" s="155" t="s">
        <v>2106</v>
      </c>
      <c r="E6" s="302" t="s">
        <v>696</v>
      </c>
      <c r="F6" s="303">
        <f ca="1">INDIRECT("'数据-取费表'!u"&amp;$G$1)</f>
        <v>4</v>
      </c>
      <c r="G6" s="1383"/>
      <c r="H6" s="1068" t="s">
        <v>398</v>
      </c>
      <c r="I6" s="3686" t="s">
        <v>694</v>
      </c>
      <c r="J6" s="301">
        <f ca="1">ROUND(M6*M8*M7*(1-M9),0)</f>
        <v>0</v>
      </c>
      <c r="K6" s="1375" t="s">
        <v>2107</v>
      </c>
      <c r="L6" s="302" t="s">
        <v>696</v>
      </c>
      <c r="M6" s="303">
        <f ca="1">INDIRECT("'数据-取费表'!z"&amp;$G$1)</f>
        <v>0</v>
      </c>
    </row>
    <row r="7" spans="1:37" ht="18" customHeight="1">
      <c r="A7" s="1072"/>
      <c r="B7" s="3687"/>
      <c r="C7" s="1074"/>
      <c r="D7" s="307"/>
      <c r="E7" s="3490" t="s">
        <v>697</v>
      </c>
      <c r="F7" s="303">
        <f ca="1">IF(INDIRECT("'数据-取费表'!ah"&amp;$G$1)="",INDIRECT("'数据-取费表'!k"&amp;$G$1),INDIRECT("'数据-取费表'!ah"&amp;$G$1))</f>
        <v>436.18</v>
      </c>
      <c r="G7" s="1383"/>
      <c r="H7" s="304"/>
      <c r="I7" s="3687"/>
      <c r="J7" s="306"/>
      <c r="K7" s="307"/>
      <c r="L7" s="302" t="s">
        <v>697</v>
      </c>
      <c r="M7" s="303">
        <f ca="1">F7</f>
        <v>436.18</v>
      </c>
    </row>
    <row r="8" spans="1:37" ht="18" customHeight="1">
      <c r="A8" s="304"/>
      <c r="B8" s="3687"/>
      <c r="C8" s="306"/>
      <c r="D8" s="307"/>
      <c r="E8" s="302" t="s">
        <v>698</v>
      </c>
      <c r="F8" s="303">
        <f ca="1">INDIRECT("'数据-取费表'!ai"&amp;$G$1)</f>
        <v>365</v>
      </c>
      <c r="G8" s="1383"/>
      <c r="H8" s="304"/>
      <c r="I8" s="3687"/>
      <c r="J8" s="306"/>
      <c r="K8" s="307"/>
      <c r="L8" s="302" t="s">
        <v>698</v>
      </c>
      <c r="M8" s="303">
        <f ca="1">INDIRECT("'数据-取费表'!ai"&amp;$G$1)</f>
        <v>365</v>
      </c>
    </row>
    <row r="9" spans="1:37" ht="18" customHeight="1">
      <c r="A9" s="304"/>
      <c r="B9" s="3688"/>
      <c r="C9" s="306"/>
      <c r="D9" s="307"/>
      <c r="E9" s="302" t="s">
        <v>699</v>
      </c>
      <c r="F9" s="312">
        <f ca="1">INDIRECT("'数据-取费表'!w"&amp;$G$1)</f>
        <v>0.1</v>
      </c>
      <c r="G9" s="1383"/>
      <c r="H9" s="304"/>
      <c r="I9" s="3688"/>
      <c r="J9" s="306"/>
      <c r="K9" s="307"/>
      <c r="L9" s="313" t="s">
        <v>699</v>
      </c>
      <c r="M9" s="314">
        <f ca="1">INDIRECT("'数据-取费表'!ab"&amp;$G$1)</f>
        <v>0</v>
      </c>
    </row>
    <row r="10" spans="1:37" ht="18" customHeight="1">
      <c r="A10" s="1068" t="s">
        <v>402</v>
      </c>
      <c r="B10" s="1364" t="s">
        <v>700</v>
      </c>
      <c r="C10" s="316">
        <f ca="1">ROUND(IF(F10="押一",C6/12*F11,IF(F10="押二",C6/12*2*F11,IF(F10="押三",C6/12*3*F11,C11*F11))),0)</f>
        <v>716</v>
      </c>
      <c r="D10" s="1365" t="s">
        <v>2116</v>
      </c>
      <c r="E10" s="313" t="s">
        <v>701</v>
      </c>
      <c r="F10" s="1115" t="s">
        <v>3437</v>
      </c>
      <c r="G10" s="1383"/>
      <c r="H10" s="1068" t="s">
        <v>402</v>
      </c>
      <c r="I10" s="1364" t="s">
        <v>700</v>
      </c>
      <c r="J10" s="301">
        <f ca="1">ROUND(IF(M10="押一",J6/12*M11,IF(M10="押二",J6/12*2*M11,IF(M10="押三",J6/12*3*M11,J11*M11))),0)</f>
        <v>0</v>
      </c>
      <c r="K10" s="1376" t="s">
        <v>2118</v>
      </c>
      <c r="L10" s="313" t="s">
        <v>701</v>
      </c>
      <c r="M10" s="1115" t="s">
        <v>3437</v>
      </c>
    </row>
    <row r="11" spans="1:37" ht="18" customHeight="1">
      <c r="A11" s="308"/>
      <c r="B11" s="1366" t="s">
        <v>890</v>
      </c>
      <c r="C11" s="958"/>
      <c r="D11" s="307"/>
      <c r="E11" s="313" t="s">
        <v>702</v>
      </c>
      <c r="F11" s="314">
        <f ca="1">'数据-取费表'!B39</f>
        <v>1.4999999999999999E-2</v>
      </c>
      <c r="G11" s="1383"/>
      <c r="H11" s="1076"/>
      <c r="I11" s="1366" t="s">
        <v>891</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2312913</v>
      </c>
      <c r="D13" s="3467" t="s">
        <v>705</v>
      </c>
      <c r="E13" s="3467" t="s">
        <v>706</v>
      </c>
      <c r="F13" s="1081">
        <f ca="1">INDIRECT("'数据-取费表'!y"&amp;$G$1)</f>
        <v>0.85</v>
      </c>
      <c r="G13" s="1383"/>
      <c r="H13" s="1078">
        <v>2</v>
      </c>
      <c r="I13" s="1079" t="s">
        <v>704</v>
      </c>
      <c r="J13" s="1067">
        <f ca="1">ROUND(J14*J15,0)</f>
        <v>2176859</v>
      </c>
      <c r="K13" s="1086" t="s">
        <v>705</v>
      </c>
      <c r="L13" s="1391"/>
      <c r="M13" s="1392"/>
    </row>
    <row r="14" spans="1:37" ht="18" customHeight="1">
      <c r="A14" s="981" t="s">
        <v>397</v>
      </c>
      <c r="B14" s="302" t="s">
        <v>707</v>
      </c>
      <c r="C14" s="318">
        <f ca="1">ROUND(INDIRECT("'数据-取费表'!l"&amp;$G$1)*F43+'数据-取费表'!L14*INDIRECT("'数据-取费表'!S"&amp;$G$1),0)</f>
        <v>1744720</v>
      </c>
      <c r="D14" s="3479" t="s">
        <v>708</v>
      </c>
      <c r="E14" s="3471"/>
      <c r="F14" s="319"/>
      <c r="G14" s="1383"/>
      <c r="H14" s="981" t="s">
        <v>398</v>
      </c>
      <c r="I14" s="302" t="s">
        <v>709</v>
      </c>
      <c r="J14" s="21">
        <f ca="1">C29</f>
        <v>2721074</v>
      </c>
      <c r="K14" s="3488"/>
      <c r="L14" s="806"/>
      <c r="M14" s="807"/>
    </row>
    <row r="15" spans="1:37" s="1396" customFormat="1" ht="18" customHeight="1" thickBot="1">
      <c r="A15" s="981" t="s">
        <v>399</v>
      </c>
      <c r="B15" s="302" t="s">
        <v>710</v>
      </c>
      <c r="C15" s="21">
        <f ca="1">ROUND(C14*F15,0)</f>
        <v>87236</v>
      </c>
      <c r="D15" s="3468" t="s">
        <v>711</v>
      </c>
      <c r="E15" s="3468" t="s">
        <v>712</v>
      </c>
      <c r="F15" s="321">
        <f>'数据-取费表'!B33</f>
        <v>0.05</v>
      </c>
      <c r="G15" s="1395"/>
      <c r="H15" s="1088" t="s">
        <v>402</v>
      </c>
      <c r="I15" s="1089" t="s">
        <v>706</v>
      </c>
      <c r="J15" s="1098">
        <f ca="1">INDIRECT("'数据-取费表'!ad"&amp;$G$1)</f>
        <v>0.8</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ROUND(INDIRECT("'数据-取费表'!l"&amp;$G$1)*F43*F16,0)</f>
        <v>0</v>
      </c>
      <c r="D16" s="302" t="s">
        <v>711</v>
      </c>
      <c r="E16" s="302" t="s">
        <v>712</v>
      </c>
      <c r="F16" s="322">
        <f ca="1">IF(INDIRECT("'数据-取费表'!c"&amp;$G$1)="住宅",'数据-取费表'!B34,0)</f>
        <v>0</v>
      </c>
      <c r="G16" s="1383"/>
      <c r="H16" s="1078" t="s">
        <v>393</v>
      </c>
      <c r="I16" s="1079" t="s">
        <v>714</v>
      </c>
      <c r="J16" s="310">
        <f ca="1">ROUND(J17+J22+J23+J24,0)</f>
        <v>7619</v>
      </c>
      <c r="K16" s="1086" t="s">
        <v>715</v>
      </c>
      <c r="L16" s="3482"/>
      <c r="M16" s="1071"/>
    </row>
    <row r="17" spans="1:37" s="1396" customFormat="1" ht="18" customHeight="1">
      <c r="A17" s="981" t="s">
        <v>681</v>
      </c>
      <c r="B17" s="302" t="s">
        <v>716</v>
      </c>
      <c r="C17" s="21">
        <f ca="1">ROUND(F17*(F43+INDIRECT("'数据-取费表'!S"&amp;$G$1)),0)</f>
        <v>87236</v>
      </c>
      <c r="D17" s="302" t="s">
        <v>717</v>
      </c>
      <c r="E17" s="302" t="s">
        <v>718</v>
      </c>
      <c r="F17" s="23">
        <f>'数据-取费表'!B35</f>
        <v>200</v>
      </c>
      <c r="G17" s="1395"/>
      <c r="H17" s="981" t="s">
        <v>398</v>
      </c>
      <c r="I17" s="302" t="s">
        <v>719</v>
      </c>
      <c r="J17" s="2315">
        <f ca="1">ROUND(IF(AND(项目基本情况!B11="自然人",项目基本情况!B10="北京市"),J6*M17/(1+'数据-取费表'!C42),J18+J19+J20),0)</f>
        <v>0</v>
      </c>
      <c r="K17" s="3479" t="s">
        <v>720</v>
      </c>
      <c r="L17" s="3477"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34894</v>
      </c>
      <c r="D18" s="302" t="s">
        <v>711</v>
      </c>
      <c r="E18" s="302" t="s">
        <v>712</v>
      </c>
      <c r="F18" s="322">
        <f>'数据-取费表'!B36</f>
        <v>0.02</v>
      </c>
      <c r="G18" s="1395"/>
      <c r="H18" s="981" t="s">
        <v>397</v>
      </c>
      <c r="I18" s="302" t="s">
        <v>723</v>
      </c>
      <c r="J18" s="21">
        <f ca="1">ROUND(J6*M18/(1+'数据-取费表'!C42),0)</f>
        <v>0</v>
      </c>
      <c r="K18" s="3477"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1954086</v>
      </c>
      <c r="D19" s="131" t="s">
        <v>726</v>
      </c>
      <c r="E19" s="3497"/>
      <c r="F19" s="23"/>
      <c r="G19" s="1383"/>
      <c r="H19" s="981" t="s">
        <v>399</v>
      </c>
      <c r="I19" s="302" t="s">
        <v>727</v>
      </c>
      <c r="J19" s="21">
        <f ca="1">IF(K19="按租金收入计税",ROUND(J6*M19/(1+'数据-取费表'!C42),0),ROUND(C29*M19*0.7,0))</f>
        <v>0</v>
      </c>
      <c r="K19" s="1369" t="s">
        <v>3335</v>
      </c>
      <c r="L19" s="302" t="s">
        <v>712</v>
      </c>
      <c r="M19" s="322">
        <f>IF(K19="按租金收入计税",'数据-取费表'!B51,'数据-取费表'!B50)</f>
        <v>0.12</v>
      </c>
    </row>
    <row r="20" spans="1:37" s="1396" customFormat="1" ht="18" customHeight="1">
      <c r="A20" s="981" t="s">
        <v>402</v>
      </c>
      <c r="B20" s="302" t="s">
        <v>728</v>
      </c>
      <c r="C20" s="21">
        <f ca="1">ROUND(C19*F20,0)</f>
        <v>58623</v>
      </c>
      <c r="D20" s="2427" t="s">
        <v>729</v>
      </c>
      <c r="E20" s="302" t="s">
        <v>712</v>
      </c>
      <c r="F20" s="322">
        <f>'数据-取费表'!B37</f>
        <v>0.03</v>
      </c>
      <c r="G20" s="1395"/>
      <c r="H20" s="981" t="s">
        <v>680</v>
      </c>
      <c r="I20" s="155" t="s">
        <v>730</v>
      </c>
      <c r="J20" s="22">
        <f ca="1">ROUND(M20*M21,0)</f>
        <v>0</v>
      </c>
      <c r="K20" s="324" t="s">
        <v>731</v>
      </c>
      <c r="L20" s="302" t="s">
        <v>732</v>
      </c>
      <c r="M20" s="325">
        <f>'数据-取费表'!B52</f>
        <v>0</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0</v>
      </c>
      <c r="D21" s="2427"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3497"/>
      <c r="F22" s="23"/>
      <c r="G22" s="1383"/>
      <c r="H22" s="981" t="s">
        <v>402</v>
      </c>
      <c r="I22" s="302" t="s">
        <v>738</v>
      </c>
      <c r="J22" s="21">
        <f ca="1">ROUND(J14*M22,0)</f>
        <v>5442</v>
      </c>
      <c r="K22" s="3477" t="s">
        <v>739</v>
      </c>
      <c r="L22" s="302" t="s">
        <v>712</v>
      </c>
      <c r="M22" s="328">
        <f ca="1">INDIRECT("'数据-取费表'!Ak"&amp;$G$1)</f>
        <v>2E-3</v>
      </c>
    </row>
    <row r="23" spans="1:37" s="1396" customFormat="1" ht="18" customHeight="1">
      <c r="A23" s="981" t="s">
        <v>397</v>
      </c>
      <c r="B23" s="302" t="s">
        <v>740</v>
      </c>
      <c r="C23" s="21">
        <f ca="1">IF('数据-取费表'!B22&lt;=1,ROUND(C19*F24*F23/2,0)+ROUND(C20*F24*F23/2,0),ROUND(C19*(POWER((1+F24),F23/2)-1),0)+ROUND(C20*(POWER((1+F24),F23/2)-1),0))</f>
        <v>60382</v>
      </c>
      <c r="D23" s="329" t="str">
        <f>IF(F23&lt;=1,"(建造成本+管理费用)×利率×(建设周期÷2)","(建造成本+管理费用)×((1+利率)^(建设周期÷2)-1)")</f>
        <v>(建造成本+管理费用)×((1+利率)^(建设周期÷2)-1)</v>
      </c>
      <c r="E23" s="302" t="s">
        <v>741</v>
      </c>
      <c r="F23" s="325">
        <f>'数据-取费表'!B20</f>
        <v>2</v>
      </c>
      <c r="G23" s="1395"/>
      <c r="H23" s="981" t="s">
        <v>437</v>
      </c>
      <c r="I23" s="302" t="s">
        <v>742</v>
      </c>
      <c r="J23" s="21">
        <f ca="1">ROUND(J13*M23,0)</f>
        <v>2177</v>
      </c>
      <c r="K23" s="3477"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0.03</v>
      </c>
      <c r="G24" s="1395"/>
      <c r="H24" s="1088" t="s">
        <v>684</v>
      </c>
      <c r="I24" s="1089" t="s">
        <v>728</v>
      </c>
      <c r="J24" s="1090">
        <f ca="1">ROUND(J5*M24,0)</f>
        <v>0</v>
      </c>
      <c r="K24" s="1091" t="s">
        <v>748</v>
      </c>
      <c r="L24" s="1089" t="s">
        <v>744</v>
      </c>
      <c r="M24" s="1085">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749</v>
      </c>
      <c r="B25" s="302" t="s">
        <v>750</v>
      </c>
      <c r="C25" s="21"/>
      <c r="D25" s="131" t="s">
        <v>751</v>
      </c>
      <c r="E25" s="3497"/>
      <c r="F25" s="23"/>
      <c r="G25" s="1383"/>
      <c r="H25" s="1078" t="s">
        <v>394</v>
      </c>
      <c r="I25" s="1093" t="s">
        <v>752</v>
      </c>
      <c r="J25" s="310">
        <f ca="1">J5-J16</f>
        <v>-7619</v>
      </c>
      <c r="K25" s="1094" t="s">
        <v>753</v>
      </c>
      <c r="L25" s="1095"/>
      <c r="M25" s="1096"/>
    </row>
    <row r="26" spans="1:37" ht="18" customHeight="1">
      <c r="A26" s="981" t="s">
        <v>397</v>
      </c>
      <c r="B26" s="302" t="s">
        <v>754</v>
      </c>
      <c r="C26" s="21">
        <f ca="1">ROUND((C19+C20)*F26,0)</f>
        <v>402542</v>
      </c>
      <c r="D26" s="2427" t="s">
        <v>755</v>
      </c>
      <c r="E26" s="313" t="s">
        <v>756</v>
      </c>
      <c r="F26" s="312">
        <f ca="1">INDIRECT("'数据-取费表'!q"&amp;$G$1)</f>
        <v>0.2</v>
      </c>
      <c r="G26" s="1383"/>
      <c r="H26" s="299" t="s">
        <v>395</v>
      </c>
      <c r="I26" s="300" t="s">
        <v>757</v>
      </c>
      <c r="J26" s="301">
        <f ca="1">IF(J5&lt;&gt;0,ROUND(J25*(1-((1+M28)/(1+M26))^M27)/(M26-M28),0),0)</f>
        <v>0</v>
      </c>
      <c r="K26" s="324" t="s">
        <v>758</v>
      </c>
      <c r="L26" s="302" t="s">
        <v>759</v>
      </c>
      <c r="M26" s="312">
        <f ca="1">INDIRECT("'数据-取费表'!I"&amp;$G$1)</f>
        <v>5.5E-2</v>
      </c>
    </row>
    <row r="27" spans="1:37" ht="18" customHeight="1">
      <c r="A27" s="981" t="s">
        <v>399</v>
      </c>
      <c r="B27" s="302" t="s">
        <v>760</v>
      </c>
      <c r="C27" s="21">
        <f ca="1">ROUND(F21*F26,4)</f>
        <v>6.0000000000000001E-3</v>
      </c>
      <c r="D27" s="2427" t="s">
        <v>761</v>
      </c>
      <c r="E27" s="3468"/>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2427"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2721074</v>
      </c>
      <c r="D29" s="1091"/>
      <c r="E29" s="1089"/>
      <c r="F29" s="1092"/>
      <c r="G29" s="1395"/>
      <c r="H29" s="334" t="s">
        <v>396</v>
      </c>
      <c r="I29" s="335" t="s">
        <v>768</v>
      </c>
      <c r="J29" s="336">
        <f ca="1">ROUND(J26/(1+F40)^F41,0)</f>
        <v>0</v>
      </c>
      <c r="K29" s="337" t="s">
        <v>769</v>
      </c>
      <c r="L29" s="338"/>
      <c r="M29" s="339">
        <f ca="1">INDIRECT("'数据-取费表'!k"&amp;$G$1)</f>
        <v>436.18</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106694</v>
      </c>
      <c r="D30" s="1086" t="s">
        <v>715</v>
      </c>
      <c r="E30" s="3482"/>
      <c r="F30" s="1071"/>
      <c r="G30" s="1383"/>
      <c r="H30" s="2696"/>
      <c r="I30" s="1397"/>
      <c r="J30" s="1398"/>
      <c r="K30" s="2474"/>
      <c r="L30" s="2697"/>
      <c r="M30" s="2698"/>
    </row>
    <row r="31" spans="1:37" ht="18" customHeight="1">
      <c r="A31" s="981" t="s">
        <v>398</v>
      </c>
      <c r="B31" s="302" t="s">
        <v>719</v>
      </c>
      <c r="C31" s="2315">
        <f ca="1">ROUND(IF(AND(项目基本情况!B11="自然人",项目基本情况!B10="北京市"),C6*F31/(1+'数据-取费表'!C42),C32+C33+C34),0)</f>
        <v>96070</v>
      </c>
      <c r="D31" s="3479" t="s">
        <v>720</v>
      </c>
      <c r="E31" s="3477" t="s">
        <v>770</v>
      </c>
      <c r="F31" s="2314" t="str">
        <f>IF(项目基本情况!B11="企业","——",IF(M47="住宅",IF(F6*F7*F8/12/(1+'数据-取费表'!F30)&gt;100000,4%,2.5%),IF(F6*F7*F8/12/(1+'数据-取费表'!F30)&gt;100000,12%,7%)))</f>
        <v>——</v>
      </c>
      <c r="G31" s="1383"/>
      <c r="H31" s="2807" t="s">
        <v>2306</v>
      </c>
      <c r="I31" s="1397"/>
      <c r="J31" s="1398"/>
      <c r="K31" s="2474"/>
      <c r="L31" s="2697"/>
      <c r="M31" s="2698"/>
    </row>
    <row r="32" spans="1:37" ht="18" customHeight="1">
      <c r="A32" s="981" t="s">
        <v>397</v>
      </c>
      <c r="B32" s="302" t="s">
        <v>723</v>
      </c>
      <c r="C32" s="21">
        <f ca="1">IF(项目基本情况!B11="自然人","——",ROUND(C6*F32/(1+'数据-取费表'!C42),0))</f>
        <v>30568</v>
      </c>
      <c r="D32" s="3477" t="s">
        <v>724</v>
      </c>
      <c r="E32" s="302" t="s">
        <v>712</v>
      </c>
      <c r="F32" s="331">
        <f>'数据-取费表'!B41</f>
        <v>5.6000000000000001E-2</v>
      </c>
      <c r="G32" s="1383"/>
      <c r="H32" s="2696"/>
      <c r="I32" s="1397"/>
      <c r="J32" s="1398"/>
      <c r="K32" s="2474"/>
      <c r="L32" s="2697"/>
      <c r="M32" s="2698"/>
    </row>
    <row r="33" spans="1:18" ht="18" customHeight="1">
      <c r="A33" s="981" t="s">
        <v>399</v>
      </c>
      <c r="B33" s="302" t="s">
        <v>727</v>
      </c>
      <c r="C33" s="21">
        <f ca="1">IF(项目基本情况!B11="自然人","——",IF(D33="按租金收入计税",ROUND(C6*F33/(1+'数据-取费表'!C42),0),IF(D33="按房产原值计税",ROUND(C29*F33*0.7,0),INDIRECT("'数据-取费表'!Aj"&amp;$G$1))))</f>
        <v>65502</v>
      </c>
      <c r="D33" s="1369" t="s">
        <v>3335</v>
      </c>
      <c r="E33" s="302" t="s">
        <v>712</v>
      </c>
      <c r="F33" s="322">
        <f>IF(D33="按票据","——",IF(D33="按租金收入计税",'数据-取费表'!B51,'数据-取费表'!B50))</f>
        <v>0.12</v>
      </c>
      <c r="G33" s="1383"/>
      <c r="H33" s="2699"/>
      <c r="I33" s="1397"/>
      <c r="J33" s="1398"/>
      <c r="K33" s="2700"/>
      <c r="L33" s="2699"/>
      <c r="M33" s="2699"/>
    </row>
    <row r="34" spans="1:18" ht="18" customHeight="1">
      <c r="A34" s="1068" t="s">
        <v>680</v>
      </c>
      <c r="B34" s="155" t="s">
        <v>730</v>
      </c>
      <c r="C34" s="22">
        <f ca="1">IF(项目基本情况!B11="自然人","——",ROUND(F34*F35,0))</f>
        <v>0</v>
      </c>
      <c r="D34" s="324" t="s">
        <v>731</v>
      </c>
      <c r="E34" s="302" t="s">
        <v>732</v>
      </c>
      <c r="F34" s="325">
        <f>'数据-取费表'!B52</f>
        <v>0</v>
      </c>
      <c r="G34" s="1383"/>
      <c r="H34" s="2696"/>
      <c r="I34" s="1397"/>
      <c r="J34" s="1398"/>
      <c r="K34" s="2701"/>
      <c r="L34" s="2702"/>
      <c r="M34" s="2702"/>
    </row>
    <row r="35" spans="1:18" ht="18" customHeight="1">
      <c r="A35" s="1102"/>
      <c r="B35" s="1100"/>
      <c r="C35" s="26"/>
      <c r="D35" s="327"/>
      <c r="E35" s="302" t="s">
        <v>736</v>
      </c>
      <c r="F35" s="303">
        <f ca="1">INDIRECT("'数据-取费表'!r"&amp;$G$1)</f>
        <v>0</v>
      </c>
      <c r="G35" s="1383"/>
      <c r="H35" s="2696"/>
      <c r="I35" s="1397"/>
      <c r="J35" s="1398"/>
      <c r="K35" s="2700"/>
      <c r="L35" s="2699"/>
      <c r="M35" s="2699"/>
    </row>
    <row r="36" spans="1:18" ht="18" customHeight="1">
      <c r="A36" s="1101" t="s">
        <v>402</v>
      </c>
      <c r="B36" s="302" t="s">
        <v>738</v>
      </c>
      <c r="C36" s="21">
        <f ca="1">ROUND(C29*F36,0)</f>
        <v>5442</v>
      </c>
      <c r="D36" s="3477" t="s">
        <v>771</v>
      </c>
      <c r="E36" s="302" t="s">
        <v>712</v>
      </c>
      <c r="F36" s="328">
        <f ca="1">INDIRECT("'数据-取费表'!Ak"&amp;$G$1)</f>
        <v>2E-3</v>
      </c>
      <c r="G36" s="1383"/>
      <c r="H36" s="2699"/>
      <c r="I36" s="1397"/>
      <c r="J36" s="1398"/>
      <c r="K36" s="2543"/>
      <c r="L36" s="2699"/>
      <c r="M36" s="2699"/>
    </row>
    <row r="37" spans="1:18" ht="18" customHeight="1">
      <c r="A37" s="981" t="s">
        <v>437</v>
      </c>
      <c r="B37" s="302" t="s">
        <v>742</v>
      </c>
      <c r="C37" s="21">
        <f ca="1">ROUND(C13*F37,0)</f>
        <v>2313</v>
      </c>
      <c r="D37" s="3477" t="s">
        <v>743</v>
      </c>
      <c r="E37" s="302" t="s">
        <v>744</v>
      </c>
      <c r="F37" s="330">
        <f ca="1">INDIRECT("'数据-取费表'!Al"&amp;$G$1)</f>
        <v>1E-3</v>
      </c>
      <c r="G37" s="1383"/>
      <c r="H37" s="2699"/>
      <c r="I37" s="1397"/>
      <c r="J37" s="1398"/>
      <c r="K37" s="2543"/>
      <c r="L37" s="2699"/>
      <c r="M37" s="2699"/>
    </row>
    <row r="38" spans="1:18" ht="18" customHeight="1" thickBot="1">
      <c r="A38" s="1088" t="s">
        <v>684</v>
      </c>
      <c r="B38" s="1089" t="s">
        <v>728</v>
      </c>
      <c r="C38" s="1090">
        <f ca="1">ROUND(C5*F38,0)</f>
        <v>2869</v>
      </c>
      <c r="D38" s="1091" t="s">
        <v>748</v>
      </c>
      <c r="E38" s="1089" t="s">
        <v>744</v>
      </c>
      <c r="F38" s="1085">
        <f ca="1">INDIRECT("'数据-取费表'!Am"&amp;$G$1)</f>
        <v>5.0000000000000001E-3</v>
      </c>
      <c r="G38" s="1383"/>
      <c r="H38" s="2699"/>
      <c r="I38" s="1397"/>
      <c r="J38" s="1398"/>
      <c r="K38" s="2703"/>
      <c r="L38" s="2699"/>
      <c r="M38" s="2699"/>
    </row>
    <row r="39" spans="1:18" ht="24.6" customHeight="1" thickTop="1">
      <c r="A39" s="1078" t="s">
        <v>394</v>
      </c>
      <c r="B39" s="1093" t="s">
        <v>772</v>
      </c>
      <c r="C39" s="310">
        <f ca="1">C5-C30</f>
        <v>467163</v>
      </c>
      <c r="D39" s="1094" t="s">
        <v>773</v>
      </c>
      <c r="E39" s="1095"/>
      <c r="F39" s="1096"/>
      <c r="G39" s="1383"/>
      <c r="H39" s="2699"/>
      <c r="I39" s="1397"/>
      <c r="J39" s="1398"/>
      <c r="K39" s="2703"/>
      <c r="L39" s="2699"/>
      <c r="M39" s="2699"/>
    </row>
    <row r="40" spans="1:18" ht="18" customHeight="1">
      <c r="A40" s="299" t="s">
        <v>395</v>
      </c>
      <c r="B40" s="300" t="s">
        <v>774</v>
      </c>
      <c r="C40" s="301">
        <f ca="1">ROUND(C39*(1-((1+F42)/(1+F40))^F41)/(F40-F42),0)</f>
        <v>8383931</v>
      </c>
      <c r="D40" s="324" t="s">
        <v>758</v>
      </c>
      <c r="E40" s="302" t="s">
        <v>759</v>
      </c>
      <c r="F40" s="312">
        <f ca="1">INDIRECT("'数据-取费表'!I"&amp;$G$1)</f>
        <v>5.5E-2</v>
      </c>
      <c r="G40" s="1383"/>
      <c r="H40" s="1460"/>
      <c r="I40" s="1397"/>
      <c r="J40" s="1398"/>
      <c r="K40" s="2703"/>
      <c r="L40" s="1460"/>
      <c r="M40" s="1460"/>
    </row>
    <row r="41" spans="1:18" ht="18" customHeight="1">
      <c r="A41" s="304"/>
      <c r="B41" s="305"/>
      <c r="C41" s="306"/>
      <c r="D41" s="332" t="s">
        <v>775</v>
      </c>
      <c r="E41" s="302" t="s">
        <v>763</v>
      </c>
      <c r="F41" s="333">
        <f ca="1">IF(INDIRECT("'数据-取费表'!af"&amp;$G$1)=0,INDIRECT("'数据-取费表'!ae"&amp;$G$1),INDIRECT("'数据-取费表'!af"&amp;$G$1))</f>
        <v>29.32</v>
      </c>
      <c r="G41" s="1383"/>
      <c r="H41" s="1190"/>
      <c r="I41" s="1397"/>
      <c r="J41" s="1398"/>
      <c r="K41" s="2543"/>
      <c r="L41" s="1190"/>
      <c r="M41" s="1190"/>
    </row>
    <row r="42" spans="1:18" ht="18" customHeight="1">
      <c r="A42" s="308"/>
      <c r="B42" s="309"/>
      <c r="C42" s="310"/>
      <c r="D42" s="327"/>
      <c r="E42" s="302" t="s">
        <v>766</v>
      </c>
      <c r="F42" s="312">
        <f ca="1">INDIRECT("'数据-取费表'!v"&amp;$G$1)</f>
        <v>0.02</v>
      </c>
      <c r="G42" s="1383"/>
      <c r="H42" s="1190"/>
      <c r="I42" s="1397"/>
      <c r="J42" s="1398"/>
      <c r="K42" s="2543"/>
      <c r="L42" s="1190"/>
      <c r="M42" s="1190"/>
    </row>
    <row r="43" spans="1:18" ht="18" customHeight="1" thickBot="1">
      <c r="A43" s="334" t="s">
        <v>396</v>
      </c>
      <c r="B43" s="335" t="s">
        <v>776</v>
      </c>
      <c r="C43" s="336">
        <f ca="1">ROUND(C40/F43,0)</f>
        <v>19221</v>
      </c>
      <c r="D43" s="337" t="s">
        <v>777</v>
      </c>
      <c r="E43" s="338" t="s">
        <v>778</v>
      </c>
      <c r="F43" s="339">
        <f ca="1">INDIRECT("'数据-取费表'!k"&amp;$G$1)</f>
        <v>436.18</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3430" t="s">
        <v>3351</v>
      </c>
      <c r="B45" s="1399"/>
      <c r="C45" s="1471">
        <f ca="1">ROUND((C68-C40)/10000,4)</f>
        <v>-849.55909999999994</v>
      </c>
      <c r="D45" s="3431" t="s">
        <v>3352</v>
      </c>
      <c r="E45" s="1399"/>
      <c r="F45" s="1399"/>
      <c r="O45" s="1402" t="s">
        <v>808</v>
      </c>
      <c r="P45" s="1460"/>
      <c r="Q45" s="1460"/>
      <c r="R45" s="1460"/>
    </row>
    <row r="46" spans="1:18" s="1383" customFormat="1" ht="13.5" thickBot="1">
      <c r="A46" s="1403" t="s">
        <v>809</v>
      </c>
      <c r="C46" s="1404">
        <f ca="1">ROUND(C45,0)</f>
        <v>-850</v>
      </c>
      <c r="D46" s="1405" t="str">
        <f>C2</f>
        <v>万元</v>
      </c>
      <c r="I46" s="1406" t="s">
        <v>810</v>
      </c>
      <c r="J46" s="1407"/>
      <c r="K46" s="1408"/>
      <c r="L46" s="1409">
        <f ca="1">IF(M47="住宅",0,IF(L48&gt;J51,L60,J60))</f>
        <v>130588</v>
      </c>
      <c r="O46" s="1410" t="s">
        <v>811</v>
      </c>
      <c r="P46" s="1411" t="s">
        <v>812</v>
      </c>
      <c r="Q46" s="1412" t="s">
        <v>813</v>
      </c>
      <c r="R46" s="1412" t="s">
        <v>814</v>
      </c>
    </row>
    <row r="47" spans="1:18" s="1383" customFormat="1" ht="13.5" thickBot="1">
      <c r="A47" s="945" t="s">
        <v>687</v>
      </c>
      <c r="B47" s="977" t="s">
        <v>688</v>
      </c>
      <c r="C47" s="977" t="s">
        <v>689</v>
      </c>
      <c r="D47" s="977" t="s">
        <v>690</v>
      </c>
      <c r="E47" s="1057" t="s">
        <v>691</v>
      </c>
      <c r="F47" s="1058"/>
      <c r="G47" s="721"/>
      <c r="I47" s="1413" t="s">
        <v>815</v>
      </c>
      <c r="J47" s="1414" t="s">
        <v>3438</v>
      </c>
      <c r="K47" s="1415" t="s">
        <v>816</v>
      </c>
      <c r="L47" s="1416">
        <f ca="1">INDIRECT("'数据-取费表'!d"&amp;$G$1)</f>
        <v>40</v>
      </c>
      <c r="M47" s="1379" t="str">
        <f>IF(ISNUMBER(FIND("住宅",C1)),"住宅","非住宅")</f>
        <v>非住宅</v>
      </c>
      <c r="O47" s="1417" t="s">
        <v>403</v>
      </c>
      <c r="P47" s="1418" t="s">
        <v>817</v>
      </c>
      <c r="Q47" s="1419">
        <f ca="1">C40+J29</f>
        <v>8383931</v>
      </c>
      <c r="R47" s="1419" t="s">
        <v>818</v>
      </c>
    </row>
    <row r="48" spans="1:18" s="1383" customFormat="1" ht="28.5" thickBot="1">
      <c r="A48" s="1109" t="s">
        <v>438</v>
      </c>
      <c r="B48" s="300" t="s">
        <v>692</v>
      </c>
      <c r="C48" s="3496">
        <f ca="1">C49+C53+C55</f>
        <v>0</v>
      </c>
      <c r="D48" s="1111"/>
      <c r="E48" s="1112"/>
      <c r="F48" s="961"/>
      <c r="G48" s="721"/>
      <c r="H48" s="722"/>
      <c r="I48" s="1420" t="s">
        <v>819</v>
      </c>
      <c r="J48" s="1421" t="s">
        <v>3439</v>
      </c>
      <c r="K48" s="1422" t="s">
        <v>820</v>
      </c>
      <c r="L48" s="1423">
        <f ca="1">INDIRECT("'数据-取费表'!f"&amp;$G$1)</f>
        <v>29.32</v>
      </c>
      <c r="O48" s="1417" t="s">
        <v>404</v>
      </c>
      <c r="P48" s="1418" t="s">
        <v>821</v>
      </c>
      <c r="Q48" s="1419">
        <f ca="1">J60</f>
        <v>130588</v>
      </c>
      <c r="R48" s="1419" t="s">
        <v>822</v>
      </c>
    </row>
    <row r="49" spans="1:18" s="1383" customFormat="1" ht="13.5" thickBot="1">
      <c r="A49" s="974" t="s">
        <v>439</v>
      </c>
      <c r="B49" s="1370" t="s">
        <v>779</v>
      </c>
      <c r="C49" s="1113">
        <f ca="1">ROUND(F49*F51*F50*(1-F52),0)</f>
        <v>0</v>
      </c>
      <c r="D49" s="1054" t="s">
        <v>695</v>
      </c>
      <c r="E49" s="1371" t="s">
        <v>780</v>
      </c>
      <c r="F49" s="1059"/>
      <c r="G49" s="1424"/>
      <c r="H49" s="722"/>
      <c r="I49" s="1420" t="s">
        <v>823</v>
      </c>
      <c r="J49" s="1425">
        <f>'数据-取费表'!N17</f>
        <v>2016</v>
      </c>
      <c r="K49" s="1422" t="s">
        <v>824</v>
      </c>
      <c r="L49" s="1426"/>
      <c r="O49" s="1427" t="s">
        <v>405</v>
      </c>
      <c r="P49" s="1418" t="s">
        <v>825</v>
      </c>
      <c r="Q49" s="1419">
        <f ca="1">C29</f>
        <v>2721074</v>
      </c>
      <c r="R49" s="1419" t="s">
        <v>818</v>
      </c>
    </row>
    <row r="50" spans="1:18" s="1383" customFormat="1" ht="13.5" thickBot="1">
      <c r="A50" s="975"/>
      <c r="B50" s="978"/>
      <c r="C50" s="979"/>
      <c r="D50" s="952"/>
      <c r="E50" s="1055" t="s">
        <v>697</v>
      </c>
      <c r="F50" s="1056">
        <f ca="1">F7</f>
        <v>436.18</v>
      </c>
      <c r="H50" s="722"/>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6"/>
      <c r="B51" s="978"/>
      <c r="C51" s="979"/>
      <c r="D51" s="952"/>
      <c r="E51" s="980" t="s">
        <v>698</v>
      </c>
      <c r="F51" s="303">
        <f ca="1">F8</f>
        <v>365</v>
      </c>
      <c r="I51" s="1431" t="s">
        <v>829</v>
      </c>
      <c r="J51" s="1432">
        <f>IF(J49="",J50,J49+J50-YEAR('数据-取费表'!B2))</f>
        <v>51</v>
      </c>
      <c r="K51" s="1433" t="s">
        <v>830</v>
      </c>
      <c r="L51" s="1434">
        <f ca="1">ROUND(-PV(INDIRECT("'数据-取费表'!h"&amp;$G$1),J51,(C39-C13*C76),0),0)</f>
        <v>5598139</v>
      </c>
      <c r="M51" s="1435"/>
      <c r="O51" s="1427" t="s">
        <v>407</v>
      </c>
      <c r="P51" s="1418" t="s">
        <v>831</v>
      </c>
      <c r="Q51" s="1430">
        <f>J52</f>
        <v>7.4999999999999997E-2</v>
      </c>
      <c r="R51" s="1419"/>
    </row>
    <row r="52" spans="1:18" s="1383" customFormat="1" ht="13.5" thickBot="1">
      <c r="A52" s="976"/>
      <c r="B52" s="978"/>
      <c r="C52" s="979"/>
      <c r="D52" s="952"/>
      <c r="E52" s="980" t="s">
        <v>699</v>
      </c>
      <c r="F52" s="1053"/>
      <c r="I52" s="1436" t="s">
        <v>832</v>
      </c>
      <c r="J52" s="1437">
        <v>7.4999999999999997E-2</v>
      </c>
      <c r="K52" s="1436" t="s">
        <v>833</v>
      </c>
      <c r="L52" s="1437"/>
      <c r="O52" s="1427" t="s">
        <v>408</v>
      </c>
      <c r="P52" s="1418" t="s">
        <v>834</v>
      </c>
      <c r="Q52" s="1419">
        <f ca="1">J53</f>
        <v>29.32</v>
      </c>
      <c r="R52" s="1419" t="s">
        <v>835</v>
      </c>
    </row>
    <row r="53" spans="1:18" s="1383" customFormat="1" ht="30.75" customHeight="1" thickBot="1">
      <c r="A53" s="1110" t="s">
        <v>440</v>
      </c>
      <c r="B53" s="2427" t="s">
        <v>700</v>
      </c>
      <c r="C53" s="316">
        <f ca="1">ROUND(IF(F53="押一",C49/12*F11,IF(F53="押二",C49/12*2*F11,IF(F53="押三",C49/12*3*F11,C54*F11))),0)</f>
        <v>0</v>
      </c>
      <c r="D53" s="1365" t="s">
        <v>2119</v>
      </c>
      <c r="E53" s="313" t="s">
        <v>701</v>
      </c>
      <c r="F53" s="1115" t="s">
        <v>3437</v>
      </c>
      <c r="I53" s="1438" t="s">
        <v>836</v>
      </c>
      <c r="J53" s="2167">
        <f ca="1">IF(M47="住宅",IF(D1="——",MAX(J51,L48),MAX(J51,L48-'数据-取费表'!B24)),IF(D1="——",MIN(J51,L48),MIN(J51,L48-'数据-取费表'!B24)))</f>
        <v>29.32</v>
      </c>
      <c r="K53" s="3684" t="s">
        <v>837</v>
      </c>
      <c r="L53" s="3685"/>
      <c r="O53" s="1417" t="s">
        <v>409</v>
      </c>
      <c r="P53" s="1418" t="s">
        <v>838</v>
      </c>
      <c r="Q53" s="1419">
        <f ca="1">Q47+Q48</f>
        <v>8514519</v>
      </c>
      <c r="R53" s="1419" t="s">
        <v>410</v>
      </c>
    </row>
    <row r="54" spans="1:18" s="1383" customFormat="1" ht="13.5" thickBot="1">
      <c r="A54" s="974"/>
      <c r="B54" s="1472" t="s">
        <v>891</v>
      </c>
      <c r="C54" s="958"/>
      <c r="D54" s="1365"/>
      <c r="E54" s="3484"/>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2" t="s">
        <v>437</v>
      </c>
      <c r="B55" s="1368" t="s">
        <v>703</v>
      </c>
      <c r="C55" s="1083"/>
      <c r="D55" s="1365"/>
      <c r="E55" s="3484"/>
      <c r="F55" s="1439"/>
      <c r="I55" s="1442" t="s">
        <v>840</v>
      </c>
      <c r="J55" s="1443">
        <f ca="1">ROUND(IF(J47="钢混",J57/J50,1-(1-2%)*(J50-J57)/J50),3)</f>
        <v>0.36099999999999999</v>
      </c>
      <c r="K55" s="1444" t="s">
        <v>841</v>
      </c>
      <c r="L55" s="1445"/>
      <c r="O55" s="1410" t="s">
        <v>811</v>
      </c>
      <c r="P55" s="1411" t="s">
        <v>812</v>
      </c>
      <c r="Q55" s="1412" t="s">
        <v>813</v>
      </c>
      <c r="R55" s="1412" t="s">
        <v>814</v>
      </c>
    </row>
    <row r="56" spans="1:18" s="1383" customFormat="1" ht="36" customHeight="1" thickTop="1" thickBot="1">
      <c r="A56" s="956">
        <v>2</v>
      </c>
      <c r="B56" s="957" t="s">
        <v>704</v>
      </c>
      <c r="C56" s="232">
        <f ca="1">C13</f>
        <v>2312913</v>
      </c>
      <c r="D56" s="1446"/>
      <c r="E56" s="1447"/>
      <c r="F56" s="1439"/>
      <c r="I56" s="1448" t="s">
        <v>842</v>
      </c>
      <c r="J56" s="1449" t="s">
        <v>3416</v>
      </c>
      <c r="K56" s="1420" t="s">
        <v>843</v>
      </c>
      <c r="L56" s="1423" t="str">
        <f ca="1">IF(L48&lt;J51,"——",L48-J51)</f>
        <v>——</v>
      </c>
      <c r="O56" s="1417" t="s">
        <v>403</v>
      </c>
      <c r="P56" s="1418" t="s">
        <v>817</v>
      </c>
      <c r="Q56" s="1419">
        <f ca="1">C40+J29</f>
        <v>8383931</v>
      </c>
      <c r="R56" s="1419" t="s">
        <v>818</v>
      </c>
    </row>
    <row r="57" spans="1:18" s="1383" customFormat="1" ht="24.75" thickBot="1">
      <c r="A57" s="1450"/>
      <c r="B57" s="949" t="s">
        <v>767</v>
      </c>
      <c r="C57" s="238">
        <f ca="1">C29</f>
        <v>2721074</v>
      </c>
      <c r="D57" s="1451"/>
      <c r="E57" s="1452"/>
      <c r="F57" s="1453"/>
      <c r="I57" s="1454" t="s">
        <v>844</v>
      </c>
      <c r="J57" s="1455">
        <f ca="1">IF(OR(M47="住宅",J51&lt;L48,J56="是"),"——",J51-L48)</f>
        <v>21.68</v>
      </c>
      <c r="K57" s="1420" t="s">
        <v>892</v>
      </c>
      <c r="L57" s="1423" t="str">
        <f ca="1">IF(L48&lt;J51,"——",IF(L55="比较法",L49,IF(L55="基准地价",L50,L51)))</f>
        <v>——</v>
      </c>
      <c r="O57" s="1417" t="s">
        <v>404</v>
      </c>
      <c r="P57" s="1418" t="s">
        <v>893</v>
      </c>
      <c r="Q57" s="1419">
        <f ca="1">L60</f>
        <v>0</v>
      </c>
      <c r="R57" s="1419" t="s">
        <v>894</v>
      </c>
    </row>
    <row r="58" spans="1:18" s="1383" customFormat="1" ht="24.75" thickBot="1">
      <c r="A58" s="315" t="s">
        <v>393</v>
      </c>
      <c r="B58" s="957" t="s">
        <v>714</v>
      </c>
      <c r="C58" s="316">
        <f ca="1">ROUND(C59+C64+C65+C66,0)</f>
        <v>7755</v>
      </c>
      <c r="D58" s="959" t="s">
        <v>715</v>
      </c>
      <c r="E58" s="960"/>
      <c r="F58" s="961"/>
      <c r="I58" s="1454" t="s">
        <v>848</v>
      </c>
      <c r="J58" s="1456">
        <f ca="1">IF(J55&lt;0.4,0.4,J55)</f>
        <v>0.4</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0</v>
      </c>
      <c r="D59" s="962" t="s">
        <v>720</v>
      </c>
      <c r="E59" s="963" t="s">
        <v>721</v>
      </c>
      <c r="F59" s="2314" t="str">
        <f>IF(项目基本情况!B11="企业","——",IF('数据-取费表'!B10="住宅",IF(F49*F50*F51/12/(1+'数据-取费表'!F30)&gt;100000,4%,2.5%),IF(F49*F50*F51/12/(1+'数据-取费表'!F30)&gt;100000,12%,7%)))</f>
        <v>——</v>
      </c>
      <c r="I59" s="1454" t="s">
        <v>851</v>
      </c>
      <c r="J59" s="1455">
        <f ca="1">IF(OR(M47="住宅",J51&lt;L48,J56="是"),"——",ROUND(C29*J58,0))</f>
        <v>1088430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IF(项目基本情况!B11="自然人","——",ROUND(C48*F60/(1+'数据-取费表'!C42),0))</f>
        <v>0</v>
      </c>
      <c r="D60" s="963" t="s">
        <v>724</v>
      </c>
      <c r="E60" s="949" t="s">
        <v>712</v>
      </c>
      <c r="F60" s="331">
        <f t="shared" ref="F60:F66" si="0">F32</f>
        <v>5.6000000000000001E-2</v>
      </c>
      <c r="I60" s="1457" t="s">
        <v>853</v>
      </c>
      <c r="J60" s="1458">
        <f ca="1">IF(OR(M47="住宅",J51&lt;L48,J56="是"),"0",ROUND(J59/(1+J52)^J53,0))</f>
        <v>130588</v>
      </c>
      <c r="K60" s="1459" t="s">
        <v>854</v>
      </c>
      <c r="L60" s="1458">
        <f ca="1">IF(OR(M47="住宅",L48&lt;J51),0,ROUND(L57*(L58/L59-1),0))</f>
        <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IF(项目基本情况!B11="自然人","——",IF(D61="按租金收入计税",ROUND(C49*F61/(1+'数据-取费表'!C42),0),IF(D61="按房产原值计税",ROUND(C57*F61*0.7,0),INDIRECT("'数据-取费表'!Aj"&amp;$G$1))))</f>
        <v>0</v>
      </c>
      <c r="D61" s="1369" t="s">
        <v>3335</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IF(项目基本情况!B11="自然人","——",ROUND(F62*F63,0))</f>
        <v>0</v>
      </c>
      <c r="D62" s="964" t="s">
        <v>786</v>
      </c>
      <c r="E62" s="949" t="s">
        <v>787</v>
      </c>
      <c r="F62" s="325">
        <f t="shared" si="0"/>
        <v>0</v>
      </c>
      <c r="I62" s="1461" t="s">
        <v>858</v>
      </c>
      <c r="J62" s="1462" t="s">
        <v>859</v>
      </c>
      <c r="K62" s="1462" t="s">
        <v>860</v>
      </c>
      <c r="L62" s="1462" t="s">
        <v>861</v>
      </c>
      <c r="M62" s="1463" t="s">
        <v>862</v>
      </c>
      <c r="O62" s="1417" t="s">
        <v>409</v>
      </c>
      <c r="P62" s="1418" t="s">
        <v>863</v>
      </c>
      <c r="Q62" s="1419">
        <f ca="1">Q56+Q57</f>
        <v>8383931</v>
      </c>
      <c r="R62" s="1419" t="s">
        <v>410</v>
      </c>
    </row>
    <row r="63" spans="1:18" s="1383" customFormat="1" ht="13.5"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ROUND(C57*F64,0)</f>
        <v>5442</v>
      </c>
      <c r="D64" s="963" t="s">
        <v>791</v>
      </c>
      <c r="E64" s="949" t="s">
        <v>783</v>
      </c>
      <c r="F64" s="328">
        <f t="shared" ca="1" si="0"/>
        <v>2E-3</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ROUND(C56*F65,0)</f>
        <v>2313</v>
      </c>
      <c r="D65" s="963" t="s">
        <v>743</v>
      </c>
      <c r="E65" s="949" t="s">
        <v>744</v>
      </c>
      <c r="F65" s="330">
        <f t="shared" ca="1" si="0"/>
        <v>1E-3</v>
      </c>
      <c r="I65" s="1461" t="s">
        <v>867</v>
      </c>
      <c r="J65" s="1462">
        <v>40</v>
      </c>
      <c r="K65" s="1462">
        <v>30</v>
      </c>
      <c r="L65" s="1462">
        <v>50</v>
      </c>
      <c r="M65" s="1464">
        <v>0.02</v>
      </c>
      <c r="O65" s="1417" t="s">
        <v>403</v>
      </c>
      <c r="P65" s="1418" t="s">
        <v>868</v>
      </c>
      <c r="Q65" s="1419">
        <f ca="1">C40+J29</f>
        <v>8383931</v>
      </c>
      <c r="R65" s="1419" t="s">
        <v>818</v>
      </c>
    </row>
    <row r="66" spans="1:18" s="1383" customFormat="1" ht="16.5" thickBot="1">
      <c r="A66" s="981" t="s">
        <v>793</v>
      </c>
      <c r="B66" s="949" t="s">
        <v>728</v>
      </c>
      <c r="C66" s="21">
        <f ca="1">ROUND(C48*F66,0)</f>
        <v>0</v>
      </c>
      <c r="D66" s="963" t="s">
        <v>794</v>
      </c>
      <c r="E66" s="949" t="s">
        <v>712</v>
      </c>
      <c r="F66" s="312">
        <f t="shared" ca="1" si="0"/>
        <v>5.0000000000000001E-3</v>
      </c>
      <c r="O66" s="1417" t="s">
        <v>404</v>
      </c>
      <c r="P66" s="1418" t="s">
        <v>846</v>
      </c>
      <c r="Q66" s="1419">
        <f ca="1">L60</f>
        <v>0</v>
      </c>
      <c r="R66" s="1419" t="s">
        <v>869</v>
      </c>
    </row>
    <row r="67" spans="1:18" s="1383" customFormat="1" ht="16.5" thickBot="1">
      <c r="A67" s="956" t="s">
        <v>394</v>
      </c>
      <c r="B67" s="966" t="s">
        <v>752</v>
      </c>
      <c r="C67" s="316">
        <f ca="1">C48-C58</f>
        <v>-7755</v>
      </c>
      <c r="D67" s="962" t="s">
        <v>753</v>
      </c>
      <c r="E67" s="967"/>
      <c r="F67" s="968"/>
      <c r="O67" s="1427" t="s">
        <v>405</v>
      </c>
      <c r="P67" s="1418" t="s">
        <v>850</v>
      </c>
      <c r="Q67" s="1465">
        <f ca="1">L51</f>
        <v>5598139</v>
      </c>
      <c r="R67" s="1419" t="s">
        <v>870</v>
      </c>
    </row>
    <row r="68" spans="1:18" s="1383" customFormat="1" ht="16.5" thickBot="1">
      <c r="A68" s="946" t="s">
        <v>395</v>
      </c>
      <c r="B68" s="947" t="s">
        <v>774</v>
      </c>
      <c r="C68" s="301">
        <f ca="1">ROUND(C67*(1-((1+F70)/(1+F68))^F69)/(F68-F70),0)</f>
        <v>-111660</v>
      </c>
      <c r="D68" s="964" t="s">
        <v>758</v>
      </c>
      <c r="E68" s="949" t="s">
        <v>759</v>
      </c>
      <c r="F68" s="312">
        <f ca="1">F40</f>
        <v>5.5E-2</v>
      </c>
      <c r="O68" s="1427" t="s">
        <v>406</v>
      </c>
      <c r="P68" s="1466" t="s">
        <v>871</v>
      </c>
      <c r="Q68" s="1419">
        <f ca="1">ROUND(Q69-Q70*Q71,0)</f>
        <v>305259</v>
      </c>
      <c r="R68" s="1419" t="s">
        <v>414</v>
      </c>
    </row>
    <row r="69" spans="1:18" s="1383" customFormat="1" ht="13.5" thickBot="1">
      <c r="A69" s="950"/>
      <c r="B69" s="951"/>
      <c r="C69" s="306"/>
      <c r="D69" s="969" t="s">
        <v>762</v>
      </c>
      <c r="E69" s="949" t="s">
        <v>763</v>
      </c>
      <c r="F69" s="333">
        <f ca="1">F41</f>
        <v>29.32</v>
      </c>
      <c r="O69" s="1427" t="s">
        <v>411</v>
      </c>
      <c r="P69" s="1466" t="s">
        <v>872</v>
      </c>
      <c r="Q69" s="1419">
        <f ca="1">C39</f>
        <v>467163</v>
      </c>
      <c r="R69" s="1419" t="s">
        <v>818</v>
      </c>
    </row>
    <row r="70" spans="1:18" s="1383" customFormat="1" ht="13.5" thickBot="1">
      <c r="A70" s="953"/>
      <c r="B70" s="954"/>
      <c r="C70" s="310"/>
      <c r="D70" s="965"/>
      <c r="E70" s="949" t="s">
        <v>766</v>
      </c>
      <c r="F70" s="1053"/>
      <c r="O70" s="1427" t="s">
        <v>412</v>
      </c>
      <c r="P70" s="1466" t="s">
        <v>873</v>
      </c>
      <c r="Q70" s="1419">
        <f ca="1">C13</f>
        <v>2312913</v>
      </c>
      <c r="R70" s="1419" t="s">
        <v>818</v>
      </c>
    </row>
    <row r="71" spans="1:18" s="1383" customFormat="1" ht="13.5" thickBot="1">
      <c r="A71" s="970" t="s">
        <v>396</v>
      </c>
      <c r="B71" s="971" t="s">
        <v>776</v>
      </c>
      <c r="C71" s="336">
        <f ca="1">ROUND(C68/F71,0)</f>
        <v>-256</v>
      </c>
      <c r="D71" s="972" t="s">
        <v>777</v>
      </c>
      <c r="E71" s="973" t="s">
        <v>778</v>
      </c>
      <c r="F71" s="339">
        <f ca="1">F43</f>
        <v>436.18</v>
      </c>
      <c r="O71" s="1427" t="s">
        <v>413</v>
      </c>
      <c r="P71" s="1466" t="s">
        <v>874</v>
      </c>
      <c r="Q71" s="1430">
        <f ca="1">C76</f>
        <v>7.0000000000000007E-2</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161904</v>
      </c>
      <c r="D75" s="1383"/>
      <c r="E75" s="1383"/>
      <c r="F75" s="1383"/>
      <c r="K75" s="1401"/>
      <c r="L75" s="1383"/>
      <c r="O75" s="1417" t="s">
        <v>409</v>
      </c>
      <c r="P75" s="1418" t="s">
        <v>838</v>
      </c>
      <c r="Q75" s="1419">
        <f ca="1">Q65+Q66</f>
        <v>8383931</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0.65300000000000002</v>
      </c>
    </row>
    <row r="80" spans="1:18">
      <c r="B80" s="340" t="s">
        <v>800</v>
      </c>
      <c r="C80" s="274">
        <f ca="1">ROUND(C75/C39,3)</f>
        <v>0.34699999999999998</v>
      </c>
    </row>
    <row r="81" spans="2:3">
      <c r="B81" s="270" t="s">
        <v>801</v>
      </c>
      <c r="C81" s="238"/>
    </row>
    <row r="82" spans="2:3">
      <c r="B82" s="273" t="s">
        <v>802</v>
      </c>
      <c r="C82" s="275">
        <f ca="1">1-C83</f>
        <v>0.72399999999999998</v>
      </c>
    </row>
    <row r="83" spans="2:3">
      <c r="B83" s="273" t="s">
        <v>803</v>
      </c>
      <c r="C83" s="274">
        <f ca="1">ROUND(C13/C40,3)</f>
        <v>0.27600000000000002</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24" priority="4">
      <formula>$L$48&gt;$J$51</formula>
    </cfRule>
  </conditionalFormatting>
  <conditionalFormatting sqref="I55 I60">
    <cfRule type="expression" dxfId="23" priority="5">
      <formula>$J$51&gt;$L$48</formula>
    </cfRule>
  </conditionalFormatting>
  <conditionalFormatting sqref="C11">
    <cfRule type="expression" dxfId="22" priority="3">
      <formula>$F$10="自定义"</formula>
    </cfRule>
  </conditionalFormatting>
  <conditionalFormatting sqref="J11">
    <cfRule type="expression" dxfId="21" priority="2">
      <formula>$M$10="自定义"</formula>
    </cfRule>
  </conditionalFormatting>
  <conditionalFormatting sqref="C54">
    <cfRule type="expression" dxfId="2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F10 F53 M10">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19:O22"/>
  <sheetViews>
    <sheetView topLeftCell="A31" workbookViewId="0">
      <selection activeCell="A48" sqref="A48"/>
    </sheetView>
  </sheetViews>
  <sheetFormatPr defaultRowHeight="13.5"/>
  <sheetData>
    <row r="19" spans="13:15">
      <c r="M19">
        <v>106</v>
      </c>
      <c r="N19">
        <v>121.8</v>
      </c>
      <c r="O19">
        <v>8184690</v>
      </c>
    </row>
    <row r="20" spans="13:15">
      <c r="M20">
        <v>206</v>
      </c>
      <c r="N20">
        <v>149.97999999999999</v>
      </c>
      <c r="O20">
        <v>6280102</v>
      </c>
    </row>
    <row r="21" spans="13:15">
      <c r="M21">
        <v>207</v>
      </c>
      <c r="N21">
        <v>147.44999999999999</v>
      </c>
      <c r="O21">
        <v>6421056</v>
      </c>
    </row>
    <row r="22" spans="13:15">
      <c r="M22">
        <v>208</v>
      </c>
      <c r="N22">
        <v>138.75</v>
      </c>
      <c r="O22">
        <v>6280102</v>
      </c>
    </row>
  </sheetData>
  <phoneticPr fontId="134"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A12" sqref="A8:XFD12"/>
    </sheetView>
  </sheetViews>
  <sheetFormatPr defaultRowHeight="13.5"/>
  <cols>
    <col min="1" max="1" width="13.875" customWidth="1"/>
    <col min="11" max="17" width="0" hidden="1" customWidth="1"/>
    <col min="25" max="30" width="0" hidden="1" customWidth="1"/>
  </cols>
  <sheetData>
    <row r="1" spans="1:44">
      <c r="A1" s="3220">
        <f>基准地价修正!G23</f>
        <v>45805</v>
      </c>
      <c r="B1" s="3209" t="s">
        <v>3377</v>
      </c>
      <c r="C1" s="3210"/>
      <c r="D1" s="3210"/>
      <c r="E1" s="3210"/>
      <c r="F1" s="3210"/>
      <c r="G1" s="3210"/>
      <c r="H1" s="3210"/>
      <c r="I1" s="3210"/>
      <c r="J1" s="3164"/>
      <c r="K1" s="3210" t="s">
        <v>454</v>
      </c>
      <c r="L1" s="3210"/>
      <c r="M1" s="3210"/>
      <c r="N1" s="3210"/>
      <c r="O1" s="3210"/>
      <c r="P1" s="3210"/>
      <c r="Q1" s="3164"/>
      <c r="R1" s="3820" t="s">
        <v>456</v>
      </c>
      <c r="S1" s="3821"/>
      <c r="T1" s="3821"/>
      <c r="U1" s="3821"/>
      <c r="V1" s="3821"/>
      <c r="W1" s="3821"/>
      <c r="X1" s="3164"/>
      <c r="Y1" s="3820" t="s">
        <v>457</v>
      </c>
      <c r="Z1" s="3821"/>
      <c r="AA1" s="3821"/>
      <c r="AB1" s="3821"/>
      <c r="AC1" s="3821"/>
      <c r="AD1" s="3821"/>
    </row>
    <row r="2" spans="1:44" s="3142" customFormat="1" ht="14.25" thickBot="1">
      <c r="B2" s="3143"/>
      <c r="C2" s="3144"/>
      <c r="D2" s="3145" t="s">
        <v>2810</v>
      </c>
      <c r="E2" s="3146" t="s">
        <v>2811</v>
      </c>
      <c r="F2" s="3146" t="s">
        <v>2812</v>
      </c>
      <c r="G2" s="3146" t="s">
        <v>2813</v>
      </c>
      <c r="H2" s="3146" t="s">
        <v>2814</v>
      </c>
      <c r="I2" s="3146" t="s">
        <v>2631</v>
      </c>
      <c r="J2" s="3147"/>
      <c r="K2" s="3145" t="s">
        <v>2810</v>
      </c>
      <c r="L2" s="3146" t="s">
        <v>2811</v>
      </c>
      <c r="M2" s="3146" t="s">
        <v>2812</v>
      </c>
      <c r="N2" s="3146" t="s">
        <v>2813</v>
      </c>
      <c r="O2" s="3146" t="s">
        <v>2815</v>
      </c>
      <c r="P2" s="3146" t="s">
        <v>2631</v>
      </c>
      <c r="Q2" s="3147"/>
      <c r="R2" s="3145" t="s">
        <v>2810</v>
      </c>
      <c r="S2" s="3146" t="s">
        <v>2811</v>
      </c>
      <c r="T2" s="3146" t="s">
        <v>2812</v>
      </c>
      <c r="U2" s="3146" t="s">
        <v>2816</v>
      </c>
      <c r="V2" s="3146" t="s">
        <v>2817</v>
      </c>
      <c r="W2" s="3146" t="s">
        <v>2631</v>
      </c>
      <c r="X2" s="3147"/>
      <c r="Y2" s="3145" t="s">
        <v>2810</v>
      </c>
      <c r="Z2" s="3146" t="s">
        <v>2811</v>
      </c>
      <c r="AA2" s="3146" t="s">
        <v>2812</v>
      </c>
      <c r="AB2" s="3146" t="s">
        <v>2818</v>
      </c>
      <c r="AC2" s="3146" t="s">
        <v>2817</v>
      </c>
      <c r="AD2" s="3146" t="s">
        <v>2631</v>
      </c>
      <c r="AF2" t="s">
        <v>3404</v>
      </c>
      <c r="AG2" t="s">
        <v>673</v>
      </c>
      <c r="AH2" t="s">
        <v>21</v>
      </c>
      <c r="AI2" t="s">
        <v>3405</v>
      </c>
      <c r="AJ2" t="s">
        <v>3</v>
      </c>
      <c r="AK2" t="s">
        <v>3406</v>
      </c>
      <c r="AM2" t="s">
        <v>3404</v>
      </c>
      <c r="AN2" t="s">
        <v>673</v>
      </c>
      <c r="AO2" t="s">
        <v>21</v>
      </c>
      <c r="AP2" t="s">
        <v>3405</v>
      </c>
      <c r="AQ2" t="s">
        <v>3</v>
      </c>
      <c r="AR2" t="s">
        <v>3406</v>
      </c>
    </row>
    <row r="3" spans="1:44" s="3160" customFormat="1" ht="12.75">
      <c r="A3" s="3148" t="s">
        <v>2819</v>
      </c>
      <c r="B3" s="3149"/>
      <c r="C3" s="3150"/>
      <c r="D3" s="3150">
        <f>ROUND(AVERAGEIF(D4:D24,"&lt;&gt;0"),2)</f>
        <v>0.39</v>
      </c>
      <c r="E3" s="3150">
        <f t="shared" ref="E3:H3" si="0">ROUND(AVERAGEIF(E4:E24,"&lt;&gt;0"),2)</f>
        <v>0.21</v>
      </c>
      <c r="F3" s="3150">
        <f t="shared" si="0"/>
        <v>-0.06</v>
      </c>
      <c r="G3" s="3150">
        <f t="shared" si="0"/>
        <v>0.46</v>
      </c>
      <c r="H3" s="3150">
        <f t="shared" si="0"/>
        <v>0.51</v>
      </c>
      <c r="I3" s="3150">
        <f>F3</f>
        <v>-0.06</v>
      </c>
      <c r="J3" s="3151"/>
      <c r="K3" s="3152">
        <f>ROUND(AVERAGEIF(K4:K24,"&lt;&gt;0"),4)</f>
        <v>3.8999999999999998E-3</v>
      </c>
      <c r="L3" s="3153">
        <f t="shared" ref="L3:O3" si="1">ROUND(AVERAGEIF(L4:L24,"&lt;&gt;0"),4)</f>
        <v>2.0999999999999999E-3</v>
      </c>
      <c r="M3" s="3153">
        <f t="shared" si="1"/>
        <v>-5.9999999999999995E-4</v>
      </c>
      <c r="N3" s="3153">
        <f t="shared" si="1"/>
        <v>4.5999999999999999E-3</v>
      </c>
      <c r="O3" s="3153">
        <f t="shared" si="1"/>
        <v>5.1000000000000004E-3</v>
      </c>
      <c r="P3" s="3153">
        <f>M3</f>
        <v>-5.9999999999999995E-4</v>
      </c>
      <c r="Q3" s="3151"/>
      <c r="R3" s="3154">
        <f>ROUND(SUMPRODUCT(PRODUCT(1+K4:K24)),4)</f>
        <v>1.0674999999999999</v>
      </c>
      <c r="S3" s="3155">
        <f t="shared" ref="S3:V3" si="2">ROUND(SUMPRODUCT(PRODUCT(1+L4:L24)),4)</f>
        <v>1.0355000000000001</v>
      </c>
      <c r="T3" s="3155">
        <f t="shared" si="2"/>
        <v>0.98880000000000001</v>
      </c>
      <c r="U3" s="3155">
        <f t="shared" si="2"/>
        <v>1.0798000000000001</v>
      </c>
      <c r="V3" s="3155">
        <f t="shared" si="2"/>
        <v>1.0911</v>
      </c>
      <c r="W3" s="3154">
        <f>T3</f>
        <v>0.98880000000000001</v>
      </c>
      <c r="X3" s="3151"/>
      <c r="Y3" s="3156">
        <f>ROUND(AVERAGEIF(Y11:Y24,"&lt;&gt;0"),4)</f>
        <v>8.3999999999999995E-3</v>
      </c>
      <c r="Z3" s="3157">
        <f t="shared" ref="Z3:AC3" si="3">ROUND(AVERAGEIF(Z11:Z24,"&lt;&gt;0"),4)</f>
        <v>3.5000000000000001E-3</v>
      </c>
      <c r="AA3" s="3158">
        <f t="shared" si="3"/>
        <v>8.0000000000000004E-4</v>
      </c>
      <c r="AB3" s="3156">
        <f t="shared" si="3"/>
        <v>9.1000000000000004E-3</v>
      </c>
      <c r="AC3" s="3159">
        <f t="shared" si="3"/>
        <v>6.1000000000000004E-3</v>
      </c>
      <c r="AD3" s="3156">
        <f>AA3</f>
        <v>8.0000000000000004E-4</v>
      </c>
    </row>
    <row r="4" spans="1:44"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44" s="3184" customFormat="1">
      <c r="A5" s="2204" t="s">
        <v>3403</v>
      </c>
      <c r="B5" s="3176">
        <v>2025</v>
      </c>
      <c r="C5" s="3177">
        <v>4</v>
      </c>
      <c r="D5" s="3178">
        <v>0</v>
      </c>
      <c r="E5" s="3178">
        <v>0</v>
      </c>
      <c r="F5" s="3178">
        <v>0</v>
      </c>
      <c r="G5" s="3178">
        <v>0</v>
      </c>
      <c r="H5" s="3178">
        <v>0</v>
      </c>
      <c r="I5" s="3179">
        <f t="shared" ref="I5" si="4">F5</f>
        <v>0</v>
      </c>
      <c r="J5" s="3180"/>
      <c r="K5" s="3181">
        <f t="shared" ref="K5" si="5">D5/100</f>
        <v>0</v>
      </c>
      <c r="L5" s="3171">
        <f t="shared" ref="L5" si="6">E5/100</f>
        <v>0</v>
      </c>
      <c r="M5" s="3171">
        <f t="shared" ref="M5" si="7">F5/100</f>
        <v>0</v>
      </c>
      <c r="N5" s="3171">
        <f t="shared" ref="N5" si="8">G5/100</f>
        <v>0</v>
      </c>
      <c r="O5" s="3171">
        <f t="shared" ref="O5" si="9">H5/100</f>
        <v>0</v>
      </c>
      <c r="P5" s="3171">
        <f t="shared" ref="P5:P11" si="10">M5</f>
        <v>0</v>
      </c>
      <c r="Q5" s="3180"/>
      <c r="R5" s="3182">
        <f>ROUND(IF(项目基本情况!$B$8="出让",SUMPRODUCT(PRODUCT(1+K5:$K$24)),SUMPRODUCT(PRODUCT(1+K5:$K$23))),4)</f>
        <v>1.0571999999999999</v>
      </c>
      <c r="S5" s="3182">
        <f>ROUND(IF(项目基本情况!$B$8="出让",SUMPRODUCT(PRODUCT(1+L5:$L$24)),SUMPRODUCT(PRODUCT(1+L5:$L$23))),4)</f>
        <v>1.0339</v>
      </c>
      <c r="T5" s="3182">
        <f>ROUND(IF(项目基本情况!$B$8="出让",SUMPRODUCT(PRODUCT(1+M5:$M$24)),SUMPRODUCT(PRODUCT(1+M5:$M$23))),4)</f>
        <v>0.99129999999999996</v>
      </c>
      <c r="U5" s="3182">
        <f>ROUND(IF(项目基本情况!$B$8="出让",SUMPRODUCT(PRODUCT(1+N5:$N$24)),SUMPRODUCT(PRODUCT(1+N5:$N$23))),4)</f>
        <v>1.0679000000000001</v>
      </c>
      <c r="V5" s="3182">
        <f>ROUND(IF(项目基本情况!$B$8="出让",SUMPRODUCT(PRODUCT(1+O5:$O$24)),SUMPRODUCT(PRODUCT(1+O5:$O$23))),4)</f>
        <v>1.0871999999999999</v>
      </c>
      <c r="W5" s="3182">
        <f t="shared" ref="W5:W11" si="11">T5</f>
        <v>0.99129999999999996</v>
      </c>
      <c r="X5" s="3180"/>
      <c r="Y5" s="3183">
        <f t="shared" ref="Y5:Y11" si="12">IF(D5=0,0,ROUND(AVERAGE(D5:D18)/100,4))</f>
        <v>0</v>
      </c>
      <c r="Z5" s="3183">
        <f t="shared" ref="Z5" si="13">IF(E5=0,0,ROUND(AVERAGE(E5:E18)/100,4))</f>
        <v>0</v>
      </c>
      <c r="AA5" s="3183">
        <f t="shared" ref="AA5" si="14">IF(F5=0,0,ROUND(AVERAGE(F5:F18)/100,4))</f>
        <v>0</v>
      </c>
      <c r="AB5" s="3183">
        <f t="shared" ref="AB5" si="15">IF(G5=0,0,ROUND(AVERAGE(G5:G18)/100,4))</f>
        <v>0</v>
      </c>
      <c r="AC5" s="3183">
        <f t="shared" ref="AC5" si="16">IF(H5=0,0,ROUND(AVERAGE(H5:H18)/100,4))</f>
        <v>0</v>
      </c>
      <c r="AD5" s="3183">
        <f t="shared" ref="AD5" si="17">AA5</f>
        <v>0</v>
      </c>
      <c r="AF5" s="3457">
        <f>$AF$24*R5</f>
        <v>105.72</v>
      </c>
      <c r="AG5" s="3457">
        <f t="shared" ref="AG5:AK5" si="18">$AF$24*S5</f>
        <v>103.39</v>
      </c>
      <c r="AH5" s="3457">
        <f t="shared" si="18"/>
        <v>99.13</v>
      </c>
      <c r="AI5" s="3457">
        <f t="shared" si="18"/>
        <v>106.79</v>
      </c>
      <c r="AJ5" s="3457">
        <f t="shared" si="18"/>
        <v>108.72</v>
      </c>
      <c r="AK5" s="3457">
        <f t="shared" si="18"/>
        <v>99.13</v>
      </c>
      <c r="AM5" s="3463">
        <v>100</v>
      </c>
      <c r="AN5" s="3463">
        <v>100</v>
      </c>
      <c r="AO5" s="3463">
        <v>100</v>
      </c>
      <c r="AP5" s="3463">
        <v>100</v>
      </c>
      <c r="AQ5" s="3463">
        <v>100</v>
      </c>
      <c r="AR5" s="3463">
        <v>100</v>
      </c>
    </row>
    <row r="6" spans="1:44" s="3184" customFormat="1" ht="12.75">
      <c r="A6" s="2204" t="s">
        <v>3402</v>
      </c>
      <c r="B6" s="3176">
        <v>2025</v>
      </c>
      <c r="C6" s="3177">
        <v>3</v>
      </c>
      <c r="D6" s="3178">
        <v>0</v>
      </c>
      <c r="E6" s="3178">
        <v>0</v>
      </c>
      <c r="F6" s="3178">
        <v>0</v>
      </c>
      <c r="G6" s="3178">
        <v>0</v>
      </c>
      <c r="H6" s="3178">
        <v>0</v>
      </c>
      <c r="I6" s="3179">
        <f t="shared" ref="I6" si="19">F6</f>
        <v>0</v>
      </c>
      <c r="J6" s="3180"/>
      <c r="K6" s="3181">
        <f t="shared" ref="K6" si="20">D6/100</f>
        <v>0</v>
      </c>
      <c r="L6" s="3171">
        <f t="shared" ref="L6" si="21">E6/100</f>
        <v>0</v>
      </c>
      <c r="M6" s="3171">
        <f t="shared" ref="M6" si="22">F6/100</f>
        <v>0</v>
      </c>
      <c r="N6" s="3171">
        <f t="shared" ref="N6" si="23">G6/100</f>
        <v>0</v>
      </c>
      <c r="O6" s="3171">
        <f t="shared" ref="O6" si="24">H6/100</f>
        <v>0</v>
      </c>
      <c r="P6" s="3171">
        <f t="shared" si="10"/>
        <v>0</v>
      </c>
      <c r="Q6" s="3180"/>
      <c r="R6" s="3182">
        <f>ROUND(IF(项目基本情况!$B$8="出让",SUMPRODUCT(PRODUCT(1+K6:$K$24)),SUMPRODUCT(PRODUCT(1+K6:$K$23))),4)</f>
        <v>1.0571999999999999</v>
      </c>
      <c r="S6" s="3182">
        <f>ROUND(IF(项目基本情况!$B$8="出让",SUMPRODUCT(PRODUCT(1+L6:$L$24)),SUMPRODUCT(PRODUCT(1+L6:$L$23))),4)</f>
        <v>1.0339</v>
      </c>
      <c r="T6" s="3182">
        <f>ROUND(IF(项目基本情况!$B$8="出让",SUMPRODUCT(PRODUCT(1+M6:$M$24)),SUMPRODUCT(PRODUCT(1+M6:$M$23))),4)</f>
        <v>0.99129999999999996</v>
      </c>
      <c r="U6" s="3182">
        <f>ROUND(IF(项目基本情况!$B$8="出让",SUMPRODUCT(PRODUCT(1+N6:$N$24)),SUMPRODUCT(PRODUCT(1+N6:$N$23))),4)</f>
        <v>1.0679000000000001</v>
      </c>
      <c r="V6" s="3182">
        <f>ROUND(IF(项目基本情况!$B$8="出让",SUMPRODUCT(PRODUCT(1+O6:$O$24)),SUMPRODUCT(PRODUCT(1+O6:$O$23))),4)</f>
        <v>1.0871999999999999</v>
      </c>
      <c r="W6" s="3182">
        <f t="shared" si="11"/>
        <v>0.99129999999999996</v>
      </c>
      <c r="X6" s="3180"/>
      <c r="Y6" s="3183">
        <f t="shared" si="12"/>
        <v>0</v>
      </c>
      <c r="Z6" s="3183">
        <f t="shared" ref="Z6" si="25">IF(E6=0,0,ROUND(AVERAGE(E6:E19)/100,4))</f>
        <v>0</v>
      </c>
      <c r="AA6" s="3183">
        <f t="shared" ref="AA6" si="26">IF(F6=0,0,ROUND(AVERAGE(F6:F19)/100,4))</f>
        <v>0</v>
      </c>
      <c r="AB6" s="3183">
        <f t="shared" ref="AB6" si="27">IF(G6=0,0,ROUND(AVERAGE(G6:G19)/100,4))</f>
        <v>0</v>
      </c>
      <c r="AC6" s="3183">
        <f t="shared" ref="AC6" si="28">IF(H6=0,0,ROUND(AVERAGE(H6:H19)/100,4))</f>
        <v>0</v>
      </c>
      <c r="AD6" s="3183">
        <f t="shared" ref="AD6" si="29">AA6</f>
        <v>0</v>
      </c>
      <c r="AF6" s="3457">
        <f t="shared" ref="AF6:AF23" si="30">$AF$24*R6</f>
        <v>105.72</v>
      </c>
      <c r="AG6" s="3457">
        <f t="shared" ref="AG6:AG23" si="31">$AF$24*S6</f>
        <v>103.39</v>
      </c>
      <c r="AH6" s="3457">
        <f t="shared" ref="AH6:AH23" si="32">$AF$24*T6</f>
        <v>99.13</v>
      </c>
      <c r="AI6" s="3457">
        <f t="shared" ref="AI6:AI23" si="33">$AF$24*U6</f>
        <v>106.79</v>
      </c>
      <c r="AJ6" s="3457">
        <f t="shared" ref="AJ6:AJ23" si="34">$AF$24*V6</f>
        <v>108.72</v>
      </c>
      <c r="AK6" s="3457">
        <f t="shared" ref="AK6:AK23" si="35">$AF$24*W6</f>
        <v>99.13</v>
      </c>
      <c r="AM6" s="3457">
        <f>AM5/(1+D5/100)</f>
        <v>100</v>
      </c>
      <c r="AN6" s="3457">
        <f t="shared" ref="AN6:AR6" si="36">AN5/(1+E5/100)</f>
        <v>100</v>
      </c>
      <c r="AO6" s="3457">
        <f t="shared" si="36"/>
        <v>100</v>
      </c>
      <c r="AP6" s="3457">
        <f t="shared" si="36"/>
        <v>100</v>
      </c>
      <c r="AQ6" s="3457">
        <f t="shared" si="36"/>
        <v>100</v>
      </c>
      <c r="AR6" s="3457">
        <f t="shared" si="36"/>
        <v>100</v>
      </c>
    </row>
    <row r="7" spans="1:44" s="3194" customFormat="1" ht="12.75">
      <c r="A7" s="3185" t="s">
        <v>3401</v>
      </c>
      <c r="B7" s="3186">
        <v>2025</v>
      </c>
      <c r="C7" s="3187">
        <v>2</v>
      </c>
      <c r="D7" s="3188">
        <v>0</v>
      </c>
      <c r="E7" s="3188">
        <v>0</v>
      </c>
      <c r="F7" s="3188">
        <v>0</v>
      </c>
      <c r="G7" s="3188">
        <v>0</v>
      </c>
      <c r="H7" s="3189">
        <v>0</v>
      </c>
      <c r="I7" s="3190">
        <f t="shared" ref="I7" si="37">F7</f>
        <v>0</v>
      </c>
      <c r="J7" s="3191"/>
      <c r="K7" s="3192">
        <f t="shared" ref="K7" si="38">D7/100</f>
        <v>0</v>
      </c>
      <c r="L7" s="3193">
        <f t="shared" ref="L7" si="39">E7/100</f>
        <v>0</v>
      </c>
      <c r="M7" s="3193">
        <f t="shared" ref="M7" si="40">F7/100</f>
        <v>0</v>
      </c>
      <c r="N7" s="3193">
        <f t="shared" ref="N7" si="41">G7/100</f>
        <v>0</v>
      </c>
      <c r="O7" s="3193">
        <f t="shared" ref="O7" si="42">H7/100</f>
        <v>0</v>
      </c>
      <c r="P7" s="3193">
        <f t="shared" si="10"/>
        <v>0</v>
      </c>
      <c r="Q7" s="3191"/>
      <c r="R7" s="3191">
        <f>ROUND(IF(项目基本情况!$B$8="出让",SUMPRODUCT(PRODUCT(1+K7:$K$24)),SUMPRODUCT(PRODUCT(1+K7:$K$23))),4)</f>
        <v>1.0571999999999999</v>
      </c>
      <c r="S7" s="3191">
        <f>ROUND(IF(项目基本情况!$B$8="出让",SUMPRODUCT(PRODUCT(1+L7:$L$24)),SUMPRODUCT(PRODUCT(1+L7:$L$23))),4)</f>
        <v>1.0339</v>
      </c>
      <c r="T7" s="3191">
        <f>ROUND(IF(项目基本情况!$B$8="出让",SUMPRODUCT(PRODUCT(1+M7:$M$24)),SUMPRODUCT(PRODUCT(1+M7:$M$23))),4)</f>
        <v>0.99129999999999996</v>
      </c>
      <c r="U7" s="3191">
        <f>ROUND(IF(项目基本情况!$B$8="出让",SUMPRODUCT(PRODUCT(1+N7:$N$24)),SUMPRODUCT(PRODUCT(1+N7:$N$23))),4)</f>
        <v>1.0679000000000001</v>
      </c>
      <c r="V7" s="3191">
        <f>ROUND(IF(项目基本情况!$B$8="出让",SUMPRODUCT(PRODUCT(1+O7:$O$24)),SUMPRODUCT(PRODUCT(1+O7:$O$23))),4)</f>
        <v>1.0871999999999999</v>
      </c>
      <c r="W7" s="3191">
        <f t="shared" si="11"/>
        <v>0.99129999999999996</v>
      </c>
      <c r="X7" s="3191"/>
      <c r="Y7" s="3193">
        <f t="shared" si="12"/>
        <v>0</v>
      </c>
      <c r="Z7" s="3193">
        <f t="shared" ref="Z7" si="43">IF(E7=0,0,ROUND(AVERAGE(E7:E20)/100,4))</f>
        <v>0</v>
      </c>
      <c r="AA7" s="3193">
        <f t="shared" ref="AA7" si="44">IF(F7=0,0,ROUND(AVERAGE(F7:F20)/100,4))</f>
        <v>0</v>
      </c>
      <c r="AB7" s="3193">
        <f t="shared" ref="AB7" si="45">IF(G7=0,0,ROUND(AVERAGE(G7:G20)/100,4))</f>
        <v>0</v>
      </c>
      <c r="AC7" s="3193">
        <f t="shared" ref="AC7" si="46">IF(H7=0,0,ROUND(AVERAGE(H7:H20)/100,4))</f>
        <v>0</v>
      </c>
      <c r="AD7" s="3193">
        <f t="shared" ref="AD7" si="47">AA7</f>
        <v>0</v>
      </c>
      <c r="AF7" s="3458">
        <f t="shared" si="30"/>
        <v>105.72</v>
      </c>
      <c r="AG7" s="3458">
        <f t="shared" si="31"/>
        <v>103.39</v>
      </c>
      <c r="AH7" s="3458">
        <f t="shared" si="32"/>
        <v>99.13</v>
      </c>
      <c r="AI7" s="3458">
        <f t="shared" si="33"/>
        <v>106.79</v>
      </c>
      <c r="AJ7" s="3458">
        <f t="shared" si="34"/>
        <v>108.72</v>
      </c>
      <c r="AK7" s="3458">
        <f t="shared" si="35"/>
        <v>99.13</v>
      </c>
      <c r="AM7" s="3458">
        <f t="shared" ref="AM7:AM24" si="48">AM6/(1+D6/100)</f>
        <v>100</v>
      </c>
      <c r="AN7" s="3458">
        <f t="shared" ref="AN7:AN24" si="49">AN6/(1+E6/100)</f>
        <v>100</v>
      </c>
      <c r="AO7" s="3458">
        <f t="shared" ref="AO7:AO24" si="50">AO6/(1+F6/100)</f>
        <v>100</v>
      </c>
      <c r="AP7" s="3458">
        <f t="shared" ref="AP7:AP24" si="51">AP6/(1+G6/100)</f>
        <v>100</v>
      </c>
      <c r="AQ7" s="3458">
        <f t="shared" ref="AQ7:AQ24" si="52">AQ6/(1+H6/100)</f>
        <v>100</v>
      </c>
      <c r="AR7" s="3458">
        <f t="shared" ref="AR7:AR24" si="53">AR6/(1+I6/100)</f>
        <v>100</v>
      </c>
    </row>
    <row r="8" spans="1:44" s="3184" customFormat="1" ht="12.75">
      <c r="A8" s="2204" t="s">
        <v>3409</v>
      </c>
      <c r="B8" s="3176">
        <v>2025</v>
      </c>
      <c r="C8" s="3177">
        <v>1</v>
      </c>
      <c r="D8" s="3178">
        <v>0.56999999999999995</v>
      </c>
      <c r="E8" s="3178">
        <v>-0.56999999999999995</v>
      </c>
      <c r="F8" s="3178">
        <v>-0.9</v>
      </c>
      <c r="G8" s="3178">
        <v>1.1200000000000001</v>
      </c>
      <c r="H8" s="3178">
        <v>0.42</v>
      </c>
      <c r="I8" s="3179">
        <f t="shared" ref="I8" si="54">F8</f>
        <v>-0.9</v>
      </c>
      <c r="J8" s="3180"/>
      <c r="K8" s="3181">
        <f t="shared" ref="K8" si="55">D8/100</f>
        <v>5.6999999999999993E-3</v>
      </c>
      <c r="L8" s="3171">
        <f t="shared" ref="L8" si="56">E8/100</f>
        <v>-5.6999999999999993E-3</v>
      </c>
      <c r="M8" s="3171">
        <f t="shared" ref="M8" si="57">F8/100</f>
        <v>-9.0000000000000011E-3</v>
      </c>
      <c r="N8" s="3171">
        <f t="shared" ref="N8" si="58">G8/100</f>
        <v>1.1200000000000002E-2</v>
      </c>
      <c r="O8" s="3171">
        <f t="shared" ref="O8" si="59">H8/100</f>
        <v>4.1999999999999997E-3</v>
      </c>
      <c r="P8" s="3171">
        <f t="shared" si="10"/>
        <v>-9.0000000000000011E-3</v>
      </c>
      <c r="Q8" s="3180"/>
      <c r="R8" s="3182">
        <f>ROUND(IF(项目基本情况!$B$8="出让",SUMPRODUCT(PRODUCT(1+K8:$K$24)),SUMPRODUCT(PRODUCT(1+K8:$K$23))),4)</f>
        <v>1.0571999999999999</v>
      </c>
      <c r="S8" s="3182">
        <f>ROUND(IF(项目基本情况!$B$8="出让",SUMPRODUCT(PRODUCT(1+L8:$L$24)),SUMPRODUCT(PRODUCT(1+L8:$L$23))),4)</f>
        <v>1.0339</v>
      </c>
      <c r="T8" s="3182">
        <f>ROUND(IF(项目基本情况!$B$8="出让",SUMPRODUCT(PRODUCT(1+M8:$M$24)),SUMPRODUCT(PRODUCT(1+M8:$M$23))),4)</f>
        <v>0.99129999999999996</v>
      </c>
      <c r="U8" s="3182">
        <f>ROUND(IF(项目基本情况!$B$8="出让",SUMPRODUCT(PRODUCT(1+N8:$N$24)),SUMPRODUCT(PRODUCT(1+N8:$N$23))),4)</f>
        <v>1.0679000000000001</v>
      </c>
      <c r="V8" s="3182">
        <f>ROUND(IF(项目基本情况!$B$8="出让",SUMPRODUCT(PRODUCT(1+O8:$O$24)),SUMPRODUCT(PRODUCT(1+O8:$O$23))),4)</f>
        <v>1.0871999999999999</v>
      </c>
      <c r="W8" s="3182">
        <f t="shared" si="11"/>
        <v>0.99129999999999996</v>
      </c>
      <c r="X8" s="3180"/>
      <c r="Y8" s="3183">
        <f t="shared" si="12"/>
        <v>3.0000000000000001E-3</v>
      </c>
      <c r="Z8" s="3183">
        <f t="shared" ref="Z8" si="60">IF(E8=0,0,ROUND(AVERAGE(E8:E21)/100,4))</f>
        <v>1.6000000000000001E-3</v>
      </c>
      <c r="AA8" s="3183">
        <f t="shared" ref="AA8" si="61">IF(F8=0,0,ROUND(AVERAGE(F8:F21)/100,4))</f>
        <v>-1.1000000000000001E-3</v>
      </c>
      <c r="AB8" s="3183">
        <f t="shared" ref="AB8" si="62">IF(G8=0,0,ROUND(AVERAGE(G8:G21)/100,4))</f>
        <v>3.7000000000000002E-3</v>
      </c>
      <c r="AC8" s="3183">
        <f t="shared" ref="AC8" si="63">IF(H8=0,0,ROUND(AVERAGE(H8:H21)/100,4))</f>
        <v>4.8999999999999998E-3</v>
      </c>
      <c r="AD8" s="3183">
        <f t="shared" ref="AD8" si="64">AA8</f>
        <v>-1.1000000000000001E-3</v>
      </c>
      <c r="AF8" s="3457">
        <f t="shared" si="30"/>
        <v>105.72</v>
      </c>
      <c r="AG8" s="3457">
        <f t="shared" si="31"/>
        <v>103.39</v>
      </c>
      <c r="AH8" s="3457">
        <f t="shared" si="32"/>
        <v>99.13</v>
      </c>
      <c r="AI8" s="3457">
        <f t="shared" si="33"/>
        <v>106.79</v>
      </c>
      <c r="AJ8" s="3457">
        <f t="shared" si="34"/>
        <v>108.72</v>
      </c>
      <c r="AK8" s="3457">
        <f t="shared" si="35"/>
        <v>99.13</v>
      </c>
      <c r="AM8" s="3457">
        <f t="shared" si="48"/>
        <v>100</v>
      </c>
      <c r="AN8" s="3457">
        <f t="shared" si="49"/>
        <v>100</v>
      </c>
      <c r="AO8" s="3457">
        <f t="shared" si="50"/>
        <v>100</v>
      </c>
      <c r="AP8" s="3457">
        <f t="shared" si="51"/>
        <v>100</v>
      </c>
      <c r="AQ8" s="3457">
        <f t="shared" si="52"/>
        <v>100</v>
      </c>
      <c r="AR8" s="3457">
        <f t="shared" si="53"/>
        <v>100</v>
      </c>
    </row>
    <row r="9" spans="1:44" s="3184" customFormat="1" ht="12.75">
      <c r="A9" s="2204" t="s">
        <v>3408</v>
      </c>
      <c r="B9" s="3176">
        <v>2024</v>
      </c>
      <c r="C9" s="3177">
        <v>4</v>
      </c>
      <c r="D9" s="3178">
        <v>-1.02</v>
      </c>
      <c r="E9" s="3178">
        <v>-0.48</v>
      </c>
      <c r="F9" s="3178">
        <v>-0.75</v>
      </c>
      <c r="G9" s="3178">
        <v>-1.05</v>
      </c>
      <c r="H9" s="3178">
        <v>0.08</v>
      </c>
      <c r="I9" s="3179">
        <f t="shared" ref="I9" si="65">F9</f>
        <v>-0.75</v>
      </c>
      <c r="J9" s="3180"/>
      <c r="K9" s="3181">
        <f t="shared" ref="K9" si="66">D9/100</f>
        <v>-1.0200000000000001E-2</v>
      </c>
      <c r="L9" s="3171">
        <f t="shared" ref="L9" si="67">E9/100</f>
        <v>-4.7999999999999996E-3</v>
      </c>
      <c r="M9" s="3171">
        <f t="shared" ref="M9" si="68">F9/100</f>
        <v>-7.4999999999999997E-3</v>
      </c>
      <c r="N9" s="3171">
        <f t="shared" ref="N9" si="69">G9/100</f>
        <v>-1.0500000000000001E-2</v>
      </c>
      <c r="O9" s="3171">
        <f t="shared" ref="O9" si="70">H9/100</f>
        <v>8.0000000000000004E-4</v>
      </c>
      <c r="P9" s="3171">
        <f t="shared" si="10"/>
        <v>-7.4999999999999997E-3</v>
      </c>
      <c r="Q9" s="3180"/>
      <c r="R9" s="3182">
        <f>ROUND(IF(项目基本情况!$B$8="出让",SUMPRODUCT(PRODUCT(1+K9:$K$24)),SUMPRODUCT(PRODUCT(1+K9:$K$23))),4)</f>
        <v>1.0511999999999999</v>
      </c>
      <c r="S9" s="3182">
        <f>ROUND(IF(项目基本情况!$B$8="出让",SUMPRODUCT(PRODUCT(1+L9:$L$24)),SUMPRODUCT(PRODUCT(1+L9:$L$23))),4)</f>
        <v>1.0398000000000001</v>
      </c>
      <c r="T9" s="3182">
        <f>ROUND(IF(项目基本情况!$B$8="出让",SUMPRODUCT(PRODUCT(1+M9:$M$24)),SUMPRODUCT(PRODUCT(1+M9:$M$23))),4)</f>
        <v>1.0003</v>
      </c>
      <c r="U9" s="3182">
        <f>ROUND(IF(项目基本情况!$B$8="出让",SUMPRODUCT(PRODUCT(1+N9:$N$24)),SUMPRODUCT(PRODUCT(1+N9:$N$23))),4)</f>
        <v>1.0561</v>
      </c>
      <c r="V9" s="3182">
        <f>ROUND(IF(项目基本情况!$B$8="出让",SUMPRODUCT(PRODUCT(1+O9:$O$24)),SUMPRODUCT(PRODUCT(1+O9:$O$23))),4)</f>
        <v>1.0827</v>
      </c>
      <c r="W9" s="3182">
        <f t="shared" si="11"/>
        <v>1.0003</v>
      </c>
      <c r="X9" s="3180"/>
      <c r="Y9" s="3183">
        <f t="shared" si="12"/>
        <v>2.8999999999999998E-3</v>
      </c>
      <c r="Z9" s="3183">
        <f t="shared" ref="Z9" si="71">IF(E9=0,0,ROUND(AVERAGE(E9:E22)/100,4))</f>
        <v>2.3E-3</v>
      </c>
      <c r="AA9" s="3183">
        <f t="shared" ref="AA9" si="72">IF(F9=0,0,ROUND(AVERAGE(F9:F22)/100,4))</f>
        <v>-2.9999999999999997E-4</v>
      </c>
      <c r="AB9" s="3183">
        <f t="shared" ref="AB9" si="73">IF(G9=0,0,ROUND(AVERAGE(G9:G22)/100,4))</f>
        <v>3.3E-3</v>
      </c>
      <c r="AC9" s="3183">
        <f t="shared" ref="AC9" si="74">IF(H9=0,0,ROUND(AVERAGE(H9:H22)/100,4))</f>
        <v>5.0000000000000001E-3</v>
      </c>
      <c r="AD9" s="3183">
        <f t="shared" ref="AD9" si="75">AA9</f>
        <v>-2.9999999999999997E-4</v>
      </c>
      <c r="AF9" s="3457">
        <f t="shared" si="30"/>
        <v>105.11999999999999</v>
      </c>
      <c r="AG9" s="3457">
        <f t="shared" si="31"/>
        <v>103.98</v>
      </c>
      <c r="AH9" s="3457">
        <f t="shared" si="32"/>
        <v>100.03</v>
      </c>
      <c r="AI9" s="3457">
        <f t="shared" si="33"/>
        <v>105.61</v>
      </c>
      <c r="AJ9" s="3457">
        <f t="shared" si="34"/>
        <v>108.27</v>
      </c>
      <c r="AK9" s="3457">
        <f t="shared" si="35"/>
        <v>100.03</v>
      </c>
      <c r="AM9" s="3457">
        <f t="shared" si="48"/>
        <v>99.433230585661718</v>
      </c>
      <c r="AN9" s="3457">
        <f t="shared" si="49"/>
        <v>100.57326762546515</v>
      </c>
      <c r="AO9" s="3457">
        <f t="shared" si="50"/>
        <v>100.90817356205852</v>
      </c>
      <c r="AP9" s="3457">
        <f t="shared" si="51"/>
        <v>98.892405063291136</v>
      </c>
      <c r="AQ9" s="3457">
        <f t="shared" si="52"/>
        <v>99.581756622186816</v>
      </c>
      <c r="AR9" s="3457">
        <f t="shared" si="53"/>
        <v>100.90817356205852</v>
      </c>
    </row>
    <row r="10" spans="1:44" s="3184" customFormat="1" ht="12.75">
      <c r="A10" s="2204" t="s">
        <v>3381</v>
      </c>
      <c r="B10" s="3176">
        <v>2024</v>
      </c>
      <c r="C10" s="3177">
        <v>3</v>
      </c>
      <c r="D10" s="3178">
        <v>-1.19</v>
      </c>
      <c r="E10" s="3178">
        <v>-0.47</v>
      </c>
      <c r="F10" s="3178">
        <v>-0.28999999999999998</v>
      </c>
      <c r="G10" s="3178">
        <v>-0.74</v>
      </c>
      <c r="H10" s="3178">
        <v>-0.21</v>
      </c>
      <c r="I10" s="3179">
        <f t="shared" ref="I10" si="76">F10</f>
        <v>-0.28999999999999998</v>
      </c>
      <c r="J10" s="3180"/>
      <c r="K10" s="3181">
        <f t="shared" ref="K10" si="77">D10/100</f>
        <v>-1.1899999999999999E-2</v>
      </c>
      <c r="L10" s="3171">
        <f t="shared" ref="L10" si="78">E10/100</f>
        <v>-4.6999999999999993E-3</v>
      </c>
      <c r="M10" s="3171">
        <f t="shared" ref="M10" si="79">F10/100</f>
        <v>-2.8999999999999998E-3</v>
      </c>
      <c r="N10" s="3171">
        <f t="shared" ref="N10" si="80">G10/100</f>
        <v>-7.4000000000000003E-3</v>
      </c>
      <c r="O10" s="3171">
        <f t="shared" ref="O10" si="81">H10/100</f>
        <v>-2.0999999999999999E-3</v>
      </c>
      <c r="P10" s="3171">
        <f t="shared" si="10"/>
        <v>-2.8999999999999998E-3</v>
      </c>
      <c r="Q10" s="3180"/>
      <c r="R10" s="3182">
        <f>ROUND(IF(项目基本情况!$B$8="出让",SUMPRODUCT(PRODUCT(1+K10:$K$24)),SUMPRODUCT(PRODUCT(1+K10:$K$23))),4)</f>
        <v>1.0620000000000001</v>
      </c>
      <c r="S10" s="3182">
        <f>ROUND(IF(项目基本情况!$B$8="出让",SUMPRODUCT(PRODUCT(1+L10:$L$24)),SUMPRODUCT(PRODUCT(1+L10:$L$23))),4)</f>
        <v>1.0448</v>
      </c>
      <c r="T10" s="3182">
        <f>ROUND(IF(项目基本情况!$B$8="出让",SUMPRODUCT(PRODUCT(1+M10:$M$24)),SUMPRODUCT(PRODUCT(1+M10:$M$23))),4)</f>
        <v>1.0079</v>
      </c>
      <c r="U10" s="3182">
        <f>ROUND(IF(项目基本情况!$B$8="出让",SUMPRODUCT(PRODUCT(1+N10:$N$24)),SUMPRODUCT(PRODUCT(1+N10:$N$23))),4)</f>
        <v>1.0672999999999999</v>
      </c>
      <c r="V10" s="3182">
        <f>ROUND(IF(项目基本情况!$B$8="出让",SUMPRODUCT(PRODUCT(1+O10:$O$24)),SUMPRODUCT(PRODUCT(1+O10:$O$23))),4)</f>
        <v>1.0818000000000001</v>
      </c>
      <c r="W10" s="3182">
        <f t="shared" si="11"/>
        <v>1.0079</v>
      </c>
      <c r="X10" s="3180"/>
      <c r="Y10" s="3183">
        <f t="shared" si="12"/>
        <v>4.3E-3</v>
      </c>
      <c r="Z10" s="3183">
        <f t="shared" ref="Z10" si="82">IF(E10=0,0,ROUND(AVERAGE(E10:E23)/100,4))</f>
        <v>3.0999999999999999E-3</v>
      </c>
      <c r="AA10" s="3183">
        <f t="shared" ref="AA10" si="83">IF(F10=0,0,ROUND(AVERAGE(F10:F23)/100,4))</f>
        <v>5.9999999999999995E-4</v>
      </c>
      <c r="AB10" s="3183">
        <f t="shared" ref="AB10" si="84">IF(G10=0,0,ROUND(AVERAGE(G10:G23)/100,4))</f>
        <v>4.7000000000000002E-3</v>
      </c>
      <c r="AC10" s="3183">
        <f t="shared" ref="AC10" si="85">IF(H10=0,0,ROUND(AVERAGE(H10:H23)/100,4))</f>
        <v>5.5999999999999999E-3</v>
      </c>
      <c r="AD10" s="3183">
        <f t="shared" ref="AD10" si="86">AA10</f>
        <v>5.9999999999999995E-4</v>
      </c>
      <c r="AF10" s="3457">
        <f t="shared" si="30"/>
        <v>106.2</v>
      </c>
      <c r="AG10" s="3457">
        <f t="shared" si="31"/>
        <v>104.47999999999999</v>
      </c>
      <c r="AH10" s="3457">
        <f t="shared" si="32"/>
        <v>100.79</v>
      </c>
      <c r="AI10" s="3457">
        <f t="shared" si="33"/>
        <v>106.72999999999999</v>
      </c>
      <c r="AJ10" s="3457">
        <f t="shared" si="34"/>
        <v>108.18</v>
      </c>
      <c r="AK10" s="3457">
        <f t="shared" si="35"/>
        <v>100.79</v>
      </c>
      <c r="AM10" s="3457">
        <f t="shared" si="48"/>
        <v>100.45790117767399</v>
      </c>
      <c r="AN10" s="3457">
        <f t="shared" si="49"/>
        <v>101.05834769439826</v>
      </c>
      <c r="AO10" s="3457">
        <f t="shared" si="50"/>
        <v>101.670703840865</v>
      </c>
      <c r="AP10" s="3457">
        <f t="shared" si="51"/>
        <v>99.941793899233076</v>
      </c>
      <c r="AQ10" s="3457">
        <f t="shared" si="52"/>
        <v>99.502154898268216</v>
      </c>
      <c r="AR10" s="3457">
        <f t="shared" si="53"/>
        <v>101.670703840865</v>
      </c>
    </row>
    <row r="11" spans="1:44" s="3184" customFormat="1" ht="12.75">
      <c r="A11" s="3175" t="s">
        <v>3375</v>
      </c>
      <c r="B11" s="3176">
        <v>2024</v>
      </c>
      <c r="C11" s="3177">
        <v>2</v>
      </c>
      <c r="D11" s="3178">
        <v>-0.59</v>
      </c>
      <c r="E11" s="3178">
        <v>-0.21</v>
      </c>
      <c r="F11" s="3178">
        <v>-1.38</v>
      </c>
      <c r="G11" s="3178">
        <v>-1.24</v>
      </c>
      <c r="H11" s="3195">
        <v>0.34</v>
      </c>
      <c r="I11" s="3179">
        <f t="shared" ref="I11:I24" si="87">F11</f>
        <v>-1.38</v>
      </c>
      <c r="J11" s="3180"/>
      <c r="K11" s="3181">
        <f t="shared" ref="K11:O24" si="88">D11/100</f>
        <v>-5.8999999999999999E-3</v>
      </c>
      <c r="L11" s="3171">
        <f t="shared" si="88"/>
        <v>-2.0999999999999999E-3</v>
      </c>
      <c r="M11" s="3171">
        <f t="shared" si="88"/>
        <v>-1.38E-2</v>
      </c>
      <c r="N11" s="3171">
        <f t="shared" si="88"/>
        <v>-1.24E-2</v>
      </c>
      <c r="O11" s="3171">
        <f t="shared" si="88"/>
        <v>3.4000000000000002E-3</v>
      </c>
      <c r="P11" s="3171">
        <f t="shared" si="10"/>
        <v>-1.38E-2</v>
      </c>
      <c r="Q11" s="3180"/>
      <c r="R11" s="3182">
        <f>ROUND(IF(项目基本情况!$B$8="出让",SUMPRODUCT(PRODUCT(1+K11:$K$24)),SUMPRODUCT(PRODUCT(1+K11:$K$23))),4)</f>
        <v>1.0748</v>
      </c>
      <c r="S11" s="3182">
        <f>ROUND(IF(项目基本情况!$B$8="出让",SUMPRODUCT(PRODUCT(1+L11:$L$24)),SUMPRODUCT(PRODUCT(1+L11:$L$23))),4)</f>
        <v>1.0498000000000001</v>
      </c>
      <c r="T11" s="3182">
        <f>ROUND(IF(项目基本情况!$B$8="出让",SUMPRODUCT(PRODUCT(1+M11:$M$24)),SUMPRODUCT(PRODUCT(1+M11:$M$23))),4)</f>
        <v>1.0107999999999999</v>
      </c>
      <c r="U11" s="3182">
        <f>ROUND(IF(项目基本情况!$B$8="出让",SUMPRODUCT(PRODUCT(1+N11:$N$24)),SUMPRODUCT(PRODUCT(1+N11:$N$23))),4)</f>
        <v>1.0752999999999999</v>
      </c>
      <c r="V11" s="3182">
        <f>ROUND(IF(项目基本情况!$B$8="出让",SUMPRODUCT(PRODUCT(1+O11:$O$24)),SUMPRODUCT(PRODUCT(1+O11:$O$23))),4)</f>
        <v>1.0841000000000001</v>
      </c>
      <c r="W11" s="3182">
        <f t="shared" si="11"/>
        <v>1.0107999999999999</v>
      </c>
      <c r="X11" s="3180"/>
      <c r="Y11" s="3183">
        <f t="shared" si="12"/>
        <v>5.8999999999999999E-3</v>
      </c>
      <c r="Z11" s="3183">
        <f t="shared" ref="Z11:AC11" si="89">IF(E11=0,0,ROUND(AVERAGE(E11:E24)/100,4))</f>
        <v>3.5999999999999999E-3</v>
      </c>
      <c r="AA11" s="3183">
        <f t="shared" si="89"/>
        <v>5.9999999999999995E-4</v>
      </c>
      <c r="AB11" s="3183">
        <f t="shared" si="89"/>
        <v>6.0000000000000001E-3</v>
      </c>
      <c r="AC11" s="3183">
        <f t="shared" si="89"/>
        <v>6.0000000000000001E-3</v>
      </c>
      <c r="AD11" s="3183">
        <f t="shared" ref="AD11:AD23" si="90">AA11</f>
        <v>5.9999999999999995E-4</v>
      </c>
      <c r="AF11" s="3457">
        <f t="shared" si="30"/>
        <v>107.48</v>
      </c>
      <c r="AG11" s="3457">
        <f t="shared" si="31"/>
        <v>104.98</v>
      </c>
      <c r="AH11" s="3457">
        <f t="shared" si="32"/>
        <v>101.08</v>
      </c>
      <c r="AI11" s="3457">
        <f t="shared" si="33"/>
        <v>107.52999999999999</v>
      </c>
      <c r="AJ11" s="3457">
        <f t="shared" si="34"/>
        <v>108.41000000000001</v>
      </c>
      <c r="AK11" s="3457">
        <f t="shared" si="35"/>
        <v>101.08</v>
      </c>
      <c r="AM11" s="3457">
        <f t="shared" si="48"/>
        <v>101.66774737139357</v>
      </c>
      <c r="AN11" s="3457">
        <f t="shared" si="49"/>
        <v>101.53556484918946</v>
      </c>
      <c r="AO11" s="3457">
        <f t="shared" si="50"/>
        <v>101.9664064194815</v>
      </c>
      <c r="AP11" s="3457">
        <f t="shared" si="51"/>
        <v>100.68687678746028</v>
      </c>
      <c r="AQ11" s="3457">
        <f t="shared" si="52"/>
        <v>99.711549151486338</v>
      </c>
      <c r="AR11" s="3457">
        <f t="shared" si="53"/>
        <v>101.9664064194815</v>
      </c>
    </row>
    <row r="12" spans="1:44" s="3184" customFormat="1" ht="12.75">
      <c r="A12" s="3175" t="s">
        <v>3374</v>
      </c>
      <c r="B12" s="3176">
        <v>2024</v>
      </c>
      <c r="C12" s="3177">
        <v>1</v>
      </c>
      <c r="D12" s="3178">
        <v>0.08</v>
      </c>
      <c r="E12" s="3178">
        <v>0.46</v>
      </c>
      <c r="F12" s="3178">
        <v>-0.16</v>
      </c>
      <c r="G12" s="3178">
        <v>0.26</v>
      </c>
      <c r="H12" s="3195">
        <v>0.59</v>
      </c>
      <c r="I12" s="3179">
        <f t="shared" si="87"/>
        <v>-0.16</v>
      </c>
      <c r="J12" s="3180"/>
      <c r="K12" s="3181">
        <f t="shared" ref="K12" si="91">D12/100</f>
        <v>8.0000000000000004E-4</v>
      </c>
      <c r="L12" s="3171">
        <f t="shared" ref="L12" si="92">E12/100</f>
        <v>4.5999999999999999E-3</v>
      </c>
      <c r="M12" s="3171">
        <f t="shared" ref="M12" si="93">F12/100</f>
        <v>-1.6000000000000001E-3</v>
      </c>
      <c r="N12" s="3171">
        <f t="shared" ref="N12" si="94">G12/100</f>
        <v>2.5999999999999999E-3</v>
      </c>
      <c r="O12" s="3171">
        <f t="shared" ref="O12" si="95">H12/100</f>
        <v>5.8999999999999999E-3</v>
      </c>
      <c r="P12" s="3171">
        <f t="shared" ref="P12" si="96">M12</f>
        <v>-1.6000000000000001E-3</v>
      </c>
      <c r="Q12" s="3180"/>
      <c r="R12" s="3182">
        <f>ROUND(IF(项目基本情况!$B$8="出让",SUMPRODUCT(PRODUCT(1+K12:$K$24)),SUMPRODUCT(PRODUCT(1+K12:$K$23))),4)</f>
        <v>1.0811999999999999</v>
      </c>
      <c r="S12" s="3182">
        <f>ROUND(IF(项目基本情况!$B$8="出让",SUMPRODUCT(PRODUCT(1+L12:$L$24)),SUMPRODUCT(PRODUCT(1+L12:$L$23))),4)</f>
        <v>1.052</v>
      </c>
      <c r="T12" s="3182">
        <f>ROUND(IF(项目基本情况!$B$8="出让",SUMPRODUCT(PRODUCT(1+M12:$M$24)),SUMPRODUCT(PRODUCT(1+M12:$M$23))),4)</f>
        <v>1.0249999999999999</v>
      </c>
      <c r="U12" s="3182">
        <f>ROUND(IF(项目基本情况!$B$8="出让",SUMPRODUCT(PRODUCT(1+N12:$N$24)),SUMPRODUCT(PRODUCT(1+N12:$N$23))),4)</f>
        <v>1.0888</v>
      </c>
      <c r="V12" s="3182">
        <f>ROUND(IF(项目基本情况!$B$8="出让",SUMPRODUCT(PRODUCT(1+O12:$O$24)),SUMPRODUCT(PRODUCT(1+O12:$O$23))),4)</f>
        <v>1.0804</v>
      </c>
      <c r="W12" s="3182">
        <f t="shared" ref="W12" si="97">T12</f>
        <v>1.0249999999999999</v>
      </c>
      <c r="X12" s="3180"/>
      <c r="Y12" s="3183"/>
      <c r="Z12" s="3183"/>
      <c r="AA12" s="3183"/>
      <c r="AB12" s="3183"/>
      <c r="AC12" s="3183"/>
      <c r="AD12" s="3183"/>
      <c r="AF12" s="3457">
        <f t="shared" si="30"/>
        <v>108.11999999999999</v>
      </c>
      <c r="AG12" s="3457">
        <f t="shared" si="31"/>
        <v>105.2</v>
      </c>
      <c r="AH12" s="3457">
        <f t="shared" si="32"/>
        <v>102.49999999999999</v>
      </c>
      <c r="AI12" s="3457">
        <f t="shared" si="33"/>
        <v>108.88</v>
      </c>
      <c r="AJ12" s="3457">
        <f t="shared" si="34"/>
        <v>108.04</v>
      </c>
      <c r="AK12" s="3457">
        <f t="shared" si="35"/>
        <v>102.49999999999999</v>
      </c>
      <c r="AM12" s="3457">
        <f t="shared" si="48"/>
        <v>102.27114713951673</v>
      </c>
      <c r="AN12" s="3457">
        <f t="shared" si="49"/>
        <v>101.74923824951344</v>
      </c>
      <c r="AO12" s="3457">
        <f t="shared" si="50"/>
        <v>103.3932330353696</v>
      </c>
      <c r="AP12" s="3457">
        <f t="shared" si="51"/>
        <v>101.95107005615662</v>
      </c>
      <c r="AQ12" s="3457">
        <f t="shared" si="52"/>
        <v>99.373678644096401</v>
      </c>
      <c r="AR12" s="3457">
        <f t="shared" si="53"/>
        <v>103.3932330353696</v>
      </c>
    </row>
    <row r="13" spans="1:44" s="3184" customFormat="1" ht="12.75">
      <c r="A13" s="3175" t="s">
        <v>3370</v>
      </c>
      <c r="B13" s="3176">
        <v>2023</v>
      </c>
      <c r="C13" s="3177">
        <v>4</v>
      </c>
      <c r="D13" s="3178">
        <v>0.19</v>
      </c>
      <c r="E13" s="3178">
        <v>0.24</v>
      </c>
      <c r="F13" s="3178">
        <v>-0.16</v>
      </c>
      <c r="G13" s="3178">
        <v>0.17</v>
      </c>
      <c r="H13" s="3195">
        <v>0.61</v>
      </c>
      <c r="I13" s="3179">
        <f>F13</f>
        <v>-0.16</v>
      </c>
      <c r="J13" s="3180"/>
      <c r="K13" s="3181">
        <f t="shared" si="88"/>
        <v>1.9E-3</v>
      </c>
      <c r="L13" s="3171">
        <f t="shared" si="88"/>
        <v>2.3999999999999998E-3</v>
      </c>
      <c r="M13" s="3171">
        <f t="shared" si="88"/>
        <v>-1.6000000000000001E-3</v>
      </c>
      <c r="N13" s="3171">
        <f t="shared" si="88"/>
        <v>1.7000000000000001E-3</v>
      </c>
      <c r="O13" s="3171">
        <f t="shared" si="88"/>
        <v>6.0999999999999995E-3</v>
      </c>
      <c r="P13" s="3171">
        <f t="shared" ref="P13" si="98">M13</f>
        <v>-1.6000000000000001E-3</v>
      </c>
      <c r="Q13" s="3180"/>
      <c r="R13" s="3182">
        <f>ROUND(IF(项目基本情况!$B$8="出让",SUMPRODUCT(PRODUCT(1+K13:$K$24)),SUMPRODUCT(PRODUCT(1+K13:$K$23))),4)</f>
        <v>1.0804</v>
      </c>
      <c r="S13" s="3182">
        <f>ROUND(IF(项目基本情况!$B$8="出让",SUMPRODUCT(PRODUCT(1+L13:$L$24)),SUMPRODUCT(PRODUCT(1+L13:$L$23))),4)</f>
        <v>1.0471999999999999</v>
      </c>
      <c r="T13" s="3182">
        <f>ROUND(IF(项目基本情况!$B$8="出让",SUMPRODUCT(PRODUCT(1+M13:$M$24)),SUMPRODUCT(PRODUCT(1+M13:$M$23))),4)</f>
        <v>1.0266</v>
      </c>
      <c r="U13" s="3182">
        <f>ROUND(IF(项目基本情况!$B$8="出让",SUMPRODUCT(PRODUCT(1+N13:$N$24)),SUMPRODUCT(PRODUCT(1+N13:$N$23))),4)</f>
        <v>1.0859000000000001</v>
      </c>
      <c r="V13" s="3182">
        <f>ROUND(IF(项目基本情况!$B$8="出让",SUMPRODUCT(PRODUCT(1+O13:$O$24)),SUMPRODUCT(PRODUCT(1+O13:$O$23))),4)</f>
        <v>1.0741000000000001</v>
      </c>
      <c r="W13" s="3182">
        <f t="shared" ref="W13" si="99">T13</f>
        <v>1.0266</v>
      </c>
      <c r="X13" s="3180"/>
      <c r="Y13" s="3183"/>
      <c r="Z13" s="3183"/>
      <c r="AA13" s="3183"/>
      <c r="AB13" s="3183"/>
      <c r="AC13" s="3183"/>
      <c r="AD13" s="3183"/>
      <c r="AF13" s="3457">
        <f t="shared" si="30"/>
        <v>108.04</v>
      </c>
      <c r="AG13" s="3457">
        <f t="shared" si="31"/>
        <v>104.71999999999998</v>
      </c>
      <c r="AH13" s="3457">
        <f t="shared" si="32"/>
        <v>102.66</v>
      </c>
      <c r="AI13" s="3457">
        <f t="shared" si="33"/>
        <v>108.59</v>
      </c>
      <c r="AJ13" s="3457">
        <f t="shared" si="34"/>
        <v>107.41000000000001</v>
      </c>
      <c r="AK13" s="3457">
        <f t="shared" si="35"/>
        <v>102.66</v>
      </c>
      <c r="AM13" s="3457">
        <f t="shared" si="48"/>
        <v>102.18939562301833</v>
      </c>
      <c r="AN13" s="3457">
        <f t="shared" si="49"/>
        <v>101.28333490893236</v>
      </c>
      <c r="AO13" s="3457">
        <f t="shared" si="50"/>
        <v>103.55892731908014</v>
      </c>
      <c r="AP13" s="3457">
        <f t="shared" si="51"/>
        <v>101.68668467599903</v>
      </c>
      <c r="AQ13" s="3457">
        <f t="shared" si="52"/>
        <v>98.79081284829148</v>
      </c>
      <c r="AR13" s="3457">
        <f t="shared" si="53"/>
        <v>103.55892731908014</v>
      </c>
    </row>
    <row r="14" spans="1:44" s="3184" customFormat="1" ht="12.75">
      <c r="A14" s="3175" t="s">
        <v>3369</v>
      </c>
      <c r="B14" s="3176">
        <v>2023</v>
      </c>
      <c r="C14" s="3177">
        <v>3</v>
      </c>
      <c r="D14" s="3178">
        <v>0.25</v>
      </c>
      <c r="E14" s="3178">
        <v>0.5</v>
      </c>
      <c r="F14" s="3178">
        <v>0.31</v>
      </c>
      <c r="G14" s="3178">
        <v>0.21</v>
      </c>
      <c r="H14" s="3195">
        <v>0.43</v>
      </c>
      <c r="I14" s="3179">
        <f t="shared" si="87"/>
        <v>0.31</v>
      </c>
      <c r="J14" s="3180"/>
      <c r="K14" s="3181">
        <f t="shared" ref="K14:K16" si="100">D14/100</f>
        <v>2.5000000000000001E-3</v>
      </c>
      <c r="L14" s="3171">
        <f t="shared" ref="L14:L16" si="101">E14/100</f>
        <v>5.0000000000000001E-3</v>
      </c>
      <c r="M14" s="3171">
        <f t="shared" ref="M14:M16" si="102">F14/100</f>
        <v>3.0999999999999999E-3</v>
      </c>
      <c r="N14" s="3171">
        <f t="shared" ref="N14:N16" si="103">G14/100</f>
        <v>2.0999999999999999E-3</v>
      </c>
      <c r="O14" s="3171">
        <f t="shared" ref="O14:O16" si="104">H14/100</f>
        <v>4.3E-3</v>
      </c>
      <c r="P14" s="3171">
        <f t="shared" ref="P14:P16" si="105">M14</f>
        <v>3.0999999999999999E-3</v>
      </c>
      <c r="Q14" s="3180"/>
      <c r="R14" s="3182">
        <f>ROUND(IF(项目基本情况!$B$8="出让",SUMPRODUCT(PRODUCT(1+K14:$K$24)),SUMPRODUCT(PRODUCT(1+K14:$K$23))),4)</f>
        <v>1.0783</v>
      </c>
      <c r="S14" s="3182">
        <f>ROUND(IF(项目基本情况!$B$8="出让",SUMPRODUCT(PRODUCT(1+L14:$L$24)),SUMPRODUCT(PRODUCT(1+L14:$L$23))),4)</f>
        <v>1.0447</v>
      </c>
      <c r="T14" s="3182">
        <f>ROUND(IF(项目基本情况!$B$8="出让",SUMPRODUCT(PRODUCT(1+M14:$M$24)),SUMPRODUCT(PRODUCT(1+M14:$M$23))),4)</f>
        <v>1.0282</v>
      </c>
      <c r="U14" s="3182">
        <f>ROUND(IF(项目基本情况!$B$8="出让",SUMPRODUCT(PRODUCT(1+N14:$N$24)),SUMPRODUCT(PRODUCT(1+N14:$N$23))),4)</f>
        <v>1.0841000000000001</v>
      </c>
      <c r="V14" s="3182">
        <f>ROUND(IF(项目基本情况!$B$8="出让",SUMPRODUCT(PRODUCT(1+O14:$O$24)),SUMPRODUCT(PRODUCT(1+O14:$O$23))),4)</f>
        <v>1.0674999999999999</v>
      </c>
      <c r="W14" s="3182">
        <f t="shared" ref="W14:W15" si="106">T14</f>
        <v>1.0282</v>
      </c>
      <c r="X14" s="3180"/>
      <c r="Y14" s="3183"/>
      <c r="Z14" s="3183"/>
      <c r="AA14" s="3183"/>
      <c r="AB14" s="3183"/>
      <c r="AC14" s="3183"/>
      <c r="AD14" s="3183"/>
      <c r="AF14" s="3457">
        <f t="shared" si="30"/>
        <v>107.83</v>
      </c>
      <c r="AG14" s="3457">
        <f t="shared" si="31"/>
        <v>104.47</v>
      </c>
      <c r="AH14" s="3457">
        <f t="shared" si="32"/>
        <v>102.82</v>
      </c>
      <c r="AI14" s="3457">
        <f t="shared" si="33"/>
        <v>108.41000000000001</v>
      </c>
      <c r="AJ14" s="3457">
        <f t="shared" si="34"/>
        <v>106.74999999999999</v>
      </c>
      <c r="AK14" s="3457">
        <f t="shared" si="35"/>
        <v>102.82</v>
      </c>
      <c r="AM14" s="3457">
        <f t="shared" si="48"/>
        <v>101.99560397546495</v>
      </c>
      <c r="AN14" s="3457">
        <f t="shared" si="49"/>
        <v>101.04083690037147</v>
      </c>
      <c r="AO14" s="3457">
        <f t="shared" si="50"/>
        <v>103.72488713850174</v>
      </c>
      <c r="AP14" s="3457">
        <f t="shared" si="51"/>
        <v>101.51411068782971</v>
      </c>
      <c r="AQ14" s="3457">
        <f t="shared" si="52"/>
        <v>98.191842608380355</v>
      </c>
      <c r="AR14" s="3457">
        <f t="shared" si="53"/>
        <v>103.72488713850174</v>
      </c>
    </row>
    <row r="15" spans="1:44" s="3184" customFormat="1" ht="12.75">
      <c r="A15" s="3175" t="s">
        <v>3367</v>
      </c>
      <c r="B15" s="3176">
        <v>2023</v>
      </c>
      <c r="C15" s="3177">
        <v>2</v>
      </c>
      <c r="D15" s="3178">
        <v>0.91</v>
      </c>
      <c r="E15" s="3178">
        <v>0.66</v>
      </c>
      <c r="F15" s="3178">
        <v>0.47</v>
      </c>
      <c r="G15" s="3178">
        <v>0.96</v>
      </c>
      <c r="H15" s="3195">
        <v>0.71</v>
      </c>
      <c r="I15" s="3179">
        <f t="shared" si="87"/>
        <v>0.47</v>
      </c>
      <c r="J15" s="3180"/>
      <c r="K15" s="3181">
        <f t="shared" si="100"/>
        <v>9.1000000000000004E-3</v>
      </c>
      <c r="L15" s="3171">
        <f t="shared" si="101"/>
        <v>6.6E-3</v>
      </c>
      <c r="M15" s="3171">
        <f t="shared" si="102"/>
        <v>4.6999999999999993E-3</v>
      </c>
      <c r="N15" s="3171">
        <f t="shared" si="103"/>
        <v>9.5999999999999992E-3</v>
      </c>
      <c r="O15" s="3171">
        <f t="shared" si="104"/>
        <v>7.0999999999999995E-3</v>
      </c>
      <c r="P15" s="3171">
        <f t="shared" si="105"/>
        <v>4.6999999999999993E-3</v>
      </c>
      <c r="Q15" s="3180"/>
      <c r="R15" s="3182">
        <f>ROUND(IF(项目基本情况!$B$8="出让",SUMPRODUCT(PRODUCT(1+K15:$K$24)),SUMPRODUCT(PRODUCT(1+K15:$K$23))),4)</f>
        <v>1.0755999999999999</v>
      </c>
      <c r="S15" s="3182">
        <f>ROUND(IF(项目基本情况!$B$8="出让",SUMPRODUCT(PRODUCT(1+L15:$L$24)),SUMPRODUCT(PRODUCT(1+L15:$L$23))),4)</f>
        <v>1.0395000000000001</v>
      </c>
      <c r="T15" s="3182">
        <f>ROUND(IF(项目基本情况!$B$8="出让",SUMPRODUCT(PRODUCT(1+M15:$M$24)),SUMPRODUCT(PRODUCT(1+M15:$M$23))),4)</f>
        <v>1.0250999999999999</v>
      </c>
      <c r="U15" s="3182">
        <f>ROUND(IF(项目基本情况!$B$8="出让",SUMPRODUCT(PRODUCT(1+N15:$N$24)),SUMPRODUCT(PRODUCT(1+N15:$N$23))),4)</f>
        <v>1.0818000000000001</v>
      </c>
      <c r="V15" s="3182">
        <f>ROUND(IF(项目基本情况!$B$8="出让",SUMPRODUCT(PRODUCT(1+O15:$O$24)),SUMPRODUCT(PRODUCT(1+O15:$O$23))),4)</f>
        <v>1.0629999999999999</v>
      </c>
      <c r="W15" s="3182">
        <f t="shared" si="106"/>
        <v>1.0250999999999999</v>
      </c>
      <c r="X15" s="3180"/>
      <c r="Y15" s="3183"/>
      <c r="Z15" s="3183"/>
      <c r="AA15" s="3183"/>
      <c r="AB15" s="3183"/>
      <c r="AC15" s="3183"/>
      <c r="AD15" s="3183"/>
      <c r="AF15" s="3457">
        <f t="shared" si="30"/>
        <v>107.55999999999999</v>
      </c>
      <c r="AG15" s="3457">
        <f t="shared" si="31"/>
        <v>103.95</v>
      </c>
      <c r="AH15" s="3457">
        <f t="shared" si="32"/>
        <v>102.50999999999999</v>
      </c>
      <c r="AI15" s="3457">
        <f t="shared" si="33"/>
        <v>108.18</v>
      </c>
      <c r="AJ15" s="3457">
        <f t="shared" si="34"/>
        <v>106.3</v>
      </c>
      <c r="AK15" s="3457">
        <f t="shared" si="35"/>
        <v>102.50999999999999</v>
      </c>
      <c r="AM15" s="3457">
        <f t="shared" si="48"/>
        <v>101.74125084834409</v>
      </c>
      <c r="AN15" s="3457">
        <f t="shared" si="49"/>
        <v>100.53814616952387</v>
      </c>
      <c r="AO15" s="3457">
        <f t="shared" si="50"/>
        <v>103.40433370401927</v>
      </c>
      <c r="AP15" s="3457">
        <f t="shared" si="51"/>
        <v>101.30137779446135</v>
      </c>
      <c r="AQ15" s="3457">
        <f t="shared" si="52"/>
        <v>97.771425478821428</v>
      </c>
      <c r="AR15" s="3457">
        <f t="shared" si="53"/>
        <v>103.40433370401927</v>
      </c>
    </row>
    <row r="16" spans="1:44" s="3184" customFormat="1" ht="12.75">
      <c r="A16" s="3175" t="s">
        <v>3366</v>
      </c>
      <c r="B16" s="3176">
        <v>2023</v>
      </c>
      <c r="C16" s="3177">
        <v>1</v>
      </c>
      <c r="D16" s="3178">
        <v>0.89</v>
      </c>
      <c r="E16" s="3178">
        <v>0.74</v>
      </c>
      <c r="F16" s="3178">
        <v>0.56999999999999995</v>
      </c>
      <c r="G16" s="3178">
        <v>0.92</v>
      </c>
      <c r="H16" s="3195">
        <v>0.5</v>
      </c>
      <c r="I16" s="3179">
        <f t="shared" si="87"/>
        <v>0.56999999999999995</v>
      </c>
      <c r="J16" s="3180"/>
      <c r="K16" s="3181">
        <f t="shared" si="100"/>
        <v>8.8999999999999999E-3</v>
      </c>
      <c r="L16" s="3171">
        <f t="shared" si="101"/>
        <v>7.4000000000000003E-3</v>
      </c>
      <c r="M16" s="3171">
        <f t="shared" si="102"/>
        <v>5.6999999999999993E-3</v>
      </c>
      <c r="N16" s="3171">
        <f t="shared" si="103"/>
        <v>9.1999999999999998E-3</v>
      </c>
      <c r="O16" s="3171">
        <f t="shared" si="104"/>
        <v>5.0000000000000001E-3</v>
      </c>
      <c r="P16" s="3171">
        <f t="shared" si="105"/>
        <v>5.6999999999999993E-3</v>
      </c>
      <c r="Q16" s="3180"/>
      <c r="R16" s="3182">
        <f>ROUND(IF(项目基本情况!$B$8="出让",SUMPRODUCT(PRODUCT(1+K16:$K$24)),SUMPRODUCT(PRODUCT(1+K16:$K$23))),4)</f>
        <v>1.0659000000000001</v>
      </c>
      <c r="S16" s="3182">
        <f>ROUND(IF(项目基本情况!$B$8="出让",SUMPRODUCT(PRODUCT(1+L16:$L$24)),SUMPRODUCT(PRODUCT(1+L16:$L$23))),4)</f>
        <v>1.0326</v>
      </c>
      <c r="T16" s="3182">
        <f>ROUND(IF(项目基本情况!$B$8="出让",SUMPRODUCT(PRODUCT(1+M16:$M$24)),SUMPRODUCT(PRODUCT(1+M16:$M$23))),4)</f>
        <v>1.0203</v>
      </c>
      <c r="U16" s="3182">
        <f>ROUND(IF(项目基本情况!$B$8="出让",SUMPRODUCT(PRODUCT(1+N16:$N$24)),SUMPRODUCT(PRODUCT(1+N16:$N$23))),4)</f>
        <v>1.0714999999999999</v>
      </c>
      <c r="V16" s="3182">
        <f>ROUND(IF(项目基本情况!$B$8="出让",SUMPRODUCT(PRODUCT(1+O16:$O$24)),SUMPRODUCT(PRODUCT(1+O16:$O$23))),4)</f>
        <v>1.0555000000000001</v>
      </c>
      <c r="W16" s="3182">
        <f t="shared" ref="W16:W23" si="107">T16</f>
        <v>1.0203</v>
      </c>
      <c r="X16" s="3180"/>
      <c r="Y16" s="3183"/>
      <c r="Z16" s="3183"/>
      <c r="AA16" s="3183"/>
      <c r="AB16" s="3183"/>
      <c r="AC16" s="3183"/>
      <c r="AD16" s="3183"/>
      <c r="AF16" s="3457">
        <f t="shared" si="30"/>
        <v>106.59</v>
      </c>
      <c r="AG16" s="3457">
        <f t="shared" si="31"/>
        <v>103.25999999999999</v>
      </c>
      <c r="AH16" s="3457">
        <f t="shared" si="32"/>
        <v>102.03</v>
      </c>
      <c r="AI16" s="3457">
        <f t="shared" si="33"/>
        <v>107.14999999999999</v>
      </c>
      <c r="AJ16" s="3457">
        <f t="shared" si="34"/>
        <v>105.55000000000001</v>
      </c>
      <c r="AK16" s="3457">
        <f t="shared" si="35"/>
        <v>102.03</v>
      </c>
      <c r="AM16" s="3457">
        <f t="shared" si="48"/>
        <v>100.82375468074926</v>
      </c>
      <c r="AN16" s="3457">
        <f t="shared" si="49"/>
        <v>99.878945131654959</v>
      </c>
      <c r="AO16" s="3457">
        <f t="shared" si="50"/>
        <v>102.92060685181573</v>
      </c>
      <c r="AP16" s="3457">
        <f t="shared" si="51"/>
        <v>100.33813172985474</v>
      </c>
      <c r="AQ16" s="3457">
        <f t="shared" si="52"/>
        <v>97.082142268713554</v>
      </c>
      <c r="AR16" s="3457">
        <f t="shared" si="53"/>
        <v>102.92060685181573</v>
      </c>
    </row>
    <row r="17" spans="1:44" s="3184" customFormat="1" ht="12.75">
      <c r="A17" s="3175" t="s">
        <v>3365</v>
      </c>
      <c r="B17" s="3176">
        <v>2022</v>
      </c>
      <c r="C17" s="3177">
        <v>4</v>
      </c>
      <c r="D17" s="3178">
        <v>0.62</v>
      </c>
      <c r="E17" s="3178">
        <v>0.2</v>
      </c>
      <c r="F17" s="3178">
        <v>0.11</v>
      </c>
      <c r="G17" s="3178">
        <v>0.69</v>
      </c>
      <c r="H17" s="3195">
        <v>0.53</v>
      </c>
      <c r="I17" s="3179">
        <f t="shared" si="87"/>
        <v>0.11</v>
      </c>
      <c r="J17" s="3180"/>
      <c r="K17" s="3181">
        <f t="shared" si="88"/>
        <v>6.1999999999999998E-3</v>
      </c>
      <c r="L17" s="3171">
        <f t="shared" si="88"/>
        <v>2E-3</v>
      </c>
      <c r="M17" s="3171">
        <f t="shared" si="88"/>
        <v>1.1000000000000001E-3</v>
      </c>
      <c r="N17" s="3171">
        <f t="shared" si="88"/>
        <v>6.8999999999999999E-3</v>
      </c>
      <c r="O17" s="3171">
        <f t="shared" si="88"/>
        <v>5.3E-3</v>
      </c>
      <c r="P17" s="3171">
        <f t="shared" ref="P17:P24" si="108">M17</f>
        <v>1.1000000000000001E-3</v>
      </c>
      <c r="Q17" s="3180"/>
      <c r="R17" s="3182">
        <f>ROUND(IF(项目基本情况!$B$8="出让",SUMPRODUCT(PRODUCT(1+K17:$K$24)),SUMPRODUCT(PRODUCT(1+K17:$K$23))),4)</f>
        <v>1.0565</v>
      </c>
      <c r="S17" s="3182">
        <f>ROUND(IF(项目基本情况!$B$8="出让",SUMPRODUCT(PRODUCT(1+L17:$L$24)),SUMPRODUCT(PRODUCT(1+L17:$L$23))),4)</f>
        <v>1.0250999999999999</v>
      </c>
      <c r="T17" s="3182">
        <f>ROUND(IF(项目基本情况!$B$8="出让",SUMPRODUCT(PRODUCT(1+M17:$M$24)),SUMPRODUCT(PRODUCT(1+M17:$M$23))),4)</f>
        <v>1.0145</v>
      </c>
      <c r="U17" s="3182">
        <f>ROUND(IF(项目基本情况!$B$8="出让",SUMPRODUCT(PRODUCT(1+N17:$N$24)),SUMPRODUCT(PRODUCT(1+N17:$N$23))),4)</f>
        <v>1.0618000000000001</v>
      </c>
      <c r="V17" s="3182">
        <f>ROUND(IF(项目基本情况!$B$8="出让",SUMPRODUCT(PRODUCT(1+O17:$O$24)),SUMPRODUCT(PRODUCT(1+O17:$O$23))),4)</f>
        <v>1.0502</v>
      </c>
      <c r="W17" s="3182">
        <f t="shared" si="107"/>
        <v>1.0145</v>
      </c>
      <c r="X17" s="3180"/>
      <c r="Y17" s="3183">
        <f>IF(D17=0,0,ROUND(AVERAGE(D17:D25)/100,4))</f>
        <v>8.0999999999999996E-3</v>
      </c>
      <c r="Z17" s="3183">
        <f t="shared" ref="Z17:AC17" si="109">IF(E17=0,0,ROUND(AVERAGE(E17:E24)/100,4))</f>
        <v>3.3E-3</v>
      </c>
      <c r="AA17" s="3183">
        <f t="shared" si="109"/>
        <v>1.5E-3</v>
      </c>
      <c r="AB17" s="3183">
        <f t="shared" si="109"/>
        <v>8.8999999999999999E-3</v>
      </c>
      <c r="AC17" s="3183">
        <f t="shared" si="109"/>
        <v>6.6E-3</v>
      </c>
      <c r="AD17" s="3183">
        <f t="shared" si="90"/>
        <v>1.5E-3</v>
      </c>
      <c r="AF17" s="3457">
        <f t="shared" si="30"/>
        <v>105.65</v>
      </c>
      <c r="AG17" s="3457">
        <f t="shared" si="31"/>
        <v>102.50999999999999</v>
      </c>
      <c r="AH17" s="3457">
        <f t="shared" si="32"/>
        <v>101.44999999999999</v>
      </c>
      <c r="AI17" s="3457">
        <f t="shared" si="33"/>
        <v>106.18</v>
      </c>
      <c r="AJ17" s="3457">
        <f t="shared" si="34"/>
        <v>105.02</v>
      </c>
      <c r="AK17" s="3457">
        <f t="shared" si="35"/>
        <v>101.44999999999999</v>
      </c>
      <c r="AM17" s="3457">
        <f t="shared" si="48"/>
        <v>99.934339063087791</v>
      </c>
      <c r="AN17" s="3457">
        <f t="shared" si="49"/>
        <v>99.145270132673176</v>
      </c>
      <c r="AO17" s="3457">
        <f t="shared" si="50"/>
        <v>102.3372843311283</v>
      </c>
      <c r="AP17" s="3457">
        <f t="shared" si="51"/>
        <v>99.423436117573061</v>
      </c>
      <c r="AQ17" s="3457">
        <f t="shared" si="52"/>
        <v>96.599146536033402</v>
      </c>
      <c r="AR17" s="3457">
        <f t="shared" si="53"/>
        <v>102.3372843311283</v>
      </c>
    </row>
    <row r="18" spans="1:44" s="3184" customFormat="1" ht="12.75">
      <c r="A18" s="3175" t="s">
        <v>3363</v>
      </c>
      <c r="B18" s="3176">
        <v>2022</v>
      </c>
      <c r="C18" s="3177">
        <v>3</v>
      </c>
      <c r="D18" s="3178">
        <v>0.66</v>
      </c>
      <c r="E18" s="3178">
        <v>0.32</v>
      </c>
      <c r="F18" s="3178">
        <v>0.23</v>
      </c>
      <c r="G18" s="3178">
        <v>0.72</v>
      </c>
      <c r="H18" s="3195">
        <v>0.63</v>
      </c>
      <c r="I18" s="3179">
        <f t="shared" si="87"/>
        <v>0.23</v>
      </c>
      <c r="J18" s="3180"/>
      <c r="K18" s="3181">
        <f t="shared" si="88"/>
        <v>6.6E-3</v>
      </c>
      <c r="L18" s="3171">
        <f t="shared" si="88"/>
        <v>3.2000000000000002E-3</v>
      </c>
      <c r="M18" s="3171">
        <f t="shared" si="88"/>
        <v>2.3E-3</v>
      </c>
      <c r="N18" s="3171">
        <f t="shared" si="88"/>
        <v>7.1999999999999998E-3</v>
      </c>
      <c r="O18" s="3171">
        <f t="shared" si="88"/>
        <v>6.3E-3</v>
      </c>
      <c r="P18" s="3171">
        <f t="shared" si="108"/>
        <v>2.3E-3</v>
      </c>
      <c r="Q18" s="3180"/>
      <c r="R18" s="3182">
        <f>ROUND(IF(项目基本情况!$B$8="出让",SUMPRODUCT(PRODUCT(1+K18:$K$24)),SUMPRODUCT(PRODUCT(1+K18:$K$23))),4)</f>
        <v>1.05</v>
      </c>
      <c r="S18" s="3182">
        <f>ROUND(IF(项目基本情况!$B$8="出让",SUMPRODUCT(PRODUCT(1+L18:$L$24)),SUMPRODUCT(PRODUCT(1+L18:$L$23))),4)</f>
        <v>1.0229999999999999</v>
      </c>
      <c r="T18" s="3182">
        <f>ROUND(IF(项目基本情况!$B$8="出让",SUMPRODUCT(PRODUCT(1+M18:$M$24)),SUMPRODUCT(PRODUCT(1+M18:$M$23))),4)</f>
        <v>1.0134000000000001</v>
      </c>
      <c r="U18" s="3182">
        <f>ROUND(IF(项目基本情况!$B$8="出让",SUMPRODUCT(PRODUCT(1+N18:$N$24)),SUMPRODUCT(PRODUCT(1+N18:$N$23))),4)</f>
        <v>1.0545</v>
      </c>
      <c r="V18" s="3182">
        <f>ROUND(IF(项目基本情况!$B$8="出让",SUMPRODUCT(PRODUCT(1+O18:$O$24)),SUMPRODUCT(PRODUCT(1+O18:$O$23))),4)</f>
        <v>1.0447</v>
      </c>
      <c r="W18" s="3182">
        <f t="shared" si="107"/>
        <v>1.0134000000000001</v>
      </c>
      <c r="X18" s="3180"/>
      <c r="Y18" s="3183">
        <f>IF(D18=0,0,ROUND(AVERAGE(D18:D24)/100,4))</f>
        <v>8.3999999999999995E-3</v>
      </c>
      <c r="Z18" s="3183">
        <f t="shared" ref="Z18:AC18" si="110">IF(E18=0,0,ROUND(AVERAGE(E18:E24)/100,4))</f>
        <v>3.5000000000000001E-3</v>
      </c>
      <c r="AA18" s="3183">
        <f t="shared" si="110"/>
        <v>1.5E-3</v>
      </c>
      <c r="AB18" s="3183">
        <f t="shared" si="110"/>
        <v>9.1999999999999998E-3</v>
      </c>
      <c r="AC18" s="3183">
        <f t="shared" si="110"/>
        <v>6.7999999999999996E-3</v>
      </c>
      <c r="AD18" s="3183">
        <f t="shared" si="90"/>
        <v>1.5E-3</v>
      </c>
      <c r="AF18" s="3457">
        <f t="shared" si="30"/>
        <v>105</v>
      </c>
      <c r="AG18" s="3457">
        <f t="shared" si="31"/>
        <v>102.3</v>
      </c>
      <c r="AH18" s="3457">
        <f t="shared" si="32"/>
        <v>101.34</v>
      </c>
      <c r="AI18" s="3457">
        <f t="shared" si="33"/>
        <v>105.45</v>
      </c>
      <c r="AJ18" s="3457">
        <f t="shared" si="34"/>
        <v>104.47</v>
      </c>
      <c r="AK18" s="3457">
        <f t="shared" si="35"/>
        <v>101.34</v>
      </c>
      <c r="AM18" s="3457">
        <f t="shared" si="48"/>
        <v>99.318563966495518</v>
      </c>
      <c r="AN18" s="3457">
        <f t="shared" si="49"/>
        <v>98.947375381909353</v>
      </c>
      <c r="AO18" s="3457">
        <f t="shared" si="50"/>
        <v>102.22483701041683</v>
      </c>
      <c r="AP18" s="3457">
        <f t="shared" si="51"/>
        <v>98.742115520481747</v>
      </c>
      <c r="AQ18" s="3457">
        <f t="shared" si="52"/>
        <v>96.089870223847001</v>
      </c>
      <c r="AR18" s="3457">
        <f t="shared" si="53"/>
        <v>102.22483701041683</v>
      </c>
    </row>
    <row r="19" spans="1:44" s="3184" customFormat="1" ht="12.75">
      <c r="A19" s="3175" t="s">
        <v>3354</v>
      </c>
      <c r="B19" s="3176">
        <v>2022</v>
      </c>
      <c r="C19" s="3177">
        <v>2</v>
      </c>
      <c r="D19" s="3178">
        <v>0.93</v>
      </c>
      <c r="E19" s="3178">
        <v>0.15</v>
      </c>
      <c r="F19" s="3178">
        <v>0.01</v>
      </c>
      <c r="G19" s="3178">
        <v>1.05</v>
      </c>
      <c r="H19" s="3195">
        <v>1.08</v>
      </c>
      <c r="I19" s="3179">
        <f t="shared" si="87"/>
        <v>0.01</v>
      </c>
      <c r="J19" s="3180"/>
      <c r="K19" s="3181">
        <f t="shared" si="88"/>
        <v>9.300000000000001E-3</v>
      </c>
      <c r="L19" s="3171">
        <f t="shared" si="88"/>
        <v>1.5E-3</v>
      </c>
      <c r="M19" s="3171">
        <f t="shared" si="88"/>
        <v>1E-4</v>
      </c>
      <c r="N19" s="3171">
        <f t="shared" si="88"/>
        <v>1.0500000000000001E-2</v>
      </c>
      <c r="O19" s="3171">
        <f t="shared" si="88"/>
        <v>1.0800000000000001E-2</v>
      </c>
      <c r="P19" s="3171">
        <f t="shared" si="108"/>
        <v>1E-4</v>
      </c>
      <c r="Q19" s="3180"/>
      <c r="R19" s="3182">
        <f>ROUND(IF(项目基本情况!$B$8="出让",SUMPRODUCT(PRODUCT(1+K19:$K$24)),SUMPRODUCT(PRODUCT(1+K19:$K$23))),4)</f>
        <v>1.0430999999999999</v>
      </c>
      <c r="S19" s="3182">
        <f>ROUND(IF(项目基本情况!$B$8="出让",SUMPRODUCT(PRODUCT(1+L19:$L$24)),SUMPRODUCT(PRODUCT(1+L19:$L$23))),4)</f>
        <v>1.0197000000000001</v>
      </c>
      <c r="T19" s="3182">
        <f>ROUND(IF(项目基本情况!$B$8="出让",SUMPRODUCT(PRODUCT(1+M19:$M$24)),SUMPRODUCT(PRODUCT(1+M19:$M$23))),4)</f>
        <v>1.0109999999999999</v>
      </c>
      <c r="U19" s="3182">
        <f>ROUND(IF(项目基本情况!$B$8="出让",SUMPRODUCT(PRODUCT(1+N19:$N$24)),SUMPRODUCT(PRODUCT(1+N19:$N$23))),4)</f>
        <v>1.0468999999999999</v>
      </c>
      <c r="V19" s="3182">
        <f>ROUND(IF(项目基本情况!$B$8="出让",SUMPRODUCT(PRODUCT(1+O19:$O$24)),SUMPRODUCT(PRODUCT(1+O19:$O$23))),4)</f>
        <v>1.0382</v>
      </c>
      <c r="W19" s="3182">
        <f t="shared" si="107"/>
        <v>1.0109999999999999</v>
      </c>
      <c r="X19" s="3180"/>
      <c r="Y19" s="3183">
        <f>IF(D19=0,0,ROUND(AVERAGE(D19:D24)/100,4))</f>
        <v>8.6999999999999994E-3</v>
      </c>
      <c r="Z19" s="3183">
        <f t="shared" ref="Z19:AC19" si="111">IF(E19=0,0,ROUND(AVERAGE(E19:E24)/100,4))</f>
        <v>3.5000000000000001E-3</v>
      </c>
      <c r="AA19" s="3183">
        <f t="shared" si="111"/>
        <v>1.4E-3</v>
      </c>
      <c r="AB19" s="3183">
        <f t="shared" si="111"/>
        <v>9.4999999999999998E-3</v>
      </c>
      <c r="AC19" s="3183">
        <f t="shared" si="111"/>
        <v>6.8999999999999999E-3</v>
      </c>
      <c r="AD19" s="3183">
        <f t="shared" si="90"/>
        <v>1.4E-3</v>
      </c>
      <c r="AF19" s="3457">
        <f t="shared" si="30"/>
        <v>104.30999999999999</v>
      </c>
      <c r="AG19" s="3457">
        <f t="shared" si="31"/>
        <v>101.97</v>
      </c>
      <c r="AH19" s="3457">
        <f t="shared" si="32"/>
        <v>101.1</v>
      </c>
      <c r="AI19" s="3457">
        <f t="shared" si="33"/>
        <v>104.69</v>
      </c>
      <c r="AJ19" s="3457">
        <f t="shared" si="34"/>
        <v>103.82000000000001</v>
      </c>
      <c r="AK19" s="3457">
        <f t="shared" si="35"/>
        <v>101.1</v>
      </c>
      <c r="AM19" s="3457">
        <f t="shared" si="48"/>
        <v>98.667359394491882</v>
      </c>
      <c r="AN19" s="3457">
        <f t="shared" si="49"/>
        <v>98.631753769845844</v>
      </c>
      <c r="AO19" s="3457">
        <f t="shared" si="50"/>
        <v>101.99025941376517</v>
      </c>
      <c r="AP19" s="3457">
        <f t="shared" si="51"/>
        <v>98.036254488166932</v>
      </c>
      <c r="AQ19" s="3457">
        <f t="shared" si="52"/>
        <v>95.488293971824504</v>
      </c>
      <c r="AR19" s="3457">
        <f t="shared" si="53"/>
        <v>101.99025941376517</v>
      </c>
    </row>
    <row r="20" spans="1:44" s="3184" customFormat="1" ht="12.75">
      <c r="A20" s="3175" t="s">
        <v>2820</v>
      </c>
      <c r="B20" s="3176">
        <v>2022</v>
      </c>
      <c r="C20" s="3177">
        <v>1</v>
      </c>
      <c r="D20" s="3178">
        <v>0.89</v>
      </c>
      <c r="E20" s="3178">
        <v>0.44</v>
      </c>
      <c r="F20" s="3178">
        <v>0.37</v>
      </c>
      <c r="G20" s="3178">
        <v>0.96</v>
      </c>
      <c r="H20" s="3195">
        <v>0.64</v>
      </c>
      <c r="I20" s="3179">
        <f t="shared" si="87"/>
        <v>0.37</v>
      </c>
      <c r="J20" s="3180"/>
      <c r="K20" s="3181">
        <f t="shared" si="88"/>
        <v>8.8999999999999999E-3</v>
      </c>
      <c r="L20" s="3171">
        <f t="shared" si="88"/>
        <v>4.4000000000000003E-3</v>
      </c>
      <c r="M20" s="3171">
        <f t="shared" si="88"/>
        <v>3.7000000000000002E-3</v>
      </c>
      <c r="N20" s="3171">
        <f t="shared" si="88"/>
        <v>9.5999999999999992E-3</v>
      </c>
      <c r="O20" s="3171">
        <f t="shared" si="88"/>
        <v>6.4000000000000003E-3</v>
      </c>
      <c r="P20" s="3171">
        <f t="shared" si="108"/>
        <v>3.7000000000000002E-3</v>
      </c>
      <c r="Q20" s="3180"/>
      <c r="R20" s="3182">
        <f>ROUND(IF(项目基本情况!$B$8="出让",SUMPRODUCT(PRODUCT(1+K20:$K$24)),SUMPRODUCT(PRODUCT(1+K20:$K$23))),4)</f>
        <v>1.0335000000000001</v>
      </c>
      <c r="S20" s="3182">
        <f>ROUND(IF(项目基本情况!$B$8="出让",SUMPRODUCT(PRODUCT(1+L20:$L$24)),SUMPRODUCT(PRODUCT(1+L20:$L$23))),4)</f>
        <v>1.0182</v>
      </c>
      <c r="T20" s="3182">
        <f>ROUND(IF(项目基本情况!$B$8="出让",SUMPRODUCT(PRODUCT(1+M20:$M$24)),SUMPRODUCT(PRODUCT(1+M20:$M$23))),4)</f>
        <v>1.0108999999999999</v>
      </c>
      <c r="U20" s="3182">
        <f>ROUND(IF(项目基本情况!$B$8="出让",SUMPRODUCT(PRODUCT(1+N20:$N$24)),SUMPRODUCT(PRODUCT(1+N20:$N$23))),4)</f>
        <v>1.0361</v>
      </c>
      <c r="V20" s="3182">
        <f>ROUND(IF(项目基本情况!$B$8="出让",SUMPRODUCT(PRODUCT(1+O20:$O$24)),SUMPRODUCT(PRODUCT(1+O20:$O$23))),4)</f>
        <v>1.0270999999999999</v>
      </c>
      <c r="W20" s="3182">
        <f t="shared" si="107"/>
        <v>1.0108999999999999</v>
      </c>
      <c r="X20" s="3180"/>
      <c r="Y20" s="3183">
        <f>IF(D20=0,0,ROUND(AVERAGE(D20:D24)/100,4))</f>
        <v>8.6E-3</v>
      </c>
      <c r="Z20" s="3183">
        <f t="shared" ref="Z20:AC20" si="112">IF(E20=0,0,ROUND(AVERAGE(E20:E24)/100,4))</f>
        <v>3.8999999999999998E-3</v>
      </c>
      <c r="AA20" s="3183">
        <f t="shared" si="112"/>
        <v>1.6999999999999999E-3</v>
      </c>
      <c r="AB20" s="3183">
        <f t="shared" si="112"/>
        <v>9.2999999999999992E-3</v>
      </c>
      <c r="AC20" s="3183">
        <f t="shared" si="112"/>
        <v>6.1000000000000004E-3</v>
      </c>
      <c r="AD20" s="3183">
        <f t="shared" si="90"/>
        <v>1.6999999999999999E-3</v>
      </c>
      <c r="AF20" s="3457">
        <f t="shared" si="30"/>
        <v>103.35000000000001</v>
      </c>
      <c r="AG20" s="3457">
        <f t="shared" si="31"/>
        <v>101.82</v>
      </c>
      <c r="AH20" s="3457">
        <f t="shared" si="32"/>
        <v>101.08999999999999</v>
      </c>
      <c r="AI20" s="3457">
        <f t="shared" si="33"/>
        <v>103.61</v>
      </c>
      <c r="AJ20" s="3457">
        <f t="shared" si="34"/>
        <v>102.71</v>
      </c>
      <c r="AK20" s="3457">
        <f t="shared" si="35"/>
        <v>101.08999999999999</v>
      </c>
      <c r="AM20" s="3457">
        <f t="shared" si="48"/>
        <v>97.758208059538163</v>
      </c>
      <c r="AN20" s="3457">
        <f t="shared" si="49"/>
        <v>98.484027728253452</v>
      </c>
      <c r="AO20" s="3457">
        <f t="shared" si="50"/>
        <v>101.98006140762442</v>
      </c>
      <c r="AP20" s="3457">
        <f t="shared" si="51"/>
        <v>97.017570003134026</v>
      </c>
      <c r="AQ20" s="3457">
        <f t="shared" si="52"/>
        <v>94.468039149015155</v>
      </c>
      <c r="AR20" s="3457">
        <f t="shared" si="53"/>
        <v>101.98006140762442</v>
      </c>
    </row>
    <row r="21" spans="1:44" s="3184" customFormat="1" ht="12.75">
      <c r="A21" s="3175" t="s">
        <v>2821</v>
      </c>
      <c r="B21" s="3176">
        <v>2021</v>
      </c>
      <c r="C21" s="3177">
        <v>4</v>
      </c>
      <c r="D21" s="3178">
        <v>1.03</v>
      </c>
      <c r="E21" s="3178">
        <v>0.24</v>
      </c>
      <c r="F21" s="3178">
        <v>7.0000000000000007E-2</v>
      </c>
      <c r="G21" s="3178">
        <v>1.17</v>
      </c>
      <c r="H21" s="3195">
        <v>0.55000000000000004</v>
      </c>
      <c r="I21" s="3179">
        <f t="shared" si="87"/>
        <v>7.0000000000000007E-2</v>
      </c>
      <c r="J21" s="3180"/>
      <c r="K21" s="3181">
        <f t="shared" si="88"/>
        <v>1.03E-2</v>
      </c>
      <c r="L21" s="3171">
        <f t="shared" si="88"/>
        <v>2.3999999999999998E-3</v>
      </c>
      <c r="M21" s="3171">
        <f t="shared" si="88"/>
        <v>7.000000000000001E-4</v>
      </c>
      <c r="N21" s="3171">
        <f t="shared" si="88"/>
        <v>1.1699999999999999E-2</v>
      </c>
      <c r="O21" s="3171">
        <f t="shared" si="88"/>
        <v>5.5000000000000005E-3</v>
      </c>
      <c r="P21" s="3171">
        <f t="shared" si="108"/>
        <v>7.000000000000001E-4</v>
      </c>
      <c r="Q21" s="3180"/>
      <c r="R21" s="3182">
        <f>ROUND(IF(项目基本情况!$B$8="出让",SUMPRODUCT(PRODUCT(1+K21:$K$24)),SUMPRODUCT(PRODUCT(1+K21:$K$23))),4)</f>
        <v>1.0244</v>
      </c>
      <c r="S21" s="3182">
        <f>ROUND(IF(项目基本情况!$B$8="出让",SUMPRODUCT(PRODUCT(1+L21:$L$24)),SUMPRODUCT(PRODUCT(1+L21:$L$23))),4)</f>
        <v>1.0138</v>
      </c>
      <c r="T21" s="3182">
        <f>ROUND(IF(项目基本情况!$B$8="出让",SUMPRODUCT(PRODUCT(1+M21:$M$24)),SUMPRODUCT(PRODUCT(1+M21:$M$23))),4)</f>
        <v>1.0072000000000001</v>
      </c>
      <c r="U21" s="3182">
        <f>ROUND(IF(项目基本情况!$B$8="出让",SUMPRODUCT(PRODUCT(1+N21:$N$24)),SUMPRODUCT(PRODUCT(1+N21:$N$23))),4)</f>
        <v>1.0262</v>
      </c>
      <c r="V21" s="3182">
        <f>ROUND(IF(项目基本情况!$B$8="出让",SUMPRODUCT(PRODUCT(1+O21:$O$24)),SUMPRODUCT(PRODUCT(1+O21:$O$23))),4)</f>
        <v>1.0205</v>
      </c>
      <c r="W21" s="3182">
        <f t="shared" si="107"/>
        <v>1.0072000000000001</v>
      </c>
      <c r="X21" s="3180"/>
      <c r="Y21" s="3183">
        <f>IF(D21=0,0,ROUND(AVERAGE(D21:D24)/100,4))</f>
        <v>8.5000000000000006E-3</v>
      </c>
      <c r="Z21" s="3183">
        <f t="shared" ref="Z21:AC21" si="113">IF(E21=0,0,ROUND(AVERAGE(E21:E24)/100,4))</f>
        <v>3.8E-3</v>
      </c>
      <c r="AA21" s="3183">
        <f t="shared" si="113"/>
        <v>1.1999999999999999E-3</v>
      </c>
      <c r="AB21" s="3183">
        <f t="shared" si="113"/>
        <v>9.2999999999999992E-3</v>
      </c>
      <c r="AC21" s="3183">
        <f t="shared" si="113"/>
        <v>6.0000000000000001E-3</v>
      </c>
      <c r="AD21" s="3183">
        <f t="shared" si="90"/>
        <v>1.1999999999999999E-3</v>
      </c>
      <c r="AF21" s="3457">
        <f t="shared" si="30"/>
        <v>102.44</v>
      </c>
      <c r="AG21" s="3457">
        <f t="shared" si="31"/>
        <v>101.38000000000001</v>
      </c>
      <c r="AH21" s="3457">
        <f t="shared" si="32"/>
        <v>100.72000000000001</v>
      </c>
      <c r="AI21" s="3457">
        <f t="shared" si="33"/>
        <v>102.62</v>
      </c>
      <c r="AJ21" s="3457">
        <f t="shared" si="34"/>
        <v>102.05</v>
      </c>
      <c r="AK21" s="3457">
        <f t="shared" si="35"/>
        <v>100.72000000000001</v>
      </c>
      <c r="AM21" s="3457">
        <f t="shared" si="48"/>
        <v>96.895835126908679</v>
      </c>
      <c r="AN21" s="3457">
        <f t="shared" si="49"/>
        <v>98.0525963045136</v>
      </c>
      <c r="AO21" s="3457">
        <f t="shared" si="50"/>
        <v>101.60412614090308</v>
      </c>
      <c r="AP21" s="3457">
        <f t="shared" si="51"/>
        <v>96.095057451598677</v>
      </c>
      <c r="AQ21" s="3457">
        <f t="shared" si="52"/>
        <v>93.867288502598527</v>
      </c>
      <c r="AR21" s="3457">
        <f t="shared" si="53"/>
        <v>101.60412614090308</v>
      </c>
    </row>
    <row r="22" spans="1:44" s="3184" customFormat="1" ht="12.75">
      <c r="A22" s="3175" t="s">
        <v>2822</v>
      </c>
      <c r="B22" s="3176">
        <v>2021</v>
      </c>
      <c r="C22" s="3177">
        <v>3</v>
      </c>
      <c r="D22" s="3178">
        <v>0.47</v>
      </c>
      <c r="E22" s="3178">
        <v>0.41</v>
      </c>
      <c r="F22" s="3178">
        <v>0.24</v>
      </c>
      <c r="G22" s="3178">
        <v>0.48</v>
      </c>
      <c r="H22" s="3195">
        <v>0.48</v>
      </c>
      <c r="I22" s="3179">
        <f t="shared" si="87"/>
        <v>0.24</v>
      </c>
      <c r="J22" s="3180"/>
      <c r="K22" s="3181">
        <f t="shared" si="88"/>
        <v>4.6999999999999993E-3</v>
      </c>
      <c r="L22" s="3171">
        <f t="shared" si="88"/>
        <v>4.0999999999999995E-3</v>
      </c>
      <c r="M22" s="3171">
        <f t="shared" si="88"/>
        <v>2.3999999999999998E-3</v>
      </c>
      <c r="N22" s="3171">
        <f t="shared" si="88"/>
        <v>4.7999999999999996E-3</v>
      </c>
      <c r="O22" s="3171">
        <f t="shared" si="88"/>
        <v>4.7999999999999996E-3</v>
      </c>
      <c r="P22" s="3171">
        <f t="shared" si="108"/>
        <v>2.3999999999999998E-3</v>
      </c>
      <c r="Q22" s="3180"/>
      <c r="R22" s="3182">
        <f>ROUND(IF(项目基本情况!$B$8="出让",SUMPRODUCT(PRODUCT(1+K22:$K$24)),SUMPRODUCT(PRODUCT(1+K22:$K$23))),4)</f>
        <v>1.0139</v>
      </c>
      <c r="S22" s="3182">
        <f>ROUND(IF(项目基本情况!$B$8="出让",SUMPRODUCT(PRODUCT(1+L22:$L$24)),SUMPRODUCT(PRODUCT(1+L22:$L$23))),4)</f>
        <v>1.0113000000000001</v>
      </c>
      <c r="T22" s="3182">
        <f>ROUND(IF(项目基本情况!$B$8="出让",SUMPRODUCT(PRODUCT(1+M22:$M$24)),SUMPRODUCT(PRODUCT(1+M22:$M$23))),4)</f>
        <v>1.0065</v>
      </c>
      <c r="U22" s="3182">
        <f>ROUND(IF(项目基本情况!$B$8="出让",SUMPRODUCT(PRODUCT(1+N22:$N$24)),SUMPRODUCT(PRODUCT(1+N22:$N$23))),4)</f>
        <v>1.0143</v>
      </c>
      <c r="V22" s="3182">
        <f>ROUND(IF(项目基本情况!$B$8="出让",SUMPRODUCT(PRODUCT(1+O22:$O$24)),SUMPRODUCT(PRODUCT(1+O22:$O$23))),4)</f>
        <v>1.0148999999999999</v>
      </c>
      <c r="W22" s="3182">
        <f t="shared" si="107"/>
        <v>1.0065</v>
      </c>
      <c r="X22" s="3180"/>
      <c r="Y22" s="3183">
        <f>IF(D22=0,0,ROUND(AVERAGE(D22:D24)/100,4))</f>
        <v>7.9000000000000008E-3</v>
      </c>
      <c r="Z22" s="3183">
        <f>IF(E22=0,0,ROUND(AVERAGE(E22:E24)/100,4))</f>
        <v>4.3E-3</v>
      </c>
      <c r="AA22" s="3183">
        <f>IF(F22=0,0,ROUND(AVERAGE(F22:F24)/100,4))</f>
        <v>1.2999999999999999E-3</v>
      </c>
      <c r="AB22" s="3183">
        <f>IF(G22=0,0,ROUND(AVERAGE(G22:G24)/100,4))</f>
        <v>8.5000000000000006E-3</v>
      </c>
      <c r="AC22" s="3183">
        <f>IF(H22=0,0,ROUND(AVERAGE(H22:H24)/100,4))</f>
        <v>6.1999999999999998E-3</v>
      </c>
      <c r="AD22" s="3183">
        <f t="shared" si="90"/>
        <v>1.2999999999999999E-3</v>
      </c>
      <c r="AF22" s="3457">
        <f t="shared" si="30"/>
        <v>101.39</v>
      </c>
      <c r="AG22" s="3457">
        <f t="shared" si="31"/>
        <v>101.13000000000001</v>
      </c>
      <c r="AH22" s="3457">
        <f t="shared" si="32"/>
        <v>100.64999999999999</v>
      </c>
      <c r="AI22" s="3457">
        <f t="shared" si="33"/>
        <v>101.42999999999999</v>
      </c>
      <c r="AJ22" s="3457">
        <f t="shared" si="34"/>
        <v>101.49</v>
      </c>
      <c r="AK22" s="3457">
        <f t="shared" si="35"/>
        <v>100.64999999999999</v>
      </c>
      <c r="AM22" s="3457">
        <f t="shared" si="48"/>
        <v>95.907982903007706</v>
      </c>
      <c r="AN22" s="3457">
        <f t="shared" si="49"/>
        <v>97.81783350410376</v>
      </c>
      <c r="AO22" s="3457">
        <f t="shared" si="50"/>
        <v>101.53305300380042</v>
      </c>
      <c r="AP22" s="3457">
        <f t="shared" si="51"/>
        <v>94.983747604624568</v>
      </c>
      <c r="AQ22" s="3457">
        <f t="shared" si="52"/>
        <v>93.353842369565911</v>
      </c>
      <c r="AR22" s="3457">
        <f t="shared" si="53"/>
        <v>101.53305300380042</v>
      </c>
    </row>
    <row r="23" spans="1:44" s="3184" customFormat="1" ht="12.75">
      <c r="A23" s="3175" t="s">
        <v>2823</v>
      </c>
      <c r="B23" s="3176">
        <v>2021</v>
      </c>
      <c r="C23" s="3177">
        <v>2</v>
      </c>
      <c r="D23" s="3178">
        <v>0.92</v>
      </c>
      <c r="E23" s="3178">
        <v>0.72</v>
      </c>
      <c r="F23" s="3178">
        <v>0.41</v>
      </c>
      <c r="G23" s="3178">
        <v>0.95</v>
      </c>
      <c r="H23" s="3195">
        <v>1.01</v>
      </c>
      <c r="I23" s="3179">
        <f t="shared" si="87"/>
        <v>0.41</v>
      </c>
      <c r="J23" s="3180"/>
      <c r="K23" s="3181">
        <f t="shared" si="88"/>
        <v>9.1999999999999998E-3</v>
      </c>
      <c r="L23" s="3171">
        <f t="shared" si="88"/>
        <v>7.1999999999999998E-3</v>
      </c>
      <c r="M23" s="3171">
        <f t="shared" si="88"/>
        <v>4.0999999999999995E-3</v>
      </c>
      <c r="N23" s="3171">
        <f t="shared" si="88"/>
        <v>9.4999999999999998E-3</v>
      </c>
      <c r="O23" s="3171">
        <f t="shared" si="88"/>
        <v>1.01E-2</v>
      </c>
      <c r="P23" s="3171">
        <f t="shared" si="108"/>
        <v>4.0999999999999995E-3</v>
      </c>
      <c r="Q23" s="3180"/>
      <c r="R23" s="3182">
        <f>ROUND(IF(项目基本情况!$B$8="出让",SUMPRODUCT(PRODUCT(1+K23:$K$24)),SUMPRODUCT(PRODUCT(1+K23:$K$23))),4)</f>
        <v>1.0092000000000001</v>
      </c>
      <c r="S23" s="3182">
        <f>ROUND(IF(项目基本情况!$B$8="出让",SUMPRODUCT(PRODUCT(1+L23:$L$24)),SUMPRODUCT(PRODUCT(1+L23:$L$23))),4)</f>
        <v>1.0072000000000001</v>
      </c>
      <c r="T23" s="3182">
        <f>ROUND(IF(项目基本情况!$B$8="出让",SUMPRODUCT(PRODUCT(1+M23:$M$24)),SUMPRODUCT(PRODUCT(1+M23:$M$23))),4)</f>
        <v>1.0041</v>
      </c>
      <c r="U23" s="3182">
        <f>ROUND(IF(项目基本情况!$B$8="出让",SUMPRODUCT(PRODUCT(1+N23:$N$24)),SUMPRODUCT(PRODUCT(1+N23:$N$23))),4)</f>
        <v>1.0095000000000001</v>
      </c>
      <c r="V23" s="3182">
        <f>ROUND(IF(项目基本情况!$B$8="出让",SUMPRODUCT(PRODUCT(1+O23:$O$24)),SUMPRODUCT(PRODUCT(1+O23:$O$23))),4)</f>
        <v>1.0101</v>
      </c>
      <c r="W23" s="3182">
        <f t="shared" si="107"/>
        <v>1.0041</v>
      </c>
      <c r="X23" s="3180"/>
      <c r="Y23" s="3183">
        <f>IF(D23=0,0,ROUND(AVERAGE(D23:D24)/100,4))</f>
        <v>9.4999999999999998E-3</v>
      </c>
      <c r="Z23" s="3183">
        <f>IF(E23=0,0,ROUND(AVERAGE(E23:E24)/100,4))</f>
        <v>4.4000000000000003E-3</v>
      </c>
      <c r="AA23" s="3183">
        <f>IF(F23=0,0,ROUND(AVERAGE(F23:F24)/100,4))</f>
        <v>8.0000000000000004E-4</v>
      </c>
      <c r="AB23" s="3183">
        <f>IF(G23=0,0,ROUND(AVERAGE(G23:G24)/100,4))</f>
        <v>1.03E-2</v>
      </c>
      <c r="AC23" s="3183">
        <f>IF(H23=0,0,ROUND(AVERAGE(H23:H24)/100,4))</f>
        <v>6.8999999999999999E-3</v>
      </c>
      <c r="AD23" s="3183">
        <f t="shared" si="90"/>
        <v>8.0000000000000004E-4</v>
      </c>
      <c r="AF23" s="3457">
        <f t="shared" si="30"/>
        <v>100.92000000000002</v>
      </c>
      <c r="AG23" s="3457">
        <f t="shared" si="31"/>
        <v>100.72000000000001</v>
      </c>
      <c r="AH23" s="3457">
        <f t="shared" si="32"/>
        <v>100.41</v>
      </c>
      <c r="AI23" s="3457">
        <f t="shared" si="33"/>
        <v>100.95</v>
      </c>
      <c r="AJ23" s="3457">
        <f t="shared" si="34"/>
        <v>101.01</v>
      </c>
      <c r="AK23" s="3457">
        <f t="shared" si="35"/>
        <v>100.41</v>
      </c>
      <c r="AM23" s="3457">
        <f t="shared" si="48"/>
        <v>95.459324079832498</v>
      </c>
      <c r="AN23" s="3457">
        <f t="shared" si="49"/>
        <v>97.418417990343357</v>
      </c>
      <c r="AO23" s="3457">
        <f t="shared" si="50"/>
        <v>101.28995710674424</v>
      </c>
      <c r="AP23" s="3457">
        <f t="shared" si="51"/>
        <v>94.530003587405034</v>
      </c>
      <c r="AQ23" s="3457">
        <f t="shared" si="52"/>
        <v>92.907884523851436</v>
      </c>
      <c r="AR23" s="3457">
        <f t="shared" si="53"/>
        <v>101.28995710674424</v>
      </c>
    </row>
    <row r="24" spans="1:44" s="3206" customFormat="1" ht="14.25" thickBot="1">
      <c r="A24" s="3196" t="s">
        <v>2824</v>
      </c>
      <c r="B24" s="3197">
        <v>2021</v>
      </c>
      <c r="C24" s="3198">
        <v>1</v>
      </c>
      <c r="D24" s="3199">
        <v>0.97</v>
      </c>
      <c r="E24" s="3199">
        <v>0.16</v>
      </c>
      <c r="F24" s="3199">
        <v>-0.25</v>
      </c>
      <c r="G24" s="3199">
        <v>1.1100000000000001</v>
      </c>
      <c r="H24" s="3200">
        <v>0.36</v>
      </c>
      <c r="I24" s="3201">
        <f t="shared" si="87"/>
        <v>-0.25</v>
      </c>
      <c r="J24" s="3202"/>
      <c r="K24" s="3203">
        <f t="shared" si="88"/>
        <v>9.7000000000000003E-3</v>
      </c>
      <c r="L24" s="3204">
        <f t="shared" si="88"/>
        <v>1.6000000000000001E-3</v>
      </c>
      <c r="M24" s="3204">
        <f>F24/100</f>
        <v>-2.5000000000000001E-3</v>
      </c>
      <c r="N24" s="3204">
        <f t="shared" si="88"/>
        <v>1.11E-2</v>
      </c>
      <c r="O24" s="3204">
        <f t="shared" si="88"/>
        <v>3.5999999999999999E-3</v>
      </c>
      <c r="P24" s="3204">
        <f t="shared" si="108"/>
        <v>-2.5000000000000001E-3</v>
      </c>
      <c r="Q24" s="3202"/>
      <c r="R24" s="3205">
        <v>1</v>
      </c>
      <c r="S24" s="3205">
        <v>1</v>
      </c>
      <c r="T24" s="3205">
        <v>1</v>
      </c>
      <c r="U24" s="3205">
        <v>1</v>
      </c>
      <c r="V24" s="3205">
        <v>1</v>
      </c>
      <c r="W24" s="3205">
        <f t="shared" ref="W24" si="114">T24</f>
        <v>1</v>
      </c>
      <c r="X24" s="3202"/>
      <c r="Y24" s="3204">
        <f>IF(D24=0,0,ROUND(AVERAGE(D24:D24)/100,4))</f>
        <v>9.7000000000000003E-3</v>
      </c>
      <c r="Z24" s="3204">
        <f>IF(E24=0,0,ROUND(AVERAGE(E24:E24)/100,4))</f>
        <v>1.6000000000000001E-3</v>
      </c>
      <c r="AA24" s="3204">
        <f>IF(F24=0,0,ROUND(AVERAGE(F24:F24)/100,4))</f>
        <v>-2.5000000000000001E-3</v>
      </c>
      <c r="AB24" s="3204">
        <f>IF(G24=0,0,ROUND(AVERAGE(G24:G24)/100,4))</f>
        <v>1.11E-2</v>
      </c>
      <c r="AC24" s="3204">
        <f>IF(H24=0,0,ROUND(AVERAGE(H24:H24)/100,4))</f>
        <v>3.5999999999999999E-3</v>
      </c>
      <c r="AD24" s="3204">
        <f>AA24</f>
        <v>-2.5000000000000001E-3</v>
      </c>
      <c r="AF24" s="3465">
        <v>100</v>
      </c>
      <c r="AG24" s="3465">
        <v>100</v>
      </c>
      <c r="AH24" s="3465">
        <v>100</v>
      </c>
      <c r="AI24" s="3465">
        <v>100</v>
      </c>
      <c r="AJ24" s="3465">
        <v>100</v>
      </c>
      <c r="AK24" s="3465">
        <v>100</v>
      </c>
      <c r="AM24" s="3464">
        <f t="shared" si="48"/>
        <v>94.589104320087685</v>
      </c>
      <c r="AN24" s="3464">
        <f t="shared" si="49"/>
        <v>96.722019450301175</v>
      </c>
      <c r="AO24" s="3464">
        <f t="shared" si="50"/>
        <v>100.87636401428567</v>
      </c>
      <c r="AP24" s="3464">
        <f t="shared" si="51"/>
        <v>93.640419601193685</v>
      </c>
      <c r="AQ24" s="3464">
        <f t="shared" si="52"/>
        <v>91.978897657510586</v>
      </c>
      <c r="AR24" s="3464">
        <f t="shared" si="53"/>
        <v>100.87636401428567</v>
      </c>
    </row>
    <row r="25" spans="1:44" s="3008" customFormat="1" ht="14.25" thickTop="1"/>
    <row r="26" spans="1:44" s="3008" customFormat="1">
      <c r="A26" s="3447" t="s">
        <v>3380</v>
      </c>
    </row>
    <row r="27" spans="1:44" s="3008" customFormat="1">
      <c r="I27" s="3207" t="s">
        <v>2825</v>
      </c>
    </row>
    <row r="28" spans="1:44" s="3008" customFormat="1"/>
    <row r="29" spans="1:44" s="3208" customFormat="1" ht="12.75">
      <c r="B29" s="3209" t="s">
        <v>3378</v>
      </c>
      <c r="C29" s="3210"/>
      <c r="D29" s="3210"/>
      <c r="E29" s="3210"/>
      <c r="F29" s="3210"/>
      <c r="G29" s="3210"/>
      <c r="H29" s="3210"/>
      <c r="I29" s="3210"/>
      <c r="J29" s="3164"/>
      <c r="K29" s="3210" t="s">
        <v>2826</v>
      </c>
      <c r="L29" s="3210"/>
      <c r="M29" s="3210"/>
      <c r="N29" s="3210"/>
      <c r="O29" s="3210"/>
      <c r="P29" s="3210"/>
      <c r="Q29" s="3164"/>
      <c r="R29" s="3820" t="s">
        <v>2827</v>
      </c>
      <c r="S29" s="3821"/>
      <c r="T29" s="3821"/>
      <c r="U29" s="3821"/>
      <c r="V29" s="3821"/>
      <c r="W29" s="3821"/>
      <c r="X29" s="3164"/>
      <c r="Y29" s="3820" t="s">
        <v>2828</v>
      </c>
      <c r="Z29" s="3821"/>
      <c r="AA29" s="3821"/>
      <c r="AB29" s="3821"/>
      <c r="AC29" s="3821"/>
      <c r="AD29" s="3821"/>
    </row>
    <row r="30" spans="1:44" s="3142" customFormat="1" ht="14.25" thickBot="1">
      <c r="B30" s="3143"/>
      <c r="C30" s="3144"/>
      <c r="D30" s="3145" t="s">
        <v>2829</v>
      </c>
      <c r="E30" s="3146" t="s">
        <v>2830</v>
      </c>
      <c r="F30" s="3146" t="s">
        <v>2831</v>
      </c>
      <c r="G30" s="3146" t="s">
        <v>2832</v>
      </c>
      <c r="H30" s="3146"/>
      <c r="I30" s="3146" t="s">
        <v>2833</v>
      </c>
      <c r="J30" s="3147"/>
      <c r="K30" s="3145" t="s">
        <v>2829</v>
      </c>
      <c r="L30" s="3146" t="s">
        <v>2830</v>
      </c>
      <c r="M30" s="3146" t="s">
        <v>2831</v>
      </c>
      <c r="N30" s="3146" t="s">
        <v>2832</v>
      </c>
      <c r="O30" s="3146"/>
      <c r="P30" s="3146" t="s">
        <v>2833</v>
      </c>
      <c r="Q30" s="3147"/>
      <c r="R30" s="3145" t="s">
        <v>2829</v>
      </c>
      <c r="S30" s="3146" t="s">
        <v>2830</v>
      </c>
      <c r="T30" s="3146" t="s">
        <v>2831</v>
      </c>
      <c r="U30" s="3146" t="s">
        <v>2832</v>
      </c>
      <c r="V30" s="3146"/>
      <c r="W30" s="3146" t="s">
        <v>2833</v>
      </c>
      <c r="X30" s="3147"/>
      <c r="Y30" s="3145" t="s">
        <v>2829</v>
      </c>
      <c r="Z30" s="3146" t="s">
        <v>2830</v>
      </c>
      <c r="AA30" s="3146" t="s">
        <v>2831</v>
      </c>
      <c r="AB30" s="3146" t="s">
        <v>2832</v>
      </c>
      <c r="AC30" s="3146"/>
      <c r="AD30" s="3146" t="s">
        <v>2833</v>
      </c>
      <c r="AG30" t="s">
        <v>673</v>
      </c>
      <c r="AH30" t="s">
        <v>21</v>
      </c>
      <c r="AI30" t="s">
        <v>3405</v>
      </c>
      <c r="AJ30"/>
      <c r="AK30" t="s">
        <v>3406</v>
      </c>
      <c r="AN30" t="s">
        <v>673</v>
      </c>
      <c r="AO30" t="s">
        <v>21</v>
      </c>
      <c r="AP30" t="s">
        <v>3405</v>
      </c>
      <c r="AQ30"/>
      <c r="AR30" t="s">
        <v>3406</v>
      </c>
    </row>
    <row r="31" spans="1:44" s="3160" customFormat="1" ht="12.75">
      <c r="A31" s="3148" t="s">
        <v>2834</v>
      </c>
      <c r="B31" s="3149"/>
      <c r="C31" s="3150"/>
      <c r="D31" s="3150"/>
      <c r="E31" s="3150">
        <f t="shared" ref="E31:G31" si="115">ROUND(AVERAGEIF(E32:E52,"&lt;&gt;0"),2)</f>
        <v>0.11</v>
      </c>
      <c r="F31" s="3150">
        <f t="shared" si="115"/>
        <v>7.0000000000000007E-2</v>
      </c>
      <c r="G31" s="3150">
        <f t="shared" si="115"/>
        <v>0.26</v>
      </c>
      <c r="H31" s="3150"/>
      <c r="I31" s="3150">
        <f>F31</f>
        <v>7.0000000000000007E-2</v>
      </c>
      <c r="J31" s="3151"/>
      <c r="K31" s="3152"/>
      <c r="L31" s="3153">
        <f t="shared" ref="L31:N31" si="116">ROUND(AVERAGEIF(L32:L52,"&lt;&gt;0"),4)</f>
        <v>1.1000000000000001E-3</v>
      </c>
      <c r="M31" s="3153">
        <f t="shared" si="116"/>
        <v>6.9999999999999999E-4</v>
      </c>
      <c r="N31" s="3153">
        <f t="shared" si="116"/>
        <v>2.5999999999999999E-3</v>
      </c>
      <c r="O31" s="3153"/>
      <c r="P31" s="3153">
        <f>M31</f>
        <v>6.9999999999999999E-4</v>
      </c>
      <c r="Q31" s="3151"/>
      <c r="R31" s="3154"/>
      <c r="S31" s="3155">
        <f>ROUND(SUMPRODUCT(PRODUCT(1+L32:L52)),4)</f>
        <v>1.0185</v>
      </c>
      <c r="T31" s="3155">
        <f t="shared" ref="T31:U31" si="117">ROUND(SUMPRODUCT(PRODUCT(1+M32:M52)),4)</f>
        <v>1.012</v>
      </c>
      <c r="U31" s="3155">
        <f t="shared" si="117"/>
        <v>1.0436000000000001</v>
      </c>
      <c r="V31" s="3155"/>
      <c r="W31" s="3154">
        <f>T31</f>
        <v>1.012</v>
      </c>
      <c r="X31" s="3151"/>
      <c r="Y31" s="3156"/>
      <c r="Z31" s="3157">
        <f t="shared" ref="Z31:AB31" si="118">ROUND(AVERAGEIF(Z32:Z52,"&lt;&gt;0"),4)</f>
        <v>3.5999999999999999E-3</v>
      </c>
      <c r="AA31" s="3158">
        <f t="shared" si="118"/>
        <v>3.0000000000000001E-3</v>
      </c>
      <c r="AB31" s="3156">
        <f t="shared" si="118"/>
        <v>7.0000000000000001E-3</v>
      </c>
      <c r="AC31" s="3159"/>
      <c r="AD31" s="3156">
        <f>AA31</f>
        <v>3.0000000000000001E-3</v>
      </c>
    </row>
    <row r="32" spans="1:44" s="3161" customFormat="1" ht="12.75">
      <c r="B32" s="3162"/>
      <c r="C32" s="3163"/>
      <c r="D32" s="3163"/>
      <c r="E32" s="3163"/>
      <c r="F32" s="3163"/>
      <c r="G32" s="3163"/>
      <c r="H32" s="3163"/>
      <c r="I32" s="3163"/>
      <c r="J32" s="3164"/>
      <c r="K32" s="3165"/>
      <c r="L32" s="3166"/>
      <c r="M32" s="3166"/>
      <c r="N32" s="3166"/>
      <c r="O32" s="3166"/>
      <c r="P32" s="3166"/>
      <c r="Q32" s="3164"/>
      <c r="R32" s="3167"/>
      <c r="S32" s="3168"/>
      <c r="T32" s="3169"/>
      <c r="U32" s="3167"/>
      <c r="V32" s="3170"/>
      <c r="W32" s="3167"/>
      <c r="X32" s="3164"/>
      <c r="Y32" s="3171"/>
      <c r="Z32" s="3172"/>
      <c r="AA32" s="3173"/>
      <c r="AB32" s="3171"/>
      <c r="AC32" s="3174"/>
      <c r="AD32" s="3171"/>
    </row>
    <row r="33" spans="1:44" s="3184" customFormat="1">
      <c r="A33" s="2204" t="s">
        <v>3403</v>
      </c>
      <c r="B33" s="3176">
        <v>2025</v>
      </c>
      <c r="C33" s="3177">
        <v>4</v>
      </c>
      <c r="D33" s="3178"/>
      <c r="E33" s="3178">
        <v>0</v>
      </c>
      <c r="F33" s="3178">
        <v>0</v>
      </c>
      <c r="G33" s="3178">
        <v>0</v>
      </c>
      <c r="H33" s="3178"/>
      <c r="I33" s="3179">
        <f t="shared" ref="I33" si="119">F33</f>
        <v>0</v>
      </c>
      <c r="J33" s="3180"/>
      <c r="K33" s="3181"/>
      <c r="L33" s="3171">
        <f t="shared" ref="L33" si="120">E33/100</f>
        <v>0</v>
      </c>
      <c r="M33" s="3171">
        <f t="shared" ref="M33" si="121">F33/100</f>
        <v>0</v>
      </c>
      <c r="N33" s="3171">
        <f t="shared" ref="N33" si="122">G33/100</f>
        <v>0</v>
      </c>
      <c r="O33" s="3171"/>
      <c r="P33" s="3171">
        <f t="shared" ref="P33:P39" si="123">M33</f>
        <v>0</v>
      </c>
      <c r="Q33" s="3180"/>
      <c r="R33" s="3182"/>
      <c r="S33" s="3182">
        <f>ROUND(IF(项目基本情况!$B$8="出让",SUMPRODUCT(PRODUCT(1+L33:L$52)),SUMPRODUCT(PRODUCT(1+L33:L$51))),4)</f>
        <v>1.0148999999999999</v>
      </c>
      <c r="T33" s="3182">
        <f>ROUND(IF(项目基本情况!$B$8="出让",SUMPRODUCT(PRODUCT(1+M33:M$52)),SUMPRODUCT(PRODUCT(1+M33:M$51))),4)</f>
        <v>1.0072000000000001</v>
      </c>
      <c r="U33" s="3182">
        <f>ROUND(IF(项目基本情况!$B$8="出让",SUMPRODUCT(PRODUCT(1+N33:N$52)),SUMPRODUCT(PRODUCT(1+N33:N$51))),4)</f>
        <v>1.0335000000000001</v>
      </c>
      <c r="V33" s="3182"/>
      <c r="W33" s="3182">
        <f t="shared" ref="W33:W39" si="124">T33</f>
        <v>1.0072000000000001</v>
      </c>
      <c r="X33" s="3180"/>
      <c r="Y33" s="3183"/>
      <c r="Z33" s="3211">
        <f t="shared" ref="Z33" si="125">IF(E33=0,0,ROUND(AVERAGE(E33:E46)/100,4))</f>
        <v>0</v>
      </c>
      <c r="AA33" s="3211">
        <f t="shared" ref="AA33" si="126">IF(F33=0,0,ROUND(AVERAGE(F33:F46)/100,4))</f>
        <v>0</v>
      </c>
      <c r="AB33" s="3211">
        <f t="shared" ref="AB33" si="127">IF(G33=0,0,ROUND(AVERAGE(G33:G46)/100,4))</f>
        <v>0</v>
      </c>
      <c r="AC33" s="3212"/>
      <c r="AD33" s="3183">
        <f t="shared" ref="AD33:AD39" si="128">IF(I33=0,0,ROUND(AVERAGE(I33:I46)/100,4))</f>
        <v>0</v>
      </c>
      <c r="AG33" s="3457">
        <f t="shared" ref="AG33:AG50" si="129">$AG$52*S33</f>
        <v>101.49</v>
      </c>
      <c r="AH33" s="3457">
        <f t="shared" ref="AH33:AH50" si="130">$AG$52*T33</f>
        <v>100.72000000000001</v>
      </c>
      <c r="AI33" s="3457">
        <f t="shared" ref="AI33:AI50" si="131">$AG$52*U33</f>
        <v>103.35000000000001</v>
      </c>
      <c r="AJ33" s="3459"/>
      <c r="AK33" s="3457">
        <f t="shared" ref="AK33:AK50" si="132">$AG$52*W33</f>
        <v>100.72000000000001</v>
      </c>
      <c r="AN33" s="3462">
        <v>100</v>
      </c>
      <c r="AO33" s="3462">
        <v>100</v>
      </c>
      <c r="AP33" s="3462">
        <v>100</v>
      </c>
      <c r="AQ33" s="3462"/>
      <c r="AR33" s="3462">
        <v>100</v>
      </c>
    </row>
    <row r="34" spans="1:44" s="3184" customFormat="1" ht="12.75">
      <c r="A34" s="2204" t="s">
        <v>3402</v>
      </c>
      <c r="B34" s="3176">
        <v>2025</v>
      </c>
      <c r="C34" s="3177">
        <v>3</v>
      </c>
      <c r="D34" s="3178"/>
      <c r="E34" s="3178">
        <v>0</v>
      </c>
      <c r="F34" s="3178">
        <v>0</v>
      </c>
      <c r="G34" s="3178">
        <v>0</v>
      </c>
      <c r="H34" s="3178"/>
      <c r="I34" s="3179">
        <f t="shared" ref="I34" si="133">F34</f>
        <v>0</v>
      </c>
      <c r="J34" s="3180"/>
      <c r="K34" s="3181"/>
      <c r="L34" s="3171">
        <f t="shared" ref="L34" si="134">E34/100</f>
        <v>0</v>
      </c>
      <c r="M34" s="3171">
        <f t="shared" ref="M34" si="135">F34/100</f>
        <v>0</v>
      </c>
      <c r="N34" s="3171">
        <f t="shared" ref="N34" si="136">G34/100</f>
        <v>0</v>
      </c>
      <c r="O34" s="3171"/>
      <c r="P34" s="3171">
        <f t="shared" si="123"/>
        <v>0</v>
      </c>
      <c r="Q34" s="3180"/>
      <c r="R34" s="3182"/>
      <c r="S34" s="3182">
        <f>ROUND(IF(项目基本情况!$B$8="出让",SUMPRODUCT(PRODUCT(1+L34:L$52)),SUMPRODUCT(PRODUCT(1+L34:L$51))),4)</f>
        <v>1.0148999999999999</v>
      </c>
      <c r="T34" s="3182">
        <f>ROUND(IF(项目基本情况!$B$8="出让",SUMPRODUCT(PRODUCT(1+M34:M$52)),SUMPRODUCT(PRODUCT(1+M34:M$51))),4)</f>
        <v>1.0072000000000001</v>
      </c>
      <c r="U34" s="3182">
        <f>ROUND(IF(项目基本情况!$B$8="出让",SUMPRODUCT(PRODUCT(1+N34:N$52)),SUMPRODUCT(PRODUCT(1+N34:N$51))),4)</f>
        <v>1.0335000000000001</v>
      </c>
      <c r="V34" s="3182"/>
      <c r="W34" s="3182">
        <f t="shared" si="124"/>
        <v>1.0072000000000001</v>
      </c>
      <c r="X34" s="3180"/>
      <c r="Y34" s="3183"/>
      <c r="Z34" s="3211">
        <f t="shared" ref="Z34" si="137">IF(E34=0,0,ROUND(AVERAGE(E34:E47)/100,4))</f>
        <v>0</v>
      </c>
      <c r="AA34" s="3211">
        <f t="shared" ref="AA34" si="138">IF(F34=0,0,ROUND(AVERAGE(F34:F47)/100,4))</f>
        <v>0</v>
      </c>
      <c r="AB34" s="3211">
        <f t="shared" ref="AB34" si="139">IF(G34=0,0,ROUND(AVERAGE(G34:G47)/100,4))</f>
        <v>0</v>
      </c>
      <c r="AC34" s="3212"/>
      <c r="AD34" s="3183">
        <f t="shared" si="128"/>
        <v>0</v>
      </c>
      <c r="AG34" s="3457">
        <f t="shared" si="129"/>
        <v>101.49</v>
      </c>
      <c r="AH34" s="3457">
        <f t="shared" si="130"/>
        <v>100.72000000000001</v>
      </c>
      <c r="AI34" s="3457">
        <f t="shared" si="131"/>
        <v>103.35000000000001</v>
      </c>
      <c r="AJ34" s="3459"/>
      <c r="AK34" s="3457">
        <f t="shared" si="132"/>
        <v>100.72000000000001</v>
      </c>
      <c r="AN34" s="3457">
        <f>AN33/(1+E33/100)</f>
        <v>100</v>
      </c>
      <c r="AO34" s="3457">
        <f t="shared" ref="AO34:AR34" si="140">AO33/(1+F33/100)</f>
        <v>100</v>
      </c>
      <c r="AP34" s="3457">
        <f t="shared" si="140"/>
        <v>100</v>
      </c>
      <c r="AQ34" s="3457"/>
      <c r="AR34" s="3457">
        <f t="shared" si="140"/>
        <v>100</v>
      </c>
    </row>
    <row r="35" spans="1:44" s="3194" customFormat="1" ht="12.75">
      <c r="A35" s="3185" t="s">
        <v>3410</v>
      </c>
      <c r="B35" s="3186">
        <v>2025</v>
      </c>
      <c r="C35" s="3187">
        <v>2</v>
      </c>
      <c r="D35" s="3188"/>
      <c r="E35" s="3188">
        <v>0</v>
      </c>
      <c r="F35" s="3188">
        <v>0</v>
      </c>
      <c r="G35" s="3188">
        <v>0</v>
      </c>
      <c r="H35" s="3189"/>
      <c r="I35" s="3190">
        <f t="shared" ref="I35" si="141">F35</f>
        <v>0</v>
      </c>
      <c r="J35" s="3191"/>
      <c r="K35" s="3192"/>
      <c r="L35" s="3193">
        <f t="shared" ref="L35" si="142">E35/100</f>
        <v>0</v>
      </c>
      <c r="M35" s="3193">
        <f t="shared" ref="M35" si="143">F35/100</f>
        <v>0</v>
      </c>
      <c r="N35" s="3193">
        <f t="shared" ref="N35" si="144">G35/100</f>
        <v>0</v>
      </c>
      <c r="O35" s="3193"/>
      <c r="P35" s="3193">
        <f t="shared" si="123"/>
        <v>0</v>
      </c>
      <c r="Q35" s="3191"/>
      <c r="R35" s="3191"/>
      <c r="S35" s="3191">
        <f>ROUND(IF(项目基本情况!$B$8="出让",SUMPRODUCT(PRODUCT(1+L35:L$52)),SUMPRODUCT(PRODUCT(1+L35:L$51))),4)</f>
        <v>1.0148999999999999</v>
      </c>
      <c r="T35" s="3191">
        <f>ROUND(IF(项目基本情况!$B$8="出让",SUMPRODUCT(PRODUCT(1+M35:M$52)),SUMPRODUCT(PRODUCT(1+M35:M$51))),4)</f>
        <v>1.0072000000000001</v>
      </c>
      <c r="U35" s="3191">
        <f>ROUND(IF(项目基本情况!$B$8="出让",SUMPRODUCT(PRODUCT(1+N35:N$52)),SUMPRODUCT(PRODUCT(1+N35:N$51))),4)</f>
        <v>1.0335000000000001</v>
      </c>
      <c r="V35" s="3191"/>
      <c r="W35" s="3191">
        <f t="shared" si="124"/>
        <v>1.0072000000000001</v>
      </c>
      <c r="X35" s="3191"/>
      <c r="Y35" s="3193"/>
      <c r="Z35" s="3214">
        <f t="shared" ref="Z35" si="145">IF(E35=0,0,ROUND(AVERAGE(E35:E48)/100,4))</f>
        <v>0</v>
      </c>
      <c r="AA35" s="3215">
        <f t="shared" ref="AA35" si="146">IF(F35=0,0,ROUND(AVERAGE(F35:F48)/100,4))</f>
        <v>0</v>
      </c>
      <c r="AB35" s="3193">
        <f t="shared" ref="AB35" si="147">IF(G35=0,0,ROUND(AVERAGE(G35:G48)/100,4))</f>
        <v>0</v>
      </c>
      <c r="AC35" s="3216"/>
      <c r="AD35" s="3193">
        <f t="shared" si="128"/>
        <v>0</v>
      </c>
      <c r="AG35" s="3458">
        <f t="shared" si="129"/>
        <v>101.49</v>
      </c>
      <c r="AH35" s="3458">
        <f t="shared" si="130"/>
        <v>100.72000000000001</v>
      </c>
      <c r="AI35" s="3458">
        <f t="shared" si="131"/>
        <v>103.35000000000001</v>
      </c>
      <c r="AJ35" s="3460"/>
      <c r="AK35" s="3458">
        <f t="shared" si="132"/>
        <v>100.72000000000001</v>
      </c>
      <c r="AN35" s="3458">
        <f t="shared" ref="AN35:AN52" si="148">AN34/(1+E34/100)</f>
        <v>100</v>
      </c>
      <c r="AO35" s="3458">
        <f t="shared" ref="AO35" si="149">AO34/(1+F34/100)</f>
        <v>100</v>
      </c>
      <c r="AP35" s="3458">
        <f t="shared" ref="AP35" si="150">AP34/(1+G34/100)</f>
        <v>100</v>
      </c>
      <c r="AQ35" s="3458"/>
      <c r="AR35" s="3458">
        <f t="shared" ref="AR35" si="151">AR34/(1+I34/100)</f>
        <v>100</v>
      </c>
    </row>
    <row r="36" spans="1:44" s="3184" customFormat="1" ht="12.75">
      <c r="A36" s="2204" t="s">
        <v>3407</v>
      </c>
      <c r="B36" s="3176">
        <v>2025</v>
      </c>
      <c r="C36" s="3177">
        <v>1</v>
      </c>
      <c r="D36" s="3178"/>
      <c r="E36" s="3178">
        <v>-1.47</v>
      </c>
      <c r="F36" s="3178">
        <v>-0.98</v>
      </c>
      <c r="G36" s="3178">
        <v>-0.51</v>
      </c>
      <c r="H36" s="3178"/>
      <c r="I36" s="3179">
        <f t="shared" ref="I36" si="152">F36</f>
        <v>-0.98</v>
      </c>
      <c r="J36" s="3180"/>
      <c r="K36" s="3181"/>
      <c r="L36" s="3171">
        <f t="shared" ref="L36" si="153">E36/100</f>
        <v>-1.47E-2</v>
      </c>
      <c r="M36" s="3171">
        <f t="shared" ref="M36" si="154">F36/100</f>
        <v>-9.7999999999999997E-3</v>
      </c>
      <c r="N36" s="3171">
        <f t="shared" ref="N36" si="155">G36/100</f>
        <v>-5.1000000000000004E-3</v>
      </c>
      <c r="O36" s="3171"/>
      <c r="P36" s="3171">
        <f t="shared" si="123"/>
        <v>-9.7999999999999997E-3</v>
      </c>
      <c r="Q36" s="3180"/>
      <c r="R36" s="3182"/>
      <c r="S36" s="3182">
        <f>ROUND(IF(项目基本情况!$B$8="出让",SUMPRODUCT(PRODUCT(1+L36:L$52)),SUMPRODUCT(PRODUCT(1+L36:L$51))),4)</f>
        <v>1.0148999999999999</v>
      </c>
      <c r="T36" s="3182">
        <f>ROUND(IF(项目基本情况!$B$8="出让",SUMPRODUCT(PRODUCT(1+M36:M$52)),SUMPRODUCT(PRODUCT(1+M36:M$51))),4)</f>
        <v>1.0072000000000001</v>
      </c>
      <c r="U36" s="3182">
        <f>ROUND(IF(项目基本情况!$B$8="出让",SUMPRODUCT(PRODUCT(1+N36:N$52)),SUMPRODUCT(PRODUCT(1+N36:N$51))),4)</f>
        <v>1.0335000000000001</v>
      </c>
      <c r="V36" s="3182"/>
      <c r="W36" s="3182">
        <f t="shared" si="124"/>
        <v>1.0072000000000001</v>
      </c>
      <c r="X36" s="3180"/>
      <c r="Y36" s="3183"/>
      <c r="Z36" s="3211">
        <f t="shared" ref="Z36" si="156">IF(E36=0,0,ROUND(AVERAGE(E36:E49)/100,4))</f>
        <v>4.0000000000000002E-4</v>
      </c>
      <c r="AA36" s="3211">
        <f t="shared" ref="AA36" si="157">IF(F36=0,0,ROUND(AVERAGE(F36:F49)/100,4))</f>
        <v>0</v>
      </c>
      <c r="AB36" s="3211">
        <f t="shared" ref="AB36" si="158">IF(G36=0,0,ROUND(AVERAGE(G36:G49)/100,4))</f>
        <v>1E-3</v>
      </c>
      <c r="AC36" s="3212"/>
      <c r="AD36" s="3183">
        <f t="shared" si="128"/>
        <v>0</v>
      </c>
      <c r="AG36" s="3457">
        <f t="shared" si="129"/>
        <v>101.49</v>
      </c>
      <c r="AH36" s="3457">
        <f t="shared" si="130"/>
        <v>100.72000000000001</v>
      </c>
      <c r="AI36" s="3457">
        <f t="shared" si="131"/>
        <v>103.35000000000001</v>
      </c>
      <c r="AJ36" s="3459"/>
      <c r="AK36" s="3457">
        <f t="shared" si="132"/>
        <v>100.72000000000001</v>
      </c>
      <c r="AN36" s="3457">
        <f t="shared" si="148"/>
        <v>100</v>
      </c>
      <c r="AO36" s="3457">
        <f t="shared" ref="AO36:AO52" si="159">AO35/(1+F35/100)</f>
        <v>100</v>
      </c>
      <c r="AP36" s="3457">
        <f t="shared" ref="AP36:AP52" si="160">AP35/(1+G35/100)</f>
        <v>100</v>
      </c>
      <c r="AQ36" s="3457"/>
      <c r="AR36" s="3457">
        <f t="shared" ref="AR36:AR52" si="161">AR35/(1+I35/100)</f>
        <v>100</v>
      </c>
    </row>
    <row r="37" spans="1:44" s="3184" customFormat="1" ht="12.75">
      <c r="A37" s="2204" t="s">
        <v>3408</v>
      </c>
      <c r="B37" s="3176">
        <v>2024</v>
      </c>
      <c r="C37" s="3177">
        <v>4</v>
      </c>
      <c r="D37" s="3178"/>
      <c r="E37" s="3178">
        <v>-0.61</v>
      </c>
      <c r="F37" s="3178">
        <v>-0.71</v>
      </c>
      <c r="G37" s="3178">
        <v>-0.88</v>
      </c>
      <c r="H37" s="3178"/>
      <c r="I37" s="3179">
        <f t="shared" ref="I37" si="162">F37</f>
        <v>-0.71</v>
      </c>
      <c r="J37" s="3180"/>
      <c r="K37" s="3181"/>
      <c r="L37" s="3171">
        <f t="shared" ref="L37" si="163">E37/100</f>
        <v>-6.0999999999999995E-3</v>
      </c>
      <c r="M37" s="3171">
        <f t="shared" ref="M37" si="164">F37/100</f>
        <v>-7.0999999999999995E-3</v>
      </c>
      <c r="N37" s="3171">
        <f t="shared" ref="N37" si="165">G37/100</f>
        <v>-8.8000000000000005E-3</v>
      </c>
      <c r="O37" s="3171"/>
      <c r="P37" s="3171">
        <f t="shared" si="123"/>
        <v>-7.0999999999999995E-3</v>
      </c>
      <c r="Q37" s="3180"/>
      <c r="R37" s="3182"/>
      <c r="S37" s="3182">
        <f>ROUND(IF(项目基本情况!$B$8="出让",SUMPRODUCT(PRODUCT(1+L37:L$52)),SUMPRODUCT(PRODUCT(1+L37:L$51))),4)</f>
        <v>1.0301</v>
      </c>
      <c r="T37" s="3182">
        <f>ROUND(IF(项目基本情况!$B$8="出让",SUMPRODUCT(PRODUCT(1+M37:M$52)),SUMPRODUCT(PRODUCT(1+M37:M$51))),4)</f>
        <v>1.0170999999999999</v>
      </c>
      <c r="U37" s="3182">
        <f>ROUND(IF(项目基本情况!$B$8="出让",SUMPRODUCT(PRODUCT(1+N37:N$52)),SUMPRODUCT(PRODUCT(1+N37:N$51))),4)</f>
        <v>1.0387999999999999</v>
      </c>
      <c r="V37" s="3182"/>
      <c r="W37" s="3182">
        <f t="shared" si="124"/>
        <v>1.0170999999999999</v>
      </c>
      <c r="X37" s="3180"/>
      <c r="Y37" s="3183"/>
      <c r="Z37" s="3211">
        <f t="shared" ref="Z37" si="166">IF(E37=0,0,ROUND(AVERAGE(E37:E50)/100,4))</f>
        <v>1.6999999999999999E-3</v>
      </c>
      <c r="AA37" s="3211">
        <f t="shared" ref="AA37" si="167">IF(F37=0,0,ROUND(AVERAGE(F37:F50)/100,4))</f>
        <v>8.9999999999999998E-4</v>
      </c>
      <c r="AB37" s="3211">
        <f t="shared" ref="AB37" si="168">IF(G37=0,0,ROUND(AVERAGE(G37:G50)/100,4))</f>
        <v>2E-3</v>
      </c>
      <c r="AC37" s="3212"/>
      <c r="AD37" s="3183">
        <f t="shared" si="128"/>
        <v>8.9999999999999998E-4</v>
      </c>
      <c r="AG37" s="3457">
        <f t="shared" si="129"/>
        <v>103.01</v>
      </c>
      <c r="AH37" s="3457">
        <f t="shared" si="130"/>
        <v>101.71</v>
      </c>
      <c r="AI37" s="3457">
        <f t="shared" si="131"/>
        <v>103.88</v>
      </c>
      <c r="AJ37" s="3459"/>
      <c r="AK37" s="3457">
        <f t="shared" si="132"/>
        <v>101.71</v>
      </c>
      <c r="AN37" s="3457">
        <f t="shared" si="148"/>
        <v>101.49193139145439</v>
      </c>
      <c r="AO37" s="3457">
        <f t="shared" si="159"/>
        <v>100.98969905069683</v>
      </c>
      <c r="AP37" s="3457">
        <f t="shared" si="160"/>
        <v>100.51261433309881</v>
      </c>
      <c r="AQ37" s="3457"/>
      <c r="AR37" s="3457">
        <f t="shared" si="161"/>
        <v>100.98969905069683</v>
      </c>
    </row>
    <row r="38" spans="1:44" s="3184" customFormat="1" ht="12.75">
      <c r="A38" s="2204" t="s">
        <v>3372</v>
      </c>
      <c r="B38" s="3176">
        <v>2024</v>
      </c>
      <c r="C38" s="3177">
        <v>3</v>
      </c>
      <c r="D38" s="3178"/>
      <c r="E38" s="3178">
        <v>-0.66</v>
      </c>
      <c r="F38" s="3178">
        <v>-0.52</v>
      </c>
      <c r="G38" s="3178">
        <v>-2.87</v>
      </c>
      <c r="H38" s="3178"/>
      <c r="I38" s="3179">
        <f t="shared" ref="I38" si="169">F38</f>
        <v>-0.52</v>
      </c>
      <c r="J38" s="3180"/>
      <c r="K38" s="3181"/>
      <c r="L38" s="3171">
        <f t="shared" ref="L38" si="170">E38/100</f>
        <v>-6.6E-3</v>
      </c>
      <c r="M38" s="3171">
        <f t="shared" ref="M38" si="171">F38/100</f>
        <v>-5.1999999999999998E-3</v>
      </c>
      <c r="N38" s="3171">
        <f t="shared" ref="N38" si="172">G38/100</f>
        <v>-2.87E-2</v>
      </c>
      <c r="O38" s="3171"/>
      <c r="P38" s="3171">
        <f t="shared" si="123"/>
        <v>-5.1999999999999998E-3</v>
      </c>
      <c r="Q38" s="3180"/>
      <c r="R38" s="3182"/>
      <c r="S38" s="3182">
        <f>ROUND(IF(项目基本情况!$B$8="出让",SUMPRODUCT(PRODUCT(1+L38:L$52)),SUMPRODUCT(PRODUCT(1+L38:L$51))),4)</f>
        <v>1.0364</v>
      </c>
      <c r="T38" s="3182">
        <f>ROUND(IF(项目基本情况!$B$8="出让",SUMPRODUCT(PRODUCT(1+M38:M$52)),SUMPRODUCT(PRODUCT(1+M38:M$51))),4)</f>
        <v>1.0244</v>
      </c>
      <c r="U38" s="3182">
        <f>ROUND(IF(项目基本情况!$B$8="出让",SUMPRODUCT(PRODUCT(1+N38:N$52)),SUMPRODUCT(PRODUCT(1+N38:N$51))),4)</f>
        <v>1.048</v>
      </c>
      <c r="V38" s="3182"/>
      <c r="W38" s="3182">
        <f t="shared" si="124"/>
        <v>1.0244</v>
      </c>
      <c r="X38" s="3180"/>
      <c r="Y38" s="3183"/>
      <c r="Z38" s="3211">
        <f t="shared" ref="Z38:AB39" si="173">IF(E38=0,0,ROUND(AVERAGE(E38:E51)/100,4))</f>
        <v>2.5999999999999999E-3</v>
      </c>
      <c r="AA38" s="3211">
        <f t="shared" si="173"/>
        <v>1.6999999999999999E-3</v>
      </c>
      <c r="AB38" s="3211">
        <f t="shared" si="173"/>
        <v>3.3999999999999998E-3</v>
      </c>
      <c r="AC38" s="3212"/>
      <c r="AD38" s="3183">
        <f t="shared" si="128"/>
        <v>1.6999999999999999E-3</v>
      </c>
      <c r="AG38" s="3457">
        <f t="shared" si="129"/>
        <v>103.64</v>
      </c>
      <c r="AH38" s="3457">
        <f t="shared" si="130"/>
        <v>102.44</v>
      </c>
      <c r="AI38" s="3457">
        <f t="shared" si="131"/>
        <v>104.80000000000001</v>
      </c>
      <c r="AJ38" s="3459"/>
      <c r="AK38" s="3457">
        <f t="shared" si="132"/>
        <v>102.44</v>
      </c>
      <c r="AN38" s="3457">
        <f t="shared" si="148"/>
        <v>102.11483186583598</v>
      </c>
      <c r="AO38" s="3457">
        <f t="shared" si="159"/>
        <v>101.71185320847701</v>
      </c>
      <c r="AP38" s="3457">
        <f t="shared" si="160"/>
        <v>101.4049781407373</v>
      </c>
      <c r="AQ38" s="3457"/>
      <c r="AR38" s="3457">
        <f t="shared" si="161"/>
        <v>101.71185320847701</v>
      </c>
    </row>
    <row r="39" spans="1:44" s="3184" customFormat="1" ht="12.75">
      <c r="A39" s="3175" t="s">
        <v>3376</v>
      </c>
      <c r="B39" s="3176">
        <v>2024</v>
      </c>
      <c r="C39" s="3177">
        <v>2</v>
      </c>
      <c r="D39" s="3178"/>
      <c r="E39" s="3178">
        <v>-0.31</v>
      </c>
      <c r="F39" s="3178">
        <v>-0.39</v>
      </c>
      <c r="G39" s="3178">
        <v>1.23</v>
      </c>
      <c r="H39" s="3195"/>
      <c r="I39" s="3179">
        <f t="shared" ref="I39:I52" si="174">F39</f>
        <v>-0.39</v>
      </c>
      <c r="J39" s="3180"/>
      <c r="K39" s="3181"/>
      <c r="L39" s="3171">
        <f t="shared" ref="L39:N52" si="175">E39/100</f>
        <v>-3.0999999999999999E-3</v>
      </c>
      <c r="M39" s="3171">
        <f t="shared" si="175"/>
        <v>-3.9000000000000003E-3</v>
      </c>
      <c r="N39" s="3171">
        <f t="shared" si="175"/>
        <v>1.23E-2</v>
      </c>
      <c r="O39" s="3171"/>
      <c r="P39" s="3171">
        <f t="shared" si="123"/>
        <v>-3.9000000000000003E-3</v>
      </c>
      <c r="Q39" s="3180"/>
      <c r="R39" s="3182"/>
      <c r="S39" s="3182">
        <f>ROUND(IF(项目基本情况!$B$8="出让",SUMPRODUCT(PRODUCT(1+L39:L$52)),SUMPRODUCT(PRODUCT(1+L39:L$51))),4)</f>
        <v>1.0432999999999999</v>
      </c>
      <c r="T39" s="3182">
        <f>ROUND(IF(项目基本情况!$B$8="出让",SUMPRODUCT(PRODUCT(1+M39:M$52)),SUMPRODUCT(PRODUCT(1+M39:M$51))),4)</f>
        <v>1.0298</v>
      </c>
      <c r="U39" s="3182">
        <f>ROUND(IF(项目基本情况!$B$8="出让",SUMPRODUCT(PRODUCT(1+N39:N$52)),SUMPRODUCT(PRODUCT(1+N39:N$51))),4)</f>
        <v>1.079</v>
      </c>
      <c r="V39" s="3182"/>
      <c r="W39" s="3182">
        <f t="shared" si="124"/>
        <v>1.0298</v>
      </c>
      <c r="X39" s="3180"/>
      <c r="Y39" s="3183"/>
      <c r="Z39" s="3211">
        <f t="shared" si="173"/>
        <v>3.3E-3</v>
      </c>
      <c r="AA39" s="3213">
        <f t="shared" si="173"/>
        <v>2.3999999999999998E-3</v>
      </c>
      <c r="AB39" s="3183">
        <f t="shared" si="173"/>
        <v>6.1999999999999998E-3</v>
      </c>
      <c r="AC39" s="3212"/>
      <c r="AD39" s="3183">
        <f t="shared" si="128"/>
        <v>2.3999999999999998E-3</v>
      </c>
      <c r="AG39" s="3457">
        <f t="shared" si="129"/>
        <v>104.32999999999998</v>
      </c>
      <c r="AH39" s="3457">
        <f t="shared" si="130"/>
        <v>102.98</v>
      </c>
      <c r="AI39" s="3457">
        <f t="shared" si="131"/>
        <v>107.89999999999999</v>
      </c>
      <c r="AJ39" s="3459"/>
      <c r="AK39" s="3457">
        <f t="shared" si="132"/>
        <v>102.98</v>
      </c>
      <c r="AN39" s="3457">
        <f t="shared" si="148"/>
        <v>102.79326743087979</v>
      </c>
      <c r="AO39" s="3457">
        <f t="shared" si="159"/>
        <v>102.24351950992863</v>
      </c>
      <c r="AP39" s="3457">
        <f t="shared" si="160"/>
        <v>104.40129531631555</v>
      </c>
      <c r="AQ39" s="3457"/>
      <c r="AR39" s="3457">
        <f t="shared" si="161"/>
        <v>102.24351950992863</v>
      </c>
    </row>
    <row r="40" spans="1:44" s="3184" customFormat="1" ht="12.75">
      <c r="A40" s="3175" t="s">
        <v>3373</v>
      </c>
      <c r="B40" s="3176">
        <v>2024</v>
      </c>
      <c r="C40" s="3177">
        <v>1</v>
      </c>
      <c r="D40" s="3178"/>
      <c r="E40" s="3178">
        <v>0.25</v>
      </c>
      <c r="F40" s="3178">
        <v>0.4</v>
      </c>
      <c r="G40" s="3178">
        <v>-0.63</v>
      </c>
      <c r="H40" s="3195"/>
      <c r="I40" s="3179">
        <f t="shared" ref="I40:I41" si="176">F40</f>
        <v>0.4</v>
      </c>
      <c r="J40" s="3180"/>
      <c r="K40" s="3181"/>
      <c r="L40" s="3171">
        <f t="shared" ref="L40" si="177">E40/100</f>
        <v>2.5000000000000001E-3</v>
      </c>
      <c r="M40" s="3171">
        <f t="shared" ref="M40" si="178">F40/100</f>
        <v>4.0000000000000001E-3</v>
      </c>
      <c r="N40" s="3171">
        <f t="shared" ref="N40" si="179">G40/100</f>
        <v>-6.3E-3</v>
      </c>
      <c r="O40" s="3171"/>
      <c r="P40" s="3171">
        <f t="shared" ref="P40" si="180">M40</f>
        <v>4.0000000000000001E-3</v>
      </c>
      <c r="Q40" s="3180"/>
      <c r="R40" s="3182"/>
      <c r="S40" s="3182">
        <f>ROUND(IF(项目基本情况!$B$8="出让",SUMPRODUCT(PRODUCT(1+L40:L$52)),SUMPRODUCT(PRODUCT(1+L40:L$51))),4)</f>
        <v>1.0465</v>
      </c>
      <c r="T40" s="3182">
        <f>ROUND(IF(项目基本情况!$B$8="出让",SUMPRODUCT(PRODUCT(1+M40:M$52)),SUMPRODUCT(PRODUCT(1+M40:M$51))),4)</f>
        <v>1.0338000000000001</v>
      </c>
      <c r="U40" s="3182">
        <f>ROUND(IF(项目基本情况!$B$8="出让",SUMPRODUCT(PRODUCT(1+N40:N$52)),SUMPRODUCT(PRODUCT(1+N40:N$51))),4)</f>
        <v>1.0659000000000001</v>
      </c>
      <c r="V40" s="3182"/>
      <c r="W40" s="3182">
        <f t="shared" ref="W40" si="181">T40</f>
        <v>1.0338000000000001</v>
      </c>
      <c r="X40" s="3180"/>
      <c r="Y40" s="3183"/>
      <c r="Z40" s="3211"/>
      <c r="AA40" s="3213"/>
      <c r="AB40" s="3183"/>
      <c r="AC40" s="3212"/>
      <c r="AD40" s="3183"/>
      <c r="AG40" s="3457">
        <f t="shared" si="129"/>
        <v>104.65</v>
      </c>
      <c r="AH40" s="3457">
        <f t="shared" si="130"/>
        <v>103.38000000000001</v>
      </c>
      <c r="AI40" s="3457">
        <f t="shared" si="131"/>
        <v>106.59</v>
      </c>
      <c r="AJ40" s="3459"/>
      <c r="AK40" s="3457">
        <f t="shared" si="132"/>
        <v>103.38000000000001</v>
      </c>
      <c r="AN40" s="3457">
        <f t="shared" si="148"/>
        <v>103.11291747505246</v>
      </c>
      <c r="AO40" s="3457">
        <f t="shared" si="159"/>
        <v>102.64383044867849</v>
      </c>
      <c r="AP40" s="3457">
        <f t="shared" si="160"/>
        <v>103.13276233953923</v>
      </c>
      <c r="AQ40" s="3457"/>
      <c r="AR40" s="3457">
        <f t="shared" si="161"/>
        <v>102.64383044867849</v>
      </c>
    </row>
    <row r="41" spans="1:44" s="3184" customFormat="1" ht="12.75">
      <c r="A41" s="3175" t="s">
        <v>3371</v>
      </c>
      <c r="B41" s="3176">
        <v>2023</v>
      </c>
      <c r="C41" s="3177">
        <v>4</v>
      </c>
      <c r="D41" s="3178"/>
      <c r="E41" s="3178">
        <v>7.0000000000000007E-2</v>
      </c>
      <c r="F41" s="3178">
        <v>0.09</v>
      </c>
      <c r="G41" s="3178">
        <v>0.03</v>
      </c>
      <c r="H41" s="3195"/>
      <c r="I41" s="3179">
        <f t="shared" si="176"/>
        <v>0.09</v>
      </c>
      <c r="J41" s="3180"/>
      <c r="K41" s="3181"/>
      <c r="L41" s="3171">
        <f t="shared" si="175"/>
        <v>7.000000000000001E-4</v>
      </c>
      <c r="M41" s="3171">
        <f t="shared" si="175"/>
        <v>8.9999999999999998E-4</v>
      </c>
      <c r="N41" s="3171">
        <f t="shared" si="175"/>
        <v>2.9999999999999997E-4</v>
      </c>
      <c r="O41" s="3171"/>
      <c r="P41" s="3171">
        <f t="shared" ref="P41" si="182">M41</f>
        <v>8.9999999999999998E-4</v>
      </c>
      <c r="Q41" s="3180"/>
      <c r="R41" s="3182"/>
      <c r="S41" s="3182">
        <f>ROUND(IF(项目基本情况!$B$8="出让",SUMPRODUCT(PRODUCT(1+L41:L$52)),SUMPRODUCT(PRODUCT(1+L41:L$51))),4)</f>
        <v>1.0439000000000001</v>
      </c>
      <c r="T41" s="3182">
        <f>ROUND(IF(项目基本情况!$B$8="出让",SUMPRODUCT(PRODUCT(1+M41:M$52)),SUMPRODUCT(PRODUCT(1+M41:M$51))),4)</f>
        <v>1.0297000000000001</v>
      </c>
      <c r="U41" s="3182">
        <f>ROUND(IF(项目基本情况!$B$8="出让",SUMPRODUCT(PRODUCT(1+N41:N$52)),SUMPRODUCT(PRODUCT(1+N41:N$51))),4)</f>
        <v>1.0727</v>
      </c>
      <c r="V41" s="3182"/>
      <c r="W41" s="3182">
        <f t="shared" ref="W41" si="183">T41</f>
        <v>1.0297000000000001</v>
      </c>
      <c r="X41" s="3180"/>
      <c r="Y41" s="3183"/>
      <c r="Z41" s="3211"/>
      <c r="AA41" s="3213"/>
      <c r="AB41" s="3183"/>
      <c r="AC41" s="3212"/>
      <c r="AD41" s="3183"/>
      <c r="AG41" s="3457">
        <f t="shared" si="129"/>
        <v>104.39</v>
      </c>
      <c r="AH41" s="3457">
        <f t="shared" si="130"/>
        <v>102.97</v>
      </c>
      <c r="AI41" s="3457">
        <f t="shared" si="131"/>
        <v>107.27</v>
      </c>
      <c r="AJ41" s="3459"/>
      <c r="AK41" s="3457">
        <f t="shared" si="132"/>
        <v>102.97</v>
      </c>
      <c r="AN41" s="3457">
        <f t="shared" si="148"/>
        <v>102.85577802997751</v>
      </c>
      <c r="AO41" s="3457">
        <f t="shared" si="159"/>
        <v>102.23489088513793</v>
      </c>
      <c r="AP41" s="3457">
        <f t="shared" si="160"/>
        <v>103.78661803314806</v>
      </c>
      <c r="AQ41" s="3457"/>
      <c r="AR41" s="3457">
        <f t="shared" si="161"/>
        <v>102.23489088513793</v>
      </c>
    </row>
    <row r="42" spans="1:44" s="3184" customFormat="1" ht="12.75">
      <c r="A42" s="3175" t="s">
        <v>3369</v>
      </c>
      <c r="B42" s="3176">
        <v>2023</v>
      </c>
      <c r="C42" s="3177">
        <v>3</v>
      </c>
      <c r="D42" s="3178"/>
      <c r="E42" s="3178">
        <v>0.35</v>
      </c>
      <c r="F42" s="3178">
        <v>0.17</v>
      </c>
      <c r="G42" s="3178">
        <v>0.52</v>
      </c>
      <c r="H42" s="3195"/>
      <c r="I42" s="3179">
        <f t="shared" si="174"/>
        <v>0.17</v>
      </c>
      <c r="J42" s="3180"/>
      <c r="K42" s="3181"/>
      <c r="L42" s="3171">
        <f t="shared" ref="L42:L44" si="184">E42/100</f>
        <v>3.4999999999999996E-3</v>
      </c>
      <c r="M42" s="3171">
        <f t="shared" ref="M42:M44" si="185">F42/100</f>
        <v>1.7000000000000001E-3</v>
      </c>
      <c r="N42" s="3171">
        <f t="shared" ref="N42:N44" si="186">G42/100</f>
        <v>5.1999999999999998E-3</v>
      </c>
      <c r="O42" s="3171"/>
      <c r="P42" s="3171">
        <f t="shared" ref="P42:P44" si="187">M42</f>
        <v>1.7000000000000001E-3</v>
      </c>
      <c r="Q42" s="3180"/>
      <c r="R42" s="3182"/>
      <c r="S42" s="3182">
        <f>ROUND(IF(项目基本情况!$B$8="出让",SUMPRODUCT(PRODUCT(1+L42:L$52)),SUMPRODUCT(PRODUCT(1+L42:L$51))),4)</f>
        <v>1.0431999999999999</v>
      </c>
      <c r="T42" s="3182">
        <f>ROUND(IF(项目基本情况!$B$8="出让",SUMPRODUCT(PRODUCT(1+M42:M$52)),SUMPRODUCT(PRODUCT(1+M42:M$51))),4)</f>
        <v>1.0286999999999999</v>
      </c>
      <c r="U42" s="3182">
        <f>ROUND(IF(项目基本情况!$B$8="出让",SUMPRODUCT(PRODUCT(1+N42:N$52)),SUMPRODUCT(PRODUCT(1+N42:N$51))),4)</f>
        <v>1.0723</v>
      </c>
      <c r="V42" s="3182"/>
      <c r="W42" s="3182">
        <f t="shared" ref="W42:W44" si="188">T42</f>
        <v>1.0286999999999999</v>
      </c>
      <c r="X42" s="3180"/>
      <c r="Y42" s="3183"/>
      <c r="Z42" s="3211"/>
      <c r="AA42" s="3213"/>
      <c r="AB42" s="3183"/>
      <c r="AC42" s="3212"/>
      <c r="AD42" s="3183"/>
      <c r="AG42" s="3457">
        <f t="shared" si="129"/>
        <v>104.32</v>
      </c>
      <c r="AH42" s="3457">
        <f t="shared" si="130"/>
        <v>102.86999999999999</v>
      </c>
      <c r="AI42" s="3457">
        <f t="shared" si="131"/>
        <v>107.23</v>
      </c>
      <c r="AJ42" s="3459"/>
      <c r="AK42" s="3457">
        <f t="shared" si="132"/>
        <v>102.86999999999999</v>
      </c>
      <c r="AN42" s="3457">
        <f t="shared" si="148"/>
        <v>102.78382934943292</v>
      </c>
      <c r="AO42" s="3457">
        <f t="shared" si="159"/>
        <v>102.14296221914071</v>
      </c>
      <c r="AP42" s="3457">
        <f t="shared" si="160"/>
        <v>103.75549138573234</v>
      </c>
      <c r="AQ42" s="3457"/>
      <c r="AR42" s="3457">
        <f t="shared" si="161"/>
        <v>102.14296221914071</v>
      </c>
    </row>
    <row r="43" spans="1:44" s="3184" customFormat="1" ht="12.75">
      <c r="A43" s="3175" t="s">
        <v>3368</v>
      </c>
      <c r="B43" s="3176">
        <v>2023</v>
      </c>
      <c r="C43" s="3177">
        <v>2</v>
      </c>
      <c r="D43" s="3178"/>
      <c r="E43" s="3178">
        <v>0.5</v>
      </c>
      <c r="F43" s="3178">
        <v>0.45</v>
      </c>
      <c r="G43" s="3178">
        <v>0.89</v>
      </c>
      <c r="H43" s="3195"/>
      <c r="I43" s="3179">
        <f t="shared" si="174"/>
        <v>0.45</v>
      </c>
      <c r="J43" s="3180"/>
      <c r="K43" s="3181"/>
      <c r="L43" s="3171">
        <f t="shared" si="184"/>
        <v>5.0000000000000001E-3</v>
      </c>
      <c r="M43" s="3171">
        <f t="shared" si="185"/>
        <v>4.5000000000000005E-3</v>
      </c>
      <c r="N43" s="3171">
        <f t="shared" si="186"/>
        <v>8.8999999999999999E-3</v>
      </c>
      <c r="O43" s="3171"/>
      <c r="P43" s="3171">
        <f t="shared" si="187"/>
        <v>4.5000000000000005E-3</v>
      </c>
      <c r="Q43" s="3180"/>
      <c r="R43" s="3182"/>
      <c r="S43" s="3182">
        <f>ROUND(IF(项目基本情况!$B$8="出让",SUMPRODUCT(PRODUCT(1+L43:L$52)),SUMPRODUCT(PRODUCT(1+L43:L$51))),4)</f>
        <v>1.0396000000000001</v>
      </c>
      <c r="T43" s="3182">
        <f>ROUND(IF(项目基本情况!$B$8="出让",SUMPRODUCT(PRODUCT(1+M43:M$52)),SUMPRODUCT(PRODUCT(1+M43:M$51))),4)</f>
        <v>1.0269999999999999</v>
      </c>
      <c r="U43" s="3182">
        <f>ROUND(IF(项目基本情况!$B$8="出让",SUMPRODUCT(PRODUCT(1+N43:N$52)),SUMPRODUCT(PRODUCT(1+N43:N$51))),4)</f>
        <v>1.0668</v>
      </c>
      <c r="V43" s="3182"/>
      <c r="W43" s="3182">
        <f t="shared" si="188"/>
        <v>1.0269999999999999</v>
      </c>
      <c r="X43" s="3180"/>
      <c r="Y43" s="3183"/>
      <c r="Z43" s="3211"/>
      <c r="AA43" s="3213"/>
      <c r="AB43" s="3183"/>
      <c r="AC43" s="3212"/>
      <c r="AD43" s="3183"/>
      <c r="AG43" s="3457">
        <f t="shared" si="129"/>
        <v>103.96000000000001</v>
      </c>
      <c r="AH43" s="3457">
        <f t="shared" si="130"/>
        <v>102.69999999999999</v>
      </c>
      <c r="AI43" s="3457">
        <f t="shared" si="131"/>
        <v>106.67999999999999</v>
      </c>
      <c r="AJ43" s="3459"/>
      <c r="AK43" s="3457">
        <f t="shared" si="132"/>
        <v>102.69999999999999</v>
      </c>
      <c r="AN43" s="3457">
        <f t="shared" si="148"/>
        <v>102.42534065713295</v>
      </c>
      <c r="AO43" s="3457">
        <f t="shared" si="159"/>
        <v>101.96961387555227</v>
      </c>
      <c r="AP43" s="3457">
        <f t="shared" si="160"/>
        <v>103.21875386563104</v>
      </c>
      <c r="AQ43" s="3457"/>
      <c r="AR43" s="3457">
        <f t="shared" si="161"/>
        <v>101.96961387555227</v>
      </c>
    </row>
    <row r="44" spans="1:44" s="3184" customFormat="1" ht="12.75">
      <c r="A44" s="3175" t="s">
        <v>3366</v>
      </c>
      <c r="B44" s="3176">
        <v>2023</v>
      </c>
      <c r="C44" s="3177">
        <v>1</v>
      </c>
      <c r="D44" s="3178"/>
      <c r="E44" s="3178">
        <v>0.55000000000000004</v>
      </c>
      <c r="F44" s="3178">
        <v>0.59</v>
      </c>
      <c r="G44" s="3178">
        <v>0.64</v>
      </c>
      <c r="H44" s="3195"/>
      <c r="I44" s="3179">
        <f t="shared" si="174"/>
        <v>0.59</v>
      </c>
      <c r="J44" s="3180"/>
      <c r="K44" s="3181"/>
      <c r="L44" s="3171">
        <f t="shared" si="184"/>
        <v>5.5000000000000005E-3</v>
      </c>
      <c r="M44" s="3171">
        <f t="shared" si="185"/>
        <v>5.8999999999999999E-3</v>
      </c>
      <c r="N44" s="3171">
        <f t="shared" si="186"/>
        <v>6.4000000000000003E-3</v>
      </c>
      <c r="O44" s="3171"/>
      <c r="P44" s="3171">
        <f t="shared" si="187"/>
        <v>5.8999999999999999E-3</v>
      </c>
      <c r="Q44" s="3180"/>
      <c r="R44" s="3182"/>
      <c r="S44" s="3182">
        <f>ROUND(IF(项目基本情况!$B$8="出让",SUMPRODUCT(PRODUCT(1+L44:L$52)),SUMPRODUCT(PRODUCT(1+L44:L$51))),4)</f>
        <v>1.0344</v>
      </c>
      <c r="T44" s="3182">
        <f>ROUND(IF(项目基本情况!$B$8="出让",SUMPRODUCT(PRODUCT(1+M44:M$52)),SUMPRODUCT(PRODUCT(1+M44:M$51))),4)</f>
        <v>1.0224</v>
      </c>
      <c r="U44" s="3182">
        <f>ROUND(IF(项目基本情况!$B$8="出让",SUMPRODUCT(PRODUCT(1+N44:N$52)),SUMPRODUCT(PRODUCT(1+N44:N$51))),4)</f>
        <v>1.0573999999999999</v>
      </c>
      <c r="V44" s="3182"/>
      <c r="W44" s="3182">
        <f t="shared" si="188"/>
        <v>1.0224</v>
      </c>
      <c r="X44" s="3180"/>
      <c r="Y44" s="3183"/>
      <c r="Z44" s="3211"/>
      <c r="AA44" s="3213"/>
      <c r="AB44" s="3183"/>
      <c r="AC44" s="3212"/>
      <c r="AD44" s="3183"/>
      <c r="AG44" s="3457">
        <f t="shared" si="129"/>
        <v>103.44</v>
      </c>
      <c r="AH44" s="3457">
        <f t="shared" si="130"/>
        <v>102.24</v>
      </c>
      <c r="AI44" s="3457">
        <f t="shared" si="131"/>
        <v>105.74</v>
      </c>
      <c r="AJ44" s="3459"/>
      <c r="AK44" s="3457">
        <f t="shared" si="132"/>
        <v>102.24</v>
      </c>
      <c r="AN44" s="3457">
        <f t="shared" si="148"/>
        <v>101.91576184789349</v>
      </c>
      <c r="AO44" s="3457">
        <f t="shared" si="159"/>
        <v>101.5128062474388</v>
      </c>
      <c r="AP44" s="3457">
        <f t="shared" si="160"/>
        <v>102.30821078960358</v>
      </c>
      <c r="AQ44" s="3457"/>
      <c r="AR44" s="3457">
        <f t="shared" si="161"/>
        <v>101.5128062474388</v>
      </c>
    </row>
    <row r="45" spans="1:44" s="3184" customFormat="1" ht="12.75">
      <c r="A45" s="3175" t="s">
        <v>3365</v>
      </c>
      <c r="B45" s="3176">
        <v>2022</v>
      </c>
      <c r="C45" s="3177">
        <v>4</v>
      </c>
      <c r="D45" s="3178"/>
      <c r="E45" s="3178">
        <v>0.45</v>
      </c>
      <c r="F45" s="3178">
        <v>0.2</v>
      </c>
      <c r="G45" s="3178">
        <v>0.38</v>
      </c>
      <c r="H45" s="3195"/>
      <c r="I45" s="3179">
        <f t="shared" si="174"/>
        <v>0.2</v>
      </c>
      <c r="J45" s="3180"/>
      <c r="K45" s="3181"/>
      <c r="L45" s="3171">
        <f t="shared" si="175"/>
        <v>4.5000000000000005E-3</v>
      </c>
      <c r="M45" s="3171">
        <f t="shared" si="175"/>
        <v>2E-3</v>
      </c>
      <c r="N45" s="3171">
        <f t="shared" si="175"/>
        <v>3.8E-3</v>
      </c>
      <c r="O45" s="3171"/>
      <c r="P45" s="3171">
        <f t="shared" ref="P45:P52" si="189">M45</f>
        <v>2E-3</v>
      </c>
      <c r="Q45" s="3180"/>
      <c r="R45" s="3182"/>
      <c r="S45" s="3182">
        <f>ROUND(IF(项目基本情况!$B$8="出让",SUMPRODUCT(PRODUCT(1+L45:L$52)),SUMPRODUCT(PRODUCT(1+L45:L$51))),4)</f>
        <v>1.0286999999999999</v>
      </c>
      <c r="T45" s="3182">
        <f>ROUND(IF(项目基本情况!$B$8="出让",SUMPRODUCT(PRODUCT(1+M45:M$52)),SUMPRODUCT(PRODUCT(1+M45:M$51))),4)</f>
        <v>1.0164</v>
      </c>
      <c r="U45" s="3182">
        <f>ROUND(IF(项目基本情况!$B$8="出让",SUMPRODUCT(PRODUCT(1+N45:N$52)),SUMPRODUCT(PRODUCT(1+N45:N$51))),4)</f>
        <v>1.0506</v>
      </c>
      <c r="V45" s="3182"/>
      <c r="W45" s="3182">
        <f t="shared" ref="W45:W52" si="190">T45</f>
        <v>1.0164</v>
      </c>
      <c r="X45" s="3180"/>
      <c r="Y45" s="3183"/>
      <c r="Z45" s="3211">
        <f t="shared" ref="Z45:AD52" si="191">IF(E45=0,0,ROUND(AVERAGE(E45:E53)/100,4))</f>
        <v>4.0000000000000001E-3</v>
      </c>
      <c r="AA45" s="3213">
        <f t="shared" si="191"/>
        <v>2.5999999999999999E-3</v>
      </c>
      <c r="AB45" s="3183">
        <f t="shared" si="191"/>
        <v>7.4000000000000003E-3</v>
      </c>
      <c r="AC45" s="3212"/>
      <c r="AD45" s="3183">
        <f t="shared" si="191"/>
        <v>2.5999999999999999E-3</v>
      </c>
      <c r="AG45" s="3457">
        <f t="shared" si="129"/>
        <v>102.86999999999999</v>
      </c>
      <c r="AH45" s="3457">
        <f t="shared" si="130"/>
        <v>101.64</v>
      </c>
      <c r="AI45" s="3457">
        <f t="shared" si="131"/>
        <v>105.06</v>
      </c>
      <c r="AJ45" s="3459"/>
      <c r="AK45" s="3457">
        <f t="shared" si="132"/>
        <v>101.64</v>
      </c>
      <c r="AN45" s="3457">
        <f t="shared" si="148"/>
        <v>101.35829124604027</v>
      </c>
      <c r="AO45" s="3457">
        <f t="shared" si="159"/>
        <v>100.91739362505101</v>
      </c>
      <c r="AP45" s="3457">
        <f t="shared" si="160"/>
        <v>101.6576021359336</v>
      </c>
      <c r="AQ45" s="3457"/>
      <c r="AR45" s="3457">
        <f t="shared" si="161"/>
        <v>100.91739362505101</v>
      </c>
    </row>
    <row r="46" spans="1:44" s="3184" customFormat="1" ht="12.75">
      <c r="A46" s="3175" t="s">
        <v>3364</v>
      </c>
      <c r="B46" s="3176">
        <v>2022</v>
      </c>
      <c r="C46" s="3177">
        <v>3</v>
      </c>
      <c r="D46" s="3178"/>
      <c r="E46" s="3178">
        <v>0.3</v>
      </c>
      <c r="F46" s="3178">
        <v>0.28999999999999998</v>
      </c>
      <c r="G46" s="3178">
        <v>0.83</v>
      </c>
      <c r="H46" s="3195"/>
      <c r="I46" s="3179">
        <f t="shared" si="174"/>
        <v>0.28999999999999998</v>
      </c>
      <c r="J46" s="3180"/>
      <c r="K46" s="3181"/>
      <c r="L46" s="3171">
        <f t="shared" si="175"/>
        <v>3.0000000000000001E-3</v>
      </c>
      <c r="M46" s="3171">
        <f t="shared" si="175"/>
        <v>2.8999999999999998E-3</v>
      </c>
      <c r="N46" s="3171">
        <f t="shared" si="175"/>
        <v>8.3000000000000001E-3</v>
      </c>
      <c r="O46" s="3171"/>
      <c r="P46" s="3171">
        <f t="shared" si="189"/>
        <v>2.8999999999999998E-3</v>
      </c>
      <c r="Q46" s="3180"/>
      <c r="R46" s="3182"/>
      <c r="S46" s="3182">
        <f>ROUND(IF(项目基本情况!$B$8="出让",SUMPRODUCT(PRODUCT(1+L46:L$52)),SUMPRODUCT(PRODUCT(1+L46:L$51))),4)</f>
        <v>1.0241</v>
      </c>
      <c r="T46" s="3182">
        <f>ROUND(IF(项目基本情况!$B$8="出让",SUMPRODUCT(PRODUCT(1+M46:M$52)),SUMPRODUCT(PRODUCT(1+M46:M$51))),4)</f>
        <v>1.0144</v>
      </c>
      <c r="U46" s="3182">
        <f>ROUND(IF(项目基本情况!$B$8="出让",SUMPRODUCT(PRODUCT(1+N46:N$52)),SUMPRODUCT(PRODUCT(1+N46:N$51))),4)</f>
        <v>1.0467</v>
      </c>
      <c r="V46" s="3182"/>
      <c r="W46" s="3182">
        <f t="shared" si="190"/>
        <v>1.0144</v>
      </c>
      <c r="X46" s="3180"/>
      <c r="Y46" s="3183"/>
      <c r="Z46" s="3211">
        <f t="shared" si="191"/>
        <v>3.8999999999999998E-3</v>
      </c>
      <c r="AA46" s="3213">
        <f t="shared" si="191"/>
        <v>2.7000000000000001E-3</v>
      </c>
      <c r="AB46" s="3183">
        <f t="shared" si="191"/>
        <v>7.9000000000000008E-3</v>
      </c>
      <c r="AC46" s="3212"/>
      <c r="AD46" s="3183">
        <f t="shared" si="191"/>
        <v>2.7000000000000001E-3</v>
      </c>
      <c r="AG46" s="3457">
        <f t="shared" si="129"/>
        <v>102.41</v>
      </c>
      <c r="AH46" s="3457">
        <f t="shared" si="130"/>
        <v>101.44</v>
      </c>
      <c r="AI46" s="3457">
        <f t="shared" si="131"/>
        <v>104.67</v>
      </c>
      <c r="AJ46" s="3459"/>
      <c r="AK46" s="3457">
        <f t="shared" si="132"/>
        <v>101.44</v>
      </c>
      <c r="AN46" s="3457">
        <f t="shared" si="148"/>
        <v>100.90422224593357</v>
      </c>
      <c r="AO46" s="3457">
        <f t="shared" si="159"/>
        <v>100.71596170164771</v>
      </c>
      <c r="AP46" s="3457">
        <f t="shared" si="160"/>
        <v>101.2727656265527</v>
      </c>
      <c r="AQ46" s="3457"/>
      <c r="AR46" s="3457">
        <f t="shared" si="161"/>
        <v>100.71596170164771</v>
      </c>
    </row>
    <row r="47" spans="1:44" s="3184" customFormat="1" ht="12.75">
      <c r="A47" s="3175" t="s">
        <v>3354</v>
      </c>
      <c r="B47" s="3176">
        <v>2022</v>
      </c>
      <c r="C47" s="3177">
        <v>2</v>
      </c>
      <c r="D47" s="3178"/>
      <c r="E47" s="3178">
        <v>-0.11</v>
      </c>
      <c r="F47" s="3178">
        <v>-0.13</v>
      </c>
      <c r="G47" s="3178">
        <v>0.53</v>
      </c>
      <c r="H47" s="3195"/>
      <c r="I47" s="3179">
        <f t="shared" si="174"/>
        <v>-0.13</v>
      </c>
      <c r="J47" s="3180"/>
      <c r="K47" s="3181"/>
      <c r="L47" s="3171">
        <f t="shared" si="175"/>
        <v>-1.1000000000000001E-3</v>
      </c>
      <c r="M47" s="3171">
        <f t="shared" si="175"/>
        <v>-1.2999999999999999E-3</v>
      </c>
      <c r="N47" s="3171">
        <f t="shared" si="175"/>
        <v>5.3E-3</v>
      </c>
      <c r="O47" s="3171"/>
      <c r="P47" s="3171">
        <f t="shared" si="189"/>
        <v>-1.2999999999999999E-3</v>
      </c>
      <c r="Q47" s="3180"/>
      <c r="R47" s="3182"/>
      <c r="S47" s="3182">
        <f>ROUND(IF(项目基本情况!$B$8="出让",SUMPRODUCT(PRODUCT(1+L47:L$52)),SUMPRODUCT(PRODUCT(1+L47:L$51))),4)</f>
        <v>1.0210999999999999</v>
      </c>
      <c r="T47" s="3182">
        <f>ROUND(IF(项目基本情况!$B$8="出让",SUMPRODUCT(PRODUCT(1+M47:M$52)),SUMPRODUCT(PRODUCT(1+M47:M$51))),4)</f>
        <v>1.0114000000000001</v>
      </c>
      <c r="U47" s="3182">
        <f>ROUND(IF(项目基本情况!$B$8="出让",SUMPRODUCT(PRODUCT(1+N47:N$52)),SUMPRODUCT(PRODUCT(1+N47:N$51))),4)</f>
        <v>1.0381</v>
      </c>
      <c r="V47" s="3182"/>
      <c r="W47" s="3182">
        <f t="shared" si="190"/>
        <v>1.0114000000000001</v>
      </c>
      <c r="X47" s="3180"/>
      <c r="Y47" s="3183"/>
      <c r="Z47" s="3211">
        <f t="shared" si="191"/>
        <v>4.1000000000000003E-3</v>
      </c>
      <c r="AA47" s="3213">
        <f t="shared" si="191"/>
        <v>2.7000000000000001E-3</v>
      </c>
      <c r="AB47" s="3183">
        <f t="shared" si="191"/>
        <v>7.9000000000000008E-3</v>
      </c>
      <c r="AC47" s="3212"/>
      <c r="AD47" s="3183">
        <f t="shared" si="191"/>
        <v>2.7000000000000001E-3</v>
      </c>
      <c r="AG47" s="3457">
        <f t="shared" si="129"/>
        <v>102.10999999999999</v>
      </c>
      <c r="AH47" s="3457">
        <f t="shared" si="130"/>
        <v>101.14000000000001</v>
      </c>
      <c r="AI47" s="3457">
        <f t="shared" si="131"/>
        <v>103.81</v>
      </c>
      <c r="AJ47" s="3459"/>
      <c r="AK47" s="3457">
        <f t="shared" si="132"/>
        <v>101.14000000000001</v>
      </c>
      <c r="AN47" s="3457">
        <f t="shared" si="148"/>
        <v>100.60241500093079</v>
      </c>
      <c r="AO47" s="3457">
        <f t="shared" si="159"/>
        <v>100.42472998469212</v>
      </c>
      <c r="AP47" s="3457">
        <f t="shared" si="160"/>
        <v>100.43912092289268</v>
      </c>
      <c r="AQ47" s="3457"/>
      <c r="AR47" s="3457">
        <f t="shared" si="161"/>
        <v>100.42472998469212</v>
      </c>
    </row>
    <row r="48" spans="1:44" s="3184" customFormat="1" ht="12.75">
      <c r="A48" s="3175" t="s">
        <v>2835</v>
      </c>
      <c r="B48" s="3176">
        <v>2022</v>
      </c>
      <c r="C48" s="3177">
        <v>1</v>
      </c>
      <c r="D48" s="3178"/>
      <c r="E48" s="3178">
        <v>0.6</v>
      </c>
      <c r="F48" s="3178">
        <v>0.45</v>
      </c>
      <c r="G48" s="3178">
        <v>0.53</v>
      </c>
      <c r="H48" s="3195"/>
      <c r="I48" s="3179">
        <f t="shared" si="174"/>
        <v>0.45</v>
      </c>
      <c r="J48" s="3180"/>
      <c r="K48" s="3181"/>
      <c r="L48" s="3171">
        <f t="shared" si="175"/>
        <v>6.0000000000000001E-3</v>
      </c>
      <c r="M48" s="3171">
        <f t="shared" si="175"/>
        <v>4.5000000000000005E-3</v>
      </c>
      <c r="N48" s="3171">
        <f t="shared" si="175"/>
        <v>5.3E-3</v>
      </c>
      <c r="O48" s="3171"/>
      <c r="P48" s="3171">
        <f t="shared" si="189"/>
        <v>4.5000000000000005E-3</v>
      </c>
      <c r="Q48" s="3180"/>
      <c r="R48" s="3182"/>
      <c r="S48" s="3182">
        <f>ROUND(IF(项目基本情况!$B$8="出让",SUMPRODUCT(PRODUCT(1+L48:L$52)),SUMPRODUCT(PRODUCT(1+L48:L$51))),4)</f>
        <v>1.0222</v>
      </c>
      <c r="T48" s="3182">
        <f>ROUND(IF(项目基本情况!$B$8="出让",SUMPRODUCT(PRODUCT(1+M48:M$52)),SUMPRODUCT(PRODUCT(1+M48:M$51))),4)</f>
        <v>1.0127999999999999</v>
      </c>
      <c r="U48" s="3182">
        <f>ROUND(IF(项目基本情况!$B$8="出让",SUMPRODUCT(PRODUCT(1+N48:N$52)),SUMPRODUCT(PRODUCT(1+N48:N$51))),4)</f>
        <v>1.0326</v>
      </c>
      <c r="V48" s="3182"/>
      <c r="W48" s="3182">
        <f t="shared" si="190"/>
        <v>1.0127999999999999</v>
      </c>
      <c r="X48" s="3180"/>
      <c r="Y48" s="3183"/>
      <c r="Z48" s="3211">
        <f t="shared" si="191"/>
        <v>5.1000000000000004E-3</v>
      </c>
      <c r="AA48" s="3213">
        <f t="shared" si="191"/>
        <v>3.5000000000000001E-3</v>
      </c>
      <c r="AB48" s="3183">
        <f t="shared" si="191"/>
        <v>8.3999999999999995E-3</v>
      </c>
      <c r="AC48" s="3212"/>
      <c r="AD48" s="3183">
        <f t="shared" si="191"/>
        <v>3.5000000000000001E-3</v>
      </c>
      <c r="AG48" s="3457">
        <f t="shared" si="129"/>
        <v>102.22</v>
      </c>
      <c r="AH48" s="3457">
        <f t="shared" si="130"/>
        <v>101.27999999999999</v>
      </c>
      <c r="AI48" s="3457">
        <f t="shared" si="131"/>
        <v>103.25999999999999</v>
      </c>
      <c r="AJ48" s="3459"/>
      <c r="AK48" s="3457">
        <f t="shared" si="132"/>
        <v>101.27999999999999</v>
      </c>
      <c r="AN48" s="3457">
        <f t="shared" si="148"/>
        <v>100.71319952040324</v>
      </c>
      <c r="AO48" s="3457">
        <f t="shared" si="159"/>
        <v>100.55545207238622</v>
      </c>
      <c r="AP48" s="3457">
        <f t="shared" si="160"/>
        <v>99.90960004266654</v>
      </c>
      <c r="AQ48" s="3457"/>
      <c r="AR48" s="3457">
        <f t="shared" si="161"/>
        <v>100.55545207238622</v>
      </c>
    </row>
    <row r="49" spans="1:44" s="3184" customFormat="1" ht="12.75">
      <c r="A49" s="3175" t="s">
        <v>2836</v>
      </c>
      <c r="B49" s="3176">
        <v>2021</v>
      </c>
      <c r="C49" s="3177">
        <v>4</v>
      </c>
      <c r="D49" s="3178"/>
      <c r="E49" s="3178">
        <v>0.57999999999999996</v>
      </c>
      <c r="F49" s="3178">
        <v>0.08</v>
      </c>
      <c r="G49" s="3178">
        <v>0.68</v>
      </c>
      <c r="H49" s="3195"/>
      <c r="I49" s="3179">
        <f t="shared" si="174"/>
        <v>0.08</v>
      </c>
      <c r="J49" s="3180"/>
      <c r="K49" s="3181"/>
      <c r="L49" s="3171">
        <f t="shared" si="175"/>
        <v>5.7999999999999996E-3</v>
      </c>
      <c r="M49" s="3171">
        <f t="shared" si="175"/>
        <v>8.0000000000000004E-4</v>
      </c>
      <c r="N49" s="3171">
        <f t="shared" si="175"/>
        <v>6.8000000000000005E-3</v>
      </c>
      <c r="O49" s="3171"/>
      <c r="P49" s="3171">
        <f t="shared" si="189"/>
        <v>8.0000000000000004E-4</v>
      </c>
      <c r="Q49" s="3180"/>
      <c r="R49" s="3182"/>
      <c r="S49" s="3182">
        <f>ROUND(IF(项目基本情况!$B$8="出让",SUMPRODUCT(PRODUCT(1+L49:L$52)),SUMPRODUCT(PRODUCT(1+L49:L$51))),4)</f>
        <v>1.0161</v>
      </c>
      <c r="T49" s="3182">
        <f>ROUND(IF(项目基本情况!$B$8="出让",SUMPRODUCT(PRODUCT(1+M49:M$52)),SUMPRODUCT(PRODUCT(1+M49:M$51))),4)</f>
        <v>1.0082</v>
      </c>
      <c r="U49" s="3182">
        <f>ROUND(IF(项目基本情况!$B$8="出让",SUMPRODUCT(PRODUCT(1+N49:N$52)),SUMPRODUCT(PRODUCT(1+N49:N$51))),4)</f>
        <v>1.0270999999999999</v>
      </c>
      <c r="V49" s="3182"/>
      <c r="W49" s="3182">
        <f t="shared" si="190"/>
        <v>1.0082</v>
      </c>
      <c r="X49" s="3180"/>
      <c r="Y49" s="3183"/>
      <c r="Z49" s="3211">
        <f t="shared" si="191"/>
        <v>4.8999999999999998E-3</v>
      </c>
      <c r="AA49" s="3213">
        <f t="shared" si="191"/>
        <v>3.3E-3</v>
      </c>
      <c r="AB49" s="3183">
        <f t="shared" si="191"/>
        <v>9.1999999999999998E-3</v>
      </c>
      <c r="AC49" s="3212"/>
      <c r="AD49" s="3183">
        <f t="shared" si="191"/>
        <v>3.3E-3</v>
      </c>
      <c r="AG49" s="3457">
        <f t="shared" si="129"/>
        <v>101.61</v>
      </c>
      <c r="AH49" s="3457">
        <f t="shared" si="130"/>
        <v>100.82</v>
      </c>
      <c r="AI49" s="3457">
        <f t="shared" si="131"/>
        <v>102.71</v>
      </c>
      <c r="AJ49" s="3459"/>
      <c r="AK49" s="3457">
        <f t="shared" si="132"/>
        <v>100.82</v>
      </c>
      <c r="AN49" s="3457">
        <f t="shared" si="148"/>
        <v>100.11252437415828</v>
      </c>
      <c r="AO49" s="3457">
        <f t="shared" si="159"/>
        <v>100.10497966389867</v>
      </c>
      <c r="AP49" s="3457">
        <f t="shared" si="160"/>
        <v>99.382870827281934</v>
      </c>
      <c r="AQ49" s="3457"/>
      <c r="AR49" s="3457">
        <f t="shared" si="161"/>
        <v>100.10497966389867</v>
      </c>
    </row>
    <row r="50" spans="1:44" s="3184" customFormat="1" ht="12.75">
      <c r="A50" s="3175" t="s">
        <v>2837</v>
      </c>
      <c r="B50" s="3176">
        <v>2021</v>
      </c>
      <c r="C50" s="3177">
        <v>3</v>
      </c>
      <c r="D50" s="3178"/>
      <c r="E50" s="3178">
        <v>0.47</v>
      </c>
      <c r="F50" s="3178">
        <v>0.28000000000000003</v>
      </c>
      <c r="G50" s="3178">
        <v>0.91</v>
      </c>
      <c r="H50" s="3195"/>
      <c r="I50" s="3179">
        <f t="shared" si="174"/>
        <v>0.28000000000000003</v>
      </c>
      <c r="J50" s="3180"/>
      <c r="K50" s="3181"/>
      <c r="L50" s="3171">
        <f t="shared" si="175"/>
        <v>4.6999999999999993E-3</v>
      </c>
      <c r="M50" s="3171">
        <f t="shared" si="175"/>
        <v>2.8000000000000004E-3</v>
      </c>
      <c r="N50" s="3171">
        <f t="shared" si="175"/>
        <v>9.1000000000000004E-3</v>
      </c>
      <c r="O50" s="3171"/>
      <c r="P50" s="3171">
        <f t="shared" si="189"/>
        <v>2.8000000000000004E-3</v>
      </c>
      <c r="Q50" s="3180"/>
      <c r="R50" s="3182"/>
      <c r="S50" s="3182">
        <f>ROUND(IF(项目基本情况!$B$8="出让",SUMPRODUCT(PRODUCT(1+L50:L$52)),SUMPRODUCT(PRODUCT(1+L50:L$51))),4)</f>
        <v>1.0102</v>
      </c>
      <c r="T50" s="3182">
        <f>ROUND(IF(项目基本情况!$B$8="出让",SUMPRODUCT(PRODUCT(1+M50:M$52)),SUMPRODUCT(PRODUCT(1+M50:M$51))),4)</f>
        <v>1.0074000000000001</v>
      </c>
      <c r="U50" s="3182">
        <f>ROUND(IF(项目基本情况!$B$8="出让",SUMPRODUCT(PRODUCT(1+N50:N$52)),SUMPRODUCT(PRODUCT(1+N50:N$51))),4)</f>
        <v>1.0202</v>
      </c>
      <c r="V50" s="3182"/>
      <c r="W50" s="3182">
        <f t="shared" si="190"/>
        <v>1.0074000000000001</v>
      </c>
      <c r="X50" s="3180"/>
      <c r="Y50" s="3183"/>
      <c r="Z50" s="3211">
        <f t="shared" si="191"/>
        <v>4.5999999999999999E-3</v>
      </c>
      <c r="AA50" s="3213">
        <f t="shared" si="191"/>
        <v>4.1000000000000003E-3</v>
      </c>
      <c r="AB50" s="3183">
        <f t="shared" si="191"/>
        <v>0.01</v>
      </c>
      <c r="AC50" s="3212"/>
      <c r="AD50" s="3183">
        <f t="shared" si="191"/>
        <v>4.1000000000000003E-3</v>
      </c>
      <c r="AG50" s="3457">
        <f t="shared" si="129"/>
        <v>101.02</v>
      </c>
      <c r="AH50" s="3457">
        <f t="shared" si="130"/>
        <v>100.74000000000001</v>
      </c>
      <c r="AI50" s="3457">
        <f t="shared" si="131"/>
        <v>102.02</v>
      </c>
      <c r="AJ50" s="3459"/>
      <c r="AK50" s="3457">
        <f t="shared" si="132"/>
        <v>100.74000000000001</v>
      </c>
      <c r="AN50" s="3457">
        <f t="shared" si="148"/>
        <v>99.535220097592244</v>
      </c>
      <c r="AO50" s="3457">
        <f t="shared" si="159"/>
        <v>100.02495969614176</v>
      </c>
      <c r="AP50" s="3457">
        <f t="shared" si="160"/>
        <v>98.711631731507694</v>
      </c>
      <c r="AQ50" s="3457"/>
      <c r="AR50" s="3457">
        <f t="shared" si="161"/>
        <v>100.02495969614176</v>
      </c>
    </row>
    <row r="51" spans="1:44" s="3184" customFormat="1" ht="12.75">
      <c r="A51" s="3175" t="s">
        <v>2838</v>
      </c>
      <c r="B51" s="3176">
        <v>2021</v>
      </c>
      <c r="C51" s="3177">
        <v>2</v>
      </c>
      <c r="D51" s="3178"/>
      <c r="E51" s="3178">
        <v>0.55000000000000004</v>
      </c>
      <c r="F51" s="3178">
        <v>0.46</v>
      </c>
      <c r="G51" s="3178">
        <v>1.1000000000000001</v>
      </c>
      <c r="H51" s="3195"/>
      <c r="I51" s="3179">
        <f t="shared" si="174"/>
        <v>0.46</v>
      </c>
      <c r="J51" s="3180"/>
      <c r="K51" s="3181"/>
      <c r="L51" s="3171">
        <f t="shared" si="175"/>
        <v>5.5000000000000005E-3</v>
      </c>
      <c r="M51" s="3171">
        <f t="shared" si="175"/>
        <v>4.5999999999999999E-3</v>
      </c>
      <c r="N51" s="3171">
        <f t="shared" si="175"/>
        <v>1.1000000000000001E-2</v>
      </c>
      <c r="O51" s="3171"/>
      <c r="P51" s="3171">
        <f t="shared" si="189"/>
        <v>4.5999999999999999E-3</v>
      </c>
      <c r="Q51" s="3180"/>
      <c r="R51" s="3182"/>
      <c r="S51" s="3182">
        <f>ROUND(IF(项目基本情况!$B$8="出让",SUMPRODUCT(PRODUCT(1+L51:L$52)),SUMPRODUCT(PRODUCT(1+L51:L$51))),4)</f>
        <v>1.0055000000000001</v>
      </c>
      <c r="T51" s="3182">
        <f>ROUND(IF(项目基本情况!$B$8="出让",SUMPRODUCT(PRODUCT(1+M51:M$52)),SUMPRODUCT(PRODUCT(1+M51:M$51))),4)</f>
        <v>1.0045999999999999</v>
      </c>
      <c r="U51" s="3182">
        <f>ROUND(IF(项目基本情况!$B$8="出让",SUMPRODUCT(PRODUCT(1+N51:N$52)),SUMPRODUCT(PRODUCT(1+N51:N$51))),4)</f>
        <v>1.0109999999999999</v>
      </c>
      <c r="V51" s="3182"/>
      <c r="W51" s="3182">
        <f t="shared" si="190"/>
        <v>1.0045999999999999</v>
      </c>
      <c r="X51" s="3180"/>
      <c r="Y51" s="3183"/>
      <c r="Z51" s="3211">
        <f t="shared" si="191"/>
        <v>4.4999999999999997E-3</v>
      </c>
      <c r="AA51" s="3213">
        <f t="shared" si="191"/>
        <v>4.7000000000000002E-3</v>
      </c>
      <c r="AB51" s="3183">
        <f t="shared" si="191"/>
        <v>1.04E-2</v>
      </c>
      <c r="AC51" s="3212"/>
      <c r="AD51" s="3183">
        <f t="shared" si="191"/>
        <v>4.7000000000000002E-3</v>
      </c>
      <c r="AG51" s="3457">
        <f>$AG$52*S51</f>
        <v>100.55000000000001</v>
      </c>
      <c r="AH51" s="3457">
        <f t="shared" ref="AH51:AK51" si="192">$AG$52*T51</f>
        <v>100.46</v>
      </c>
      <c r="AI51" s="3457">
        <f t="shared" si="192"/>
        <v>101.1</v>
      </c>
      <c r="AJ51" s="3459"/>
      <c r="AK51" s="3457">
        <f t="shared" si="192"/>
        <v>100.46</v>
      </c>
      <c r="AN51" s="3457">
        <f t="shared" si="148"/>
        <v>99.069593010443171</v>
      </c>
      <c r="AO51" s="3457">
        <f t="shared" si="159"/>
        <v>99.745671815059609</v>
      </c>
      <c r="AP51" s="3457">
        <f t="shared" si="160"/>
        <v>97.821456477561867</v>
      </c>
      <c r="AQ51" s="3457"/>
      <c r="AR51" s="3457">
        <f t="shared" si="161"/>
        <v>99.745671815059609</v>
      </c>
    </row>
    <row r="52" spans="1:44" s="3206" customFormat="1" ht="14.25" thickBot="1">
      <c r="A52" s="3196" t="s">
        <v>2824</v>
      </c>
      <c r="B52" s="3197">
        <v>2021</v>
      </c>
      <c r="C52" s="3198">
        <v>1</v>
      </c>
      <c r="D52" s="3199"/>
      <c r="E52" s="3199">
        <v>0.35</v>
      </c>
      <c r="F52" s="3199">
        <v>0.48</v>
      </c>
      <c r="G52" s="3199">
        <v>0.98</v>
      </c>
      <c r="H52" s="3200"/>
      <c r="I52" s="3201">
        <f t="shared" si="174"/>
        <v>0.48</v>
      </c>
      <c r="J52" s="3202"/>
      <c r="K52" s="3203"/>
      <c r="L52" s="3204">
        <f t="shared" si="175"/>
        <v>3.4999999999999996E-3</v>
      </c>
      <c r="M52" s="3204">
        <f>F52/100</f>
        <v>4.7999999999999996E-3</v>
      </c>
      <c r="N52" s="3204">
        <f t="shared" si="175"/>
        <v>9.7999999999999997E-3</v>
      </c>
      <c r="O52" s="3204"/>
      <c r="P52" s="3204">
        <f t="shared" si="189"/>
        <v>4.7999999999999996E-3</v>
      </c>
      <c r="Q52" s="3202"/>
      <c r="R52" s="3205"/>
      <c r="S52" s="3205">
        <v>1</v>
      </c>
      <c r="T52" s="3205">
        <v>1</v>
      </c>
      <c r="U52" s="3205">
        <v>1</v>
      </c>
      <c r="V52" s="3205"/>
      <c r="W52" s="3205">
        <f t="shared" si="190"/>
        <v>1</v>
      </c>
      <c r="X52" s="3202"/>
      <c r="Y52" s="3204"/>
      <c r="Z52" s="3217">
        <f t="shared" si="191"/>
        <v>3.5000000000000001E-3</v>
      </c>
      <c r="AA52" s="3218">
        <f t="shared" si="191"/>
        <v>4.7999999999999996E-3</v>
      </c>
      <c r="AB52" s="3204">
        <f t="shared" si="191"/>
        <v>9.7999999999999997E-3</v>
      </c>
      <c r="AC52" s="3219"/>
      <c r="AD52" s="3204">
        <f t="shared" si="191"/>
        <v>4.7999999999999996E-3</v>
      </c>
      <c r="AG52" s="3461">
        <v>100</v>
      </c>
      <c r="AH52" s="3461">
        <v>100</v>
      </c>
      <c r="AI52" s="3461">
        <v>100</v>
      </c>
      <c r="AJ52" s="3461"/>
      <c r="AK52" s="3461">
        <v>100</v>
      </c>
      <c r="AN52" s="3464">
        <f t="shared" si="148"/>
        <v>98.527690711529758</v>
      </c>
      <c r="AO52" s="3464">
        <f t="shared" si="159"/>
        <v>99.288942678737428</v>
      </c>
      <c r="AP52" s="3464">
        <f t="shared" si="160"/>
        <v>96.757128068805017</v>
      </c>
      <c r="AQ52" s="3464"/>
      <c r="AR52" s="3464">
        <f t="shared" si="161"/>
        <v>99.288942678737428</v>
      </c>
    </row>
    <row r="53" spans="1:44" ht="14.25" thickTop="1"/>
    <row r="54" spans="1:44">
      <c r="A54" s="3447" t="s">
        <v>3379</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A36" sqref="A36:XFD36"/>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27" t="s">
        <v>452</v>
      </c>
      <c r="C1" s="3827"/>
      <c r="D1" s="3827"/>
      <c r="E1" s="3827"/>
      <c r="F1" s="3827"/>
      <c r="G1" s="3823" t="s">
        <v>453</v>
      </c>
      <c r="H1" s="3823"/>
      <c r="I1" s="3823"/>
      <c r="J1" s="3823"/>
      <c r="K1" s="3823"/>
      <c r="L1" s="3823"/>
      <c r="N1" s="3823" t="s">
        <v>454</v>
      </c>
      <c r="O1" s="3823"/>
      <c r="P1" s="3823"/>
      <c r="Q1" s="3823"/>
      <c r="S1" s="3823" t="s">
        <v>455</v>
      </c>
      <c r="T1" s="3823"/>
      <c r="U1" s="3823"/>
      <c r="V1" s="3823"/>
      <c r="X1" s="3822" t="s">
        <v>456</v>
      </c>
      <c r="Y1" s="3823"/>
      <c r="Z1" s="3823"/>
      <c r="AA1" s="3823"/>
      <c r="AB1" s="3823"/>
      <c r="AD1" s="3822" t="s">
        <v>457</v>
      </c>
      <c r="AE1" s="3823"/>
      <c r="AF1" s="3823"/>
      <c r="AG1" s="3823"/>
      <c r="AH1" s="3823"/>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2114</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3362</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5">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3359</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5">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2115</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3360</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5">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3361</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5">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2436</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4">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2313</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9">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2312</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8">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2311</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2">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2308</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11">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2307</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8">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2130</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2128</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2127</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2126</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2124</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2123</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2125</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25">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2121</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25"/>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2120</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25"/>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2113</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32"/>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2111</v>
      </c>
      <c r="B25" s="2219">
        <v>439</v>
      </c>
      <c r="C25" s="2219">
        <v>327</v>
      </c>
      <c r="D25" s="2219">
        <f>C25</f>
        <v>327</v>
      </c>
      <c r="E25" s="2219">
        <v>627</v>
      </c>
      <c r="F25" s="2220">
        <v>283</v>
      </c>
      <c r="G25" s="3828">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2112</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25"/>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25"/>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32"/>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28">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25"/>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25"/>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26"/>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24">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25"/>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25"/>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26"/>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24">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25"/>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25"/>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26"/>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29">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30"/>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30"/>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31"/>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24">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25"/>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25"/>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26"/>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24">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25">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25">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26">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24">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25">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25">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26">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24">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25">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25">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26">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24">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25">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25">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26">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24">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25">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25">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26">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24">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25">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25">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26">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24">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25">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25">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26">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24">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25">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25">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26">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24">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25">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25">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26">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24">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25">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25">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26">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A36" sqref="A36:XFD36"/>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835" t="s">
        <v>2839</v>
      </c>
      <c r="B1" s="3835"/>
      <c r="C1" s="3835"/>
      <c r="D1" s="3835"/>
      <c r="E1" s="3835"/>
      <c r="F1" s="3835"/>
      <c r="G1" s="3836"/>
      <c r="I1" s="3222" t="s">
        <v>2840</v>
      </c>
      <c r="J1" s="3223" t="s">
        <v>2841</v>
      </c>
      <c r="K1" s="3223" t="s">
        <v>2842</v>
      </c>
      <c r="L1" s="3223" t="s">
        <v>2843</v>
      </c>
      <c r="M1" s="3223" t="s">
        <v>2844</v>
      </c>
      <c r="N1" s="3223" t="s">
        <v>2845</v>
      </c>
      <c r="O1" s="3223" t="s">
        <v>2846</v>
      </c>
      <c r="P1" s="3223" t="s">
        <v>2847</v>
      </c>
      <c r="Q1" s="3223" t="s">
        <v>2848</v>
      </c>
      <c r="R1" s="3223" t="s">
        <v>2849</v>
      </c>
      <c r="S1" s="3223" t="s">
        <v>2850</v>
      </c>
      <c r="T1" s="3224" t="s">
        <v>2851</v>
      </c>
    </row>
    <row r="2" spans="1:20" ht="12" thickBot="1">
      <c r="A2" s="3226" t="s">
        <v>2852</v>
      </c>
      <c r="B2" s="3226"/>
      <c r="C2" s="3226"/>
      <c r="D2" s="3226"/>
      <c r="E2" s="3226"/>
      <c r="F2" s="3226"/>
      <c r="G2" s="3227" t="s">
        <v>2853</v>
      </c>
      <c r="I2" s="3228" t="s">
        <v>2854</v>
      </c>
      <c r="J2" s="3228" t="s">
        <v>2855</v>
      </c>
      <c r="K2" s="3228" t="s">
        <v>2856</v>
      </c>
      <c r="L2" s="3228" t="s">
        <v>2857</v>
      </c>
      <c r="M2" s="3228" t="s">
        <v>2858</v>
      </c>
      <c r="N2" s="3228" t="s">
        <v>2859</v>
      </c>
      <c r="O2" s="3228" t="s">
        <v>2860</v>
      </c>
      <c r="P2" s="3228" t="s">
        <v>2861</v>
      </c>
      <c r="Q2" s="3228" t="s">
        <v>2862</v>
      </c>
      <c r="R2" s="3228" t="s">
        <v>2863</v>
      </c>
      <c r="S2" s="3228" t="s">
        <v>2864</v>
      </c>
      <c r="T2" s="3228" t="s">
        <v>2865</v>
      </c>
    </row>
    <row r="3" spans="1:20" s="3234" customFormat="1">
      <c r="A3" s="3833" t="s">
        <v>2866</v>
      </c>
      <c r="B3" s="3229"/>
      <c r="C3" s="3230" t="s">
        <v>2811</v>
      </c>
      <c r="D3" s="3230" t="s">
        <v>2867</v>
      </c>
      <c r="E3" s="3230" t="s">
        <v>2813</v>
      </c>
      <c r="F3" s="3230" t="s">
        <v>2868</v>
      </c>
      <c r="G3" s="3230" t="s">
        <v>2631</v>
      </c>
      <c r="H3" s="3231"/>
      <c r="I3" s="3232" t="s">
        <v>2869</v>
      </c>
      <c r="J3" s="3233" t="s">
        <v>128</v>
      </c>
      <c r="K3" s="3233" t="s">
        <v>129</v>
      </c>
      <c r="L3" s="3232" t="s">
        <v>130</v>
      </c>
      <c r="M3" s="3232" t="s">
        <v>131</v>
      </c>
      <c r="N3" s="3232" t="s">
        <v>132</v>
      </c>
      <c r="O3" s="3232" t="s">
        <v>133</v>
      </c>
      <c r="P3" s="3232" t="s">
        <v>134</v>
      </c>
      <c r="Q3" s="3232" t="s">
        <v>135</v>
      </c>
      <c r="R3" s="3232" t="s">
        <v>136</v>
      </c>
      <c r="S3" s="3232" t="s">
        <v>2870</v>
      </c>
      <c r="T3" s="3232" t="s">
        <v>2871</v>
      </c>
    </row>
    <row r="4" spans="1:20" s="3234" customFormat="1" ht="12" thickBot="1">
      <c r="A4" s="3834"/>
      <c r="B4" s="3235" t="s">
        <v>2872</v>
      </c>
      <c r="C4" s="3235" t="s">
        <v>2873</v>
      </c>
      <c r="D4" s="3235" t="s">
        <v>2873</v>
      </c>
      <c r="E4" s="3235" t="s">
        <v>2873</v>
      </c>
      <c r="F4" s="3236" t="s">
        <v>2873</v>
      </c>
      <c r="G4" s="3236" t="s">
        <v>2873</v>
      </c>
      <c r="H4" s="3231"/>
      <c r="I4" s="3233" t="s">
        <v>137</v>
      </c>
      <c r="J4" s="3233" t="s">
        <v>111</v>
      </c>
      <c r="K4" s="3233" t="s">
        <v>138</v>
      </c>
      <c r="L4" s="3232" t="s">
        <v>139</v>
      </c>
      <c r="M4" s="3232" t="s">
        <v>140</v>
      </c>
      <c r="N4" s="3232" t="s">
        <v>141</v>
      </c>
      <c r="O4" s="3232" t="s">
        <v>142</v>
      </c>
      <c r="P4" s="3232" t="s">
        <v>143</v>
      </c>
      <c r="Q4" s="3232" t="s">
        <v>2874</v>
      </c>
      <c r="R4" s="3232" t="s">
        <v>2875</v>
      </c>
      <c r="S4" s="3232" t="s">
        <v>2876</v>
      </c>
      <c r="T4" s="3232" t="s">
        <v>2877</v>
      </c>
    </row>
    <row r="5" spans="1:20">
      <c r="A5" s="3237" t="s">
        <v>2840</v>
      </c>
      <c r="B5" s="3228" t="s">
        <v>2854</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2878</v>
      </c>
      <c r="R5" s="3232" t="s">
        <v>2879</v>
      </c>
      <c r="S5" s="3232" t="s">
        <v>153</v>
      </c>
      <c r="T5" s="3232" t="s">
        <v>2880</v>
      </c>
    </row>
    <row r="6" spans="1:20" ht="12" thickBot="1">
      <c r="A6" s="3232" t="s">
        <v>144</v>
      </c>
      <c r="B6" s="3232" t="s">
        <v>2869</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2881</v>
      </c>
      <c r="Q6" s="3232" t="s">
        <v>2882</v>
      </c>
      <c r="R6" s="3232" t="s">
        <v>161</v>
      </c>
      <c r="S6" s="3232" t="s">
        <v>2883</v>
      </c>
      <c r="T6" s="3232" t="s">
        <v>2884</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2885</v>
      </c>
      <c r="Q7" s="3232" t="s">
        <v>2886</v>
      </c>
      <c r="R7" s="3232" t="s">
        <v>2887</v>
      </c>
      <c r="S7" s="3232" t="s">
        <v>2888</v>
      </c>
      <c r="T7" s="3232" t="s">
        <v>2889</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2890</v>
      </c>
      <c r="Q8" s="3232" t="s">
        <v>174</v>
      </c>
      <c r="R8" s="3232" t="s">
        <v>2891</v>
      </c>
      <c r="S8" s="3232" t="s">
        <v>2892</v>
      </c>
      <c r="T8" s="3239" t="s">
        <v>2893</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2894</v>
      </c>
      <c r="Q9" s="3232" t="s">
        <v>182</v>
      </c>
      <c r="R9" s="3232" t="s">
        <v>183</v>
      </c>
      <c r="S9" s="3232" t="s">
        <v>200</v>
      </c>
    </row>
    <row r="10" spans="1:20">
      <c r="A10" s="3237" t="s">
        <v>184</v>
      </c>
      <c r="B10" s="3228" t="s">
        <v>2855</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2895</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2896</v>
      </c>
      <c r="P11" s="3232" t="s">
        <v>191</v>
      </c>
      <c r="Q11" s="3232" t="s">
        <v>199</v>
      </c>
      <c r="R11" s="3232" t="s">
        <v>2897</v>
      </c>
      <c r="S11" s="3232" t="s">
        <v>2898</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2899</v>
      </c>
      <c r="P12" s="3232" t="s">
        <v>2900</v>
      </c>
      <c r="Q12" s="3232" t="s">
        <v>2901</v>
      </c>
      <c r="R12" s="3232" t="s">
        <v>2902</v>
      </c>
      <c r="S12" s="3232" t="s">
        <v>2903</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2904</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2905</v>
      </c>
      <c r="K14" s="3233" t="s">
        <v>215</v>
      </c>
      <c r="L14" s="3232" t="s">
        <v>216</v>
      </c>
      <c r="M14" s="3232" t="s">
        <v>217</v>
      </c>
      <c r="N14" s="3232" t="s">
        <v>218</v>
      </c>
      <c r="O14" s="3232" t="s">
        <v>240</v>
      </c>
      <c r="P14" s="3232" t="s">
        <v>213</v>
      </c>
      <c r="Q14" s="3232" t="s">
        <v>2906</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2907</v>
      </c>
      <c r="P15" s="3232" t="s">
        <v>2908</v>
      </c>
      <c r="Q15" s="3232" t="s">
        <v>242</v>
      </c>
      <c r="R15" s="3232" t="s">
        <v>2909</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2910</v>
      </c>
      <c r="P16" s="3232" t="s">
        <v>227</v>
      </c>
      <c r="Q16" s="3232" t="s">
        <v>250</v>
      </c>
      <c r="R16" s="3232" t="s">
        <v>207</v>
      </c>
      <c r="S16" s="3232" t="s">
        <v>2911</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2912</v>
      </c>
      <c r="P17" s="3232" t="s">
        <v>2913</v>
      </c>
      <c r="Q17" s="3232" t="s">
        <v>256</v>
      </c>
      <c r="R17" s="3232" t="s">
        <v>2914</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2915</v>
      </c>
      <c r="P18" s="3232" t="s">
        <v>241</v>
      </c>
      <c r="Q18" s="3232" t="s">
        <v>2916</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2917</v>
      </c>
      <c r="P19" s="3232" t="s">
        <v>249</v>
      </c>
      <c r="Q19" s="3232" t="s">
        <v>2918</v>
      </c>
      <c r="R19" s="3232" t="s">
        <v>265</v>
      </c>
      <c r="S19" s="3232" t="s">
        <v>2919</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2920</v>
      </c>
      <c r="P20" s="3232" t="s">
        <v>2921</v>
      </c>
      <c r="Q20" s="3232" t="s">
        <v>290</v>
      </c>
      <c r="R20" s="3232" t="s">
        <v>2922</v>
      </c>
      <c r="S20" s="3232" t="s">
        <v>277</v>
      </c>
    </row>
    <row r="21" spans="1:19" ht="14.25" customHeight="1" thickBot="1">
      <c r="A21" s="3232" t="s">
        <v>184</v>
      </c>
      <c r="B21" s="3233" t="s">
        <v>208</v>
      </c>
      <c r="C21" s="3232">
        <v>32370</v>
      </c>
      <c r="D21" s="3232">
        <v>26730</v>
      </c>
      <c r="E21" s="3232">
        <v>26640</v>
      </c>
      <c r="F21" s="3232"/>
      <c r="G21" s="3232">
        <v>19440</v>
      </c>
      <c r="J21" s="3239" t="s">
        <v>2923</v>
      </c>
      <c r="K21" s="3233" t="s">
        <v>267</v>
      </c>
      <c r="L21" s="3232" t="s">
        <v>268</v>
      </c>
      <c r="M21" s="3232" t="s">
        <v>269</v>
      </c>
      <c r="N21" s="3232" t="s">
        <v>270</v>
      </c>
      <c r="O21" s="3232" t="s">
        <v>264</v>
      </c>
      <c r="P21" s="3232" t="s">
        <v>283</v>
      </c>
      <c r="Q21" s="3232" t="s">
        <v>293</v>
      </c>
      <c r="R21" s="3232" t="s">
        <v>2924</v>
      </c>
      <c r="S21" s="3239" t="s">
        <v>2925</v>
      </c>
    </row>
    <row r="22" spans="1:19" ht="14.25" customHeight="1">
      <c r="A22" s="3232" t="s">
        <v>184</v>
      </c>
      <c r="B22" s="3233" t="s">
        <v>2905</v>
      </c>
      <c r="C22" s="3232">
        <v>29830</v>
      </c>
      <c r="D22" s="3232">
        <v>27600</v>
      </c>
      <c r="E22" s="3232">
        <v>28150</v>
      </c>
      <c r="F22" s="3232"/>
      <c r="G22" s="3232">
        <v>20080</v>
      </c>
      <c r="K22" s="3233" t="s">
        <v>2926</v>
      </c>
      <c r="L22" s="3232" t="s">
        <v>272</v>
      </c>
      <c r="M22" s="3232" t="s">
        <v>273</v>
      </c>
      <c r="N22" s="3232" t="s">
        <v>274</v>
      </c>
      <c r="O22" s="3232" t="s">
        <v>2927</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2928</v>
      </c>
      <c r="L23" s="3232" t="s">
        <v>278</v>
      </c>
      <c r="M23" s="3232" t="s">
        <v>279</v>
      </c>
      <c r="N23" s="3232" t="s">
        <v>2929</v>
      </c>
      <c r="O23" s="3232" t="s">
        <v>2930</v>
      </c>
      <c r="P23" s="3232" t="s">
        <v>289</v>
      </c>
      <c r="Q23" s="3232" t="s">
        <v>298</v>
      </c>
      <c r="R23" s="3232" t="s">
        <v>2931</v>
      </c>
    </row>
    <row r="24" spans="1:19" ht="14.25" customHeight="1">
      <c r="A24" s="3232" t="s">
        <v>184</v>
      </c>
      <c r="B24" s="3233" t="s">
        <v>230</v>
      </c>
      <c r="C24" s="3232">
        <v>27930</v>
      </c>
      <c r="D24" s="3232">
        <v>32260</v>
      </c>
      <c r="E24" s="3232">
        <v>32120</v>
      </c>
      <c r="F24" s="3232"/>
      <c r="G24" s="3232">
        <v>23470</v>
      </c>
      <c r="K24" s="3233" t="s">
        <v>2932</v>
      </c>
      <c r="L24" s="3232" t="s">
        <v>281</v>
      </c>
      <c r="M24" s="3232" t="s">
        <v>282</v>
      </c>
      <c r="N24" s="3232" t="s">
        <v>2933</v>
      </c>
      <c r="O24" s="3232" t="s">
        <v>285</v>
      </c>
      <c r="P24" s="3232" t="s">
        <v>2934</v>
      </c>
      <c r="Q24" s="3241" t="s">
        <v>2935</v>
      </c>
      <c r="R24" s="3232" t="s">
        <v>2936</v>
      </c>
    </row>
    <row r="25" spans="1:19" ht="14.25" customHeight="1">
      <c r="A25" s="3232" t="s">
        <v>184</v>
      </c>
      <c r="B25" s="3233" t="s">
        <v>235</v>
      </c>
      <c r="C25" s="3232">
        <v>32230</v>
      </c>
      <c r="D25" s="3232">
        <v>29640</v>
      </c>
      <c r="E25" s="3232">
        <v>29510</v>
      </c>
      <c r="F25" s="3232"/>
      <c r="G25" s="3232">
        <v>21560</v>
      </c>
      <c r="K25" s="3233" t="s">
        <v>2937</v>
      </c>
      <c r="L25" s="3232" t="s">
        <v>2938</v>
      </c>
      <c r="M25" s="3232" t="s">
        <v>284</v>
      </c>
      <c r="N25" s="3232" t="s">
        <v>292</v>
      </c>
      <c r="O25" s="3232" t="s">
        <v>288</v>
      </c>
      <c r="P25" s="3232" t="s">
        <v>275</v>
      </c>
      <c r="Q25" s="3241" t="s">
        <v>271</v>
      </c>
      <c r="R25" s="3232" t="s">
        <v>2939</v>
      </c>
    </row>
    <row r="26" spans="1:19" ht="14.25" customHeight="1" thickBot="1">
      <c r="A26" s="3232" t="s">
        <v>184</v>
      </c>
      <c r="B26" s="3233" t="s">
        <v>244</v>
      </c>
      <c r="C26" s="3232">
        <v>31690</v>
      </c>
      <c r="D26" s="3232">
        <v>27650</v>
      </c>
      <c r="E26" s="3232">
        <v>28200</v>
      </c>
      <c r="F26" s="3232"/>
      <c r="G26" s="3232">
        <v>20110</v>
      </c>
      <c r="K26" s="3238" t="s">
        <v>2940</v>
      </c>
      <c r="L26" s="3232" t="s">
        <v>2941</v>
      </c>
      <c r="M26" s="3232" t="s">
        <v>287</v>
      </c>
      <c r="N26" s="3232" t="s">
        <v>294</v>
      </c>
      <c r="O26" s="3232" t="s">
        <v>2942</v>
      </c>
      <c r="P26" s="3232" t="s">
        <v>2943</v>
      </c>
      <c r="Q26" s="3241" t="s">
        <v>276</v>
      </c>
      <c r="R26" s="3232" t="s">
        <v>2944</v>
      </c>
    </row>
    <row r="27" spans="1:19" ht="14.25" customHeight="1">
      <c r="A27" s="3232" t="s">
        <v>184</v>
      </c>
      <c r="B27" s="3233" t="s">
        <v>251</v>
      </c>
      <c r="C27" s="3232">
        <v>29610</v>
      </c>
      <c r="D27" s="3232">
        <v>27770</v>
      </c>
      <c r="E27" s="3232">
        <v>28300</v>
      </c>
      <c r="F27" s="3232"/>
      <c r="G27" s="3232">
        <v>20210</v>
      </c>
      <c r="L27" s="3232" t="s">
        <v>2945</v>
      </c>
      <c r="M27" s="3232" t="s">
        <v>291</v>
      </c>
      <c r="N27" s="3232" t="s">
        <v>297</v>
      </c>
      <c r="O27" s="3232" t="s">
        <v>2946</v>
      </c>
      <c r="P27" s="3232" t="s">
        <v>2947</v>
      </c>
      <c r="Q27" s="3232" t="s">
        <v>2948</v>
      </c>
      <c r="R27" s="3232" t="s">
        <v>2949</v>
      </c>
    </row>
    <row r="28" spans="1:19" ht="14.25" customHeight="1">
      <c r="A28" s="3232" t="s">
        <v>184</v>
      </c>
      <c r="B28" s="3233" t="s">
        <v>259</v>
      </c>
      <c r="C28" s="3232"/>
      <c r="D28" s="3232">
        <v>31520</v>
      </c>
      <c r="E28" s="3232">
        <v>31410</v>
      </c>
      <c r="F28" s="3232"/>
      <c r="G28" s="3232">
        <v>22940</v>
      </c>
      <c r="L28" s="3232" t="s">
        <v>2950</v>
      </c>
      <c r="M28" s="3232" t="s">
        <v>2951</v>
      </c>
      <c r="N28" s="3232" t="s">
        <v>2952</v>
      </c>
      <c r="O28" s="3232" t="s">
        <v>2953</v>
      </c>
      <c r="P28" s="3232" t="s">
        <v>2954</v>
      </c>
      <c r="Q28" s="3232" t="s">
        <v>2955</v>
      </c>
      <c r="R28" s="3232" t="s">
        <v>2956</v>
      </c>
    </row>
    <row r="29" spans="1:19" ht="14.25" customHeight="1" thickBot="1">
      <c r="A29" s="3240" t="s">
        <v>184</v>
      </c>
      <c r="B29" s="3242" t="s">
        <v>2923</v>
      </c>
      <c r="C29" s="3243"/>
      <c r="D29" s="3243">
        <v>29460</v>
      </c>
      <c r="E29" s="3243">
        <v>28640</v>
      </c>
      <c r="F29" s="3243"/>
      <c r="G29" s="3243">
        <v>21430</v>
      </c>
      <c r="L29" s="3232" t="s">
        <v>2957</v>
      </c>
      <c r="M29" s="3232" t="s">
        <v>2958</v>
      </c>
      <c r="N29" s="3232" t="s">
        <v>2959</v>
      </c>
      <c r="O29" s="3232" t="s">
        <v>2960</v>
      </c>
      <c r="P29" s="3232" t="s">
        <v>2961</v>
      </c>
      <c r="Q29" s="3232" t="s">
        <v>2962</v>
      </c>
      <c r="R29" s="3232" t="s">
        <v>280</v>
      </c>
    </row>
    <row r="30" spans="1:19" ht="14.25" customHeight="1">
      <c r="A30" s="3237" t="s">
        <v>296</v>
      </c>
      <c r="B30" s="3228" t="s">
        <v>2856</v>
      </c>
      <c r="C30" s="3228">
        <v>26890</v>
      </c>
      <c r="D30" s="3228">
        <v>26770</v>
      </c>
      <c r="E30" s="3228">
        <v>25700</v>
      </c>
      <c r="F30" s="3228">
        <v>8180</v>
      </c>
      <c r="G30" s="3244">
        <v>18740</v>
      </c>
      <c r="L30" s="3232" t="s">
        <v>2963</v>
      </c>
      <c r="M30" s="3232" t="s">
        <v>2964</v>
      </c>
      <c r="N30" s="3232" t="s">
        <v>2965</v>
      </c>
      <c r="O30" s="3232" t="s">
        <v>2966</v>
      </c>
      <c r="P30" s="3232" t="s">
        <v>2967</v>
      </c>
      <c r="Q30" s="3232" t="s">
        <v>2968</v>
      </c>
      <c r="R30" s="3232" t="s">
        <v>2969</v>
      </c>
    </row>
    <row r="31" spans="1:19" ht="14.25" customHeight="1">
      <c r="A31" s="3232" t="s">
        <v>296</v>
      </c>
      <c r="B31" s="3233" t="s">
        <v>129</v>
      </c>
      <c r="C31" s="3232">
        <v>24550</v>
      </c>
      <c r="D31" s="3232">
        <v>23990</v>
      </c>
      <c r="E31" s="3232">
        <v>22930</v>
      </c>
      <c r="F31" s="3232">
        <v>7470</v>
      </c>
      <c r="G31" s="3245">
        <v>16790</v>
      </c>
      <c r="L31" s="3232" t="s">
        <v>2970</v>
      </c>
      <c r="M31" s="3232" t="s">
        <v>2971</v>
      </c>
      <c r="N31" s="3232" t="s">
        <v>2972</v>
      </c>
      <c r="O31" s="3232" t="s">
        <v>2973</v>
      </c>
      <c r="P31" s="3232" t="s">
        <v>2974</v>
      </c>
      <c r="Q31" s="3232" t="s">
        <v>2975</v>
      </c>
      <c r="R31" s="3232" t="s">
        <v>2976</v>
      </c>
    </row>
    <row r="32" spans="1:19" ht="14.25" customHeight="1" thickBot="1">
      <c r="A32" s="3232" t="s">
        <v>296</v>
      </c>
      <c r="B32" s="3233" t="s">
        <v>138</v>
      </c>
      <c r="C32" s="3232">
        <v>27210</v>
      </c>
      <c r="D32" s="3232">
        <v>23240</v>
      </c>
      <c r="E32" s="3232">
        <v>23260</v>
      </c>
      <c r="F32" s="3232">
        <v>7130</v>
      </c>
      <c r="G32" s="3245">
        <v>16270</v>
      </c>
      <c r="L32" s="3232" t="s">
        <v>2977</v>
      </c>
      <c r="M32" s="3232" t="s">
        <v>2978</v>
      </c>
      <c r="N32" s="3232" t="s">
        <v>300</v>
      </c>
      <c r="O32" s="3232" t="s">
        <v>2979</v>
      </c>
      <c r="P32" s="3232" t="s">
        <v>299</v>
      </c>
      <c r="Q32" s="3232" t="s">
        <v>2980</v>
      </c>
      <c r="R32" s="3239" t="s">
        <v>2981</v>
      </c>
    </row>
    <row r="33" spans="1:17" ht="14.25" customHeight="1" thickBot="1">
      <c r="A33" s="3232" t="s">
        <v>296</v>
      </c>
      <c r="B33" s="3233" t="s">
        <v>147</v>
      </c>
      <c r="C33" s="3232">
        <v>27300</v>
      </c>
      <c r="D33" s="3232">
        <v>22980</v>
      </c>
      <c r="E33" s="3232">
        <v>24260</v>
      </c>
      <c r="F33" s="3232">
        <v>5860</v>
      </c>
      <c r="G33" s="3245">
        <v>16090</v>
      </c>
      <c r="L33" s="3239" t="s">
        <v>2982</v>
      </c>
      <c r="M33" s="3232" t="s">
        <v>2983</v>
      </c>
      <c r="N33" s="3232" t="s">
        <v>301</v>
      </c>
      <c r="O33" s="3232" t="s">
        <v>2984</v>
      </c>
      <c r="P33" s="3232" t="s">
        <v>2985</v>
      </c>
      <c r="Q33" s="3232" t="s">
        <v>2986</v>
      </c>
    </row>
    <row r="34" spans="1:17" ht="14.25" customHeight="1">
      <c r="A34" s="3232" t="s">
        <v>296</v>
      </c>
      <c r="B34" s="3233" t="s">
        <v>156</v>
      </c>
      <c r="C34" s="3232">
        <v>23090</v>
      </c>
      <c r="D34" s="3232">
        <v>23390</v>
      </c>
      <c r="E34" s="3232">
        <v>23510</v>
      </c>
      <c r="F34" s="3232">
        <v>6700</v>
      </c>
      <c r="G34" s="3245">
        <v>16370</v>
      </c>
      <c r="M34" s="3232" t="s">
        <v>2987</v>
      </c>
      <c r="N34" s="3232" t="s">
        <v>302</v>
      </c>
      <c r="O34" s="3232" t="s">
        <v>2988</v>
      </c>
      <c r="P34" s="3232" t="s">
        <v>2989</v>
      </c>
      <c r="Q34" s="3232" t="s">
        <v>2990</v>
      </c>
    </row>
    <row r="35" spans="1:17" ht="14.25" customHeight="1">
      <c r="A35" s="3232" t="s">
        <v>296</v>
      </c>
      <c r="B35" s="3233" t="s">
        <v>163</v>
      </c>
      <c r="C35" s="3232">
        <v>27270</v>
      </c>
      <c r="D35" s="3232">
        <v>24270</v>
      </c>
      <c r="E35" s="3232">
        <v>24950</v>
      </c>
      <c r="F35" s="3232">
        <v>6600</v>
      </c>
      <c r="G35" s="3245">
        <v>16990</v>
      </c>
      <c r="M35" s="3232" t="s">
        <v>2991</v>
      </c>
      <c r="N35" s="3232" t="s">
        <v>2992</v>
      </c>
      <c r="O35" s="3232" t="s">
        <v>2993</v>
      </c>
      <c r="P35" s="3232" t="s">
        <v>2994</v>
      </c>
      <c r="Q35" s="3232" t="s">
        <v>2995</v>
      </c>
    </row>
    <row r="36" spans="1:17" ht="14.25" customHeight="1">
      <c r="A36" s="3232" t="s">
        <v>296</v>
      </c>
      <c r="B36" s="3233" t="s">
        <v>169</v>
      </c>
      <c r="C36" s="3232">
        <v>23490</v>
      </c>
      <c r="D36" s="3232">
        <v>23020</v>
      </c>
      <c r="E36" s="3232">
        <v>25230</v>
      </c>
      <c r="F36" s="3232">
        <v>6780</v>
      </c>
      <c r="G36" s="3245">
        <v>16120</v>
      </c>
      <c r="M36" s="3232" t="s">
        <v>2996</v>
      </c>
      <c r="N36" s="3232" t="s">
        <v>2997</v>
      </c>
      <c r="O36" s="3232" t="s">
        <v>2998</v>
      </c>
      <c r="P36" s="3232" t="s">
        <v>2999</v>
      </c>
      <c r="Q36" s="3232" t="s">
        <v>3000</v>
      </c>
    </row>
    <row r="37" spans="1:17" ht="14.25" customHeight="1">
      <c r="A37" s="3232" t="s">
        <v>296</v>
      </c>
      <c r="B37" s="3233" t="s">
        <v>176</v>
      </c>
      <c r="C37" s="3232">
        <v>24380</v>
      </c>
      <c r="D37" s="3232">
        <v>22240</v>
      </c>
      <c r="E37" s="3232">
        <v>25980</v>
      </c>
      <c r="F37" s="3232">
        <v>8160</v>
      </c>
      <c r="G37" s="3245">
        <v>15570</v>
      </c>
      <c r="M37" s="3232" t="s">
        <v>3001</v>
      </c>
      <c r="N37" s="3232" t="s">
        <v>3002</v>
      </c>
      <c r="O37" s="3232" t="s">
        <v>3003</v>
      </c>
      <c r="P37" s="3232" t="s">
        <v>3004</v>
      </c>
      <c r="Q37" s="3232" t="s">
        <v>3005</v>
      </c>
    </row>
    <row r="38" spans="1:17" ht="14.25" customHeight="1">
      <c r="A38" s="3232" t="s">
        <v>296</v>
      </c>
      <c r="B38" s="3233" t="s">
        <v>186</v>
      </c>
      <c r="C38" s="3232">
        <v>23120</v>
      </c>
      <c r="D38" s="3232">
        <v>24630</v>
      </c>
      <c r="E38" s="3232">
        <v>25030</v>
      </c>
      <c r="F38" s="3232">
        <v>7710</v>
      </c>
      <c r="G38" s="3245">
        <v>17240</v>
      </c>
      <c r="M38" s="3232" t="s">
        <v>3006</v>
      </c>
      <c r="N38" s="3232" t="s">
        <v>3007</v>
      </c>
      <c r="O38" s="3232" t="s">
        <v>3008</v>
      </c>
      <c r="P38" s="3232" t="s">
        <v>3009</v>
      </c>
      <c r="Q38" s="3232" t="s">
        <v>3010</v>
      </c>
    </row>
    <row r="39" spans="1:17" ht="14.25" customHeight="1">
      <c r="A39" s="3232" t="s">
        <v>296</v>
      </c>
      <c r="B39" s="3233" t="s">
        <v>195</v>
      </c>
      <c r="C39" s="3232">
        <v>22330</v>
      </c>
      <c r="D39" s="3232">
        <v>21140</v>
      </c>
      <c r="E39" s="3232">
        <v>23970</v>
      </c>
      <c r="F39" s="3232">
        <v>7940</v>
      </c>
      <c r="G39" s="3245">
        <v>14790</v>
      </c>
      <c r="M39" s="3232" t="s">
        <v>3011</v>
      </c>
      <c r="N39" s="3232" t="s">
        <v>3012</v>
      </c>
      <c r="O39" s="3232" t="s">
        <v>3013</v>
      </c>
      <c r="P39" s="3232" t="s">
        <v>3014</v>
      </c>
      <c r="Q39" s="3232" t="s">
        <v>3015</v>
      </c>
    </row>
    <row r="40" spans="1:17" ht="14.25" customHeight="1">
      <c r="A40" s="3232" t="s">
        <v>296</v>
      </c>
      <c r="B40" s="3233" t="s">
        <v>202</v>
      </c>
      <c r="C40" s="3232">
        <v>24740</v>
      </c>
      <c r="D40" s="3232">
        <v>24690</v>
      </c>
      <c r="E40" s="3232">
        <v>22610</v>
      </c>
      <c r="F40" s="3232"/>
      <c r="G40" s="3245">
        <v>17280</v>
      </c>
      <c r="M40" s="3232" t="s">
        <v>3016</v>
      </c>
      <c r="N40" s="3232" t="s">
        <v>3017</v>
      </c>
      <c r="O40" s="3232" t="s">
        <v>3018</v>
      </c>
      <c r="P40" s="3232" t="s">
        <v>3019</v>
      </c>
      <c r="Q40" s="3232" t="s">
        <v>3020</v>
      </c>
    </row>
    <row r="41" spans="1:17" ht="14.25" customHeight="1" thickBot="1">
      <c r="A41" s="3232" t="s">
        <v>296</v>
      </c>
      <c r="B41" s="3233" t="s">
        <v>209</v>
      </c>
      <c r="C41" s="3232">
        <v>21220</v>
      </c>
      <c r="D41" s="3232">
        <v>21120</v>
      </c>
      <c r="E41" s="3232">
        <v>22590</v>
      </c>
      <c r="F41" s="3232"/>
      <c r="G41" s="3245">
        <v>14780</v>
      </c>
      <c r="M41" s="3239" t="s">
        <v>3021</v>
      </c>
      <c r="N41" s="3232" t="s">
        <v>3022</v>
      </c>
      <c r="O41" s="3232" t="s">
        <v>3023</v>
      </c>
      <c r="P41" s="3232" t="s">
        <v>3024</v>
      </c>
      <c r="Q41" s="3232" t="s">
        <v>3025</v>
      </c>
    </row>
    <row r="42" spans="1:17" ht="14.25" customHeight="1">
      <c r="A42" s="3232" t="s">
        <v>296</v>
      </c>
      <c r="B42" s="3233" t="s">
        <v>215</v>
      </c>
      <c r="C42" s="3232">
        <v>24800</v>
      </c>
      <c r="D42" s="3232">
        <v>22280</v>
      </c>
      <c r="E42" s="3232">
        <v>24350</v>
      </c>
      <c r="F42" s="3232"/>
      <c r="G42" s="3245">
        <v>15590</v>
      </c>
      <c r="N42" s="3232" t="s">
        <v>3026</v>
      </c>
      <c r="O42" s="3232" t="s">
        <v>3027</v>
      </c>
      <c r="P42" s="3232" t="s">
        <v>3028</v>
      </c>
      <c r="Q42" s="3232" t="s">
        <v>3029</v>
      </c>
    </row>
    <row r="43" spans="1:17" ht="14.25" customHeight="1">
      <c r="A43" s="3232" t="s">
        <v>3030</v>
      </c>
      <c r="B43" s="3233" t="s">
        <v>223</v>
      </c>
      <c r="C43" s="3232">
        <v>21210</v>
      </c>
      <c r="D43" s="3232">
        <v>21160</v>
      </c>
      <c r="E43" s="3232">
        <v>22650</v>
      </c>
      <c r="F43" s="3232"/>
      <c r="G43" s="3245">
        <v>14800</v>
      </c>
      <c r="N43" s="3232" t="s">
        <v>3031</v>
      </c>
      <c r="O43" s="3232" t="s">
        <v>3032</v>
      </c>
      <c r="P43" s="3232" t="s">
        <v>3033</v>
      </c>
      <c r="Q43" s="3232" t="s">
        <v>3034</v>
      </c>
    </row>
    <row r="44" spans="1:17" ht="14.25" customHeight="1" thickBot="1">
      <c r="A44" s="3232" t="s">
        <v>296</v>
      </c>
      <c r="B44" s="3233" t="s">
        <v>231</v>
      </c>
      <c r="C44" s="3232">
        <v>22370</v>
      </c>
      <c r="D44" s="3232">
        <v>23140</v>
      </c>
      <c r="E44" s="3232">
        <v>25090</v>
      </c>
      <c r="F44" s="3232"/>
      <c r="G44" s="3245">
        <v>16190</v>
      </c>
      <c r="N44" s="3232" t="s">
        <v>3035</v>
      </c>
      <c r="O44" s="3232" t="s">
        <v>3036</v>
      </c>
      <c r="P44" s="3239" t="s">
        <v>3037</v>
      </c>
      <c r="Q44" s="3232" t="s">
        <v>3038</v>
      </c>
    </row>
    <row r="45" spans="1:17" ht="14.25" customHeight="1" thickBot="1">
      <c r="A45" s="3232" t="s">
        <v>296</v>
      </c>
      <c r="B45" s="3233" t="s">
        <v>236</v>
      </c>
      <c r="C45" s="3232">
        <v>21240</v>
      </c>
      <c r="D45" s="3232">
        <v>27050</v>
      </c>
      <c r="E45" s="3232">
        <v>28000</v>
      </c>
      <c r="F45" s="3232"/>
      <c r="G45" s="3245">
        <v>18940</v>
      </c>
      <c r="N45" s="3232" t="s">
        <v>3039</v>
      </c>
      <c r="O45" s="3239" t="s">
        <v>3040</v>
      </c>
      <c r="Q45" s="3232" t="s">
        <v>3041</v>
      </c>
    </row>
    <row r="46" spans="1:17" ht="14.25" customHeight="1">
      <c r="A46" s="3232" t="s">
        <v>296</v>
      </c>
      <c r="B46" s="3233" t="s">
        <v>245</v>
      </c>
      <c r="C46" s="3232">
        <v>23240</v>
      </c>
      <c r="D46" s="3232">
        <v>23000</v>
      </c>
      <c r="E46" s="3232">
        <v>24980</v>
      </c>
      <c r="F46" s="3232"/>
      <c r="G46" s="3245">
        <v>16100</v>
      </c>
      <c r="N46" s="3232" t="s">
        <v>3042</v>
      </c>
      <c r="Q46" s="3232" t="s">
        <v>3043</v>
      </c>
    </row>
    <row r="47" spans="1:17" ht="14.25" customHeight="1">
      <c r="A47" s="3232" t="s">
        <v>296</v>
      </c>
      <c r="B47" s="3233" t="s">
        <v>252</v>
      </c>
      <c r="C47" s="3232">
        <v>27150</v>
      </c>
      <c r="D47" s="3232">
        <v>23310</v>
      </c>
      <c r="E47" s="3232">
        <v>25150</v>
      </c>
      <c r="F47" s="3232"/>
      <c r="G47" s="3245">
        <v>16310</v>
      </c>
      <c r="N47" s="3232" t="s">
        <v>3044</v>
      </c>
      <c r="Q47" s="3232" t="s">
        <v>3045</v>
      </c>
    </row>
    <row r="48" spans="1:17" ht="14.25" customHeight="1">
      <c r="A48" s="3232" t="s">
        <v>296</v>
      </c>
      <c r="B48" s="3233" t="s">
        <v>260</v>
      </c>
      <c r="C48" s="3232">
        <v>23100</v>
      </c>
      <c r="D48" s="3232">
        <v>21110</v>
      </c>
      <c r="E48" s="3232">
        <v>23080</v>
      </c>
      <c r="F48" s="3232"/>
      <c r="G48" s="3245">
        <v>14780</v>
      </c>
      <c r="N48" s="3232" t="s">
        <v>3046</v>
      </c>
      <c r="Q48" s="3232" t="s">
        <v>3047</v>
      </c>
    </row>
    <row r="49" spans="1:17" ht="14.25" customHeight="1">
      <c r="A49" s="3232" t="s">
        <v>296</v>
      </c>
      <c r="B49" s="3233" t="s">
        <v>267</v>
      </c>
      <c r="C49" s="3232">
        <v>23400</v>
      </c>
      <c r="D49" s="3232">
        <v>22920</v>
      </c>
      <c r="E49" s="3232">
        <v>24900</v>
      </c>
      <c r="F49" s="3232"/>
      <c r="G49" s="3245">
        <v>16040</v>
      </c>
      <c r="N49" s="3232" t="s">
        <v>3048</v>
      </c>
      <c r="Q49" s="3232" t="s">
        <v>3049</v>
      </c>
    </row>
    <row r="50" spans="1:17" ht="14.25" customHeight="1">
      <c r="A50" s="3232" t="s">
        <v>296</v>
      </c>
      <c r="B50" s="3233" t="s">
        <v>2926</v>
      </c>
      <c r="C50" s="3232">
        <v>21200</v>
      </c>
      <c r="D50" s="3232">
        <v>26540</v>
      </c>
      <c r="E50" s="3232">
        <v>23200</v>
      </c>
      <c r="F50" s="3232"/>
      <c r="G50" s="3245">
        <v>18580</v>
      </c>
      <c r="N50" s="3232" t="s">
        <v>3050</v>
      </c>
      <c r="Q50" s="3233" t="s">
        <v>3051</v>
      </c>
    </row>
    <row r="51" spans="1:17" ht="14.25" customHeight="1" thickBot="1">
      <c r="A51" s="3232" t="s">
        <v>296</v>
      </c>
      <c r="B51" s="3233" t="s">
        <v>2928</v>
      </c>
      <c r="C51" s="3232">
        <v>23000</v>
      </c>
      <c r="D51" s="3232">
        <v>23460</v>
      </c>
      <c r="E51" s="3232">
        <v>25290</v>
      </c>
      <c r="F51" s="3232"/>
      <c r="G51" s="3245">
        <v>16420</v>
      </c>
      <c r="N51" s="3232" t="s">
        <v>3052</v>
      </c>
      <c r="Q51" s="3239" t="s">
        <v>3053</v>
      </c>
    </row>
    <row r="52" spans="1:17" ht="14.25" customHeight="1">
      <c r="A52" s="3232" t="s">
        <v>296</v>
      </c>
      <c r="B52" s="3233" t="s">
        <v>2932</v>
      </c>
      <c r="C52" s="3232">
        <v>26660</v>
      </c>
      <c r="D52" s="3232">
        <v>22350</v>
      </c>
      <c r="E52" s="3232">
        <v>22920</v>
      </c>
      <c r="F52" s="3232"/>
      <c r="G52" s="3245">
        <v>15640</v>
      </c>
      <c r="N52" s="3232" t="s">
        <v>3054</v>
      </c>
    </row>
    <row r="53" spans="1:17" ht="14.25" customHeight="1">
      <c r="A53" s="3232" t="s">
        <v>296</v>
      </c>
      <c r="B53" s="3233" t="s">
        <v>2937</v>
      </c>
      <c r="C53" s="3232">
        <v>23580</v>
      </c>
      <c r="D53" s="3232"/>
      <c r="E53" s="3232">
        <v>24280</v>
      </c>
      <c r="F53" s="3232"/>
      <c r="G53" s="3245"/>
      <c r="N53" s="3232" t="s">
        <v>3055</v>
      </c>
    </row>
    <row r="54" spans="1:17" ht="14.25" customHeight="1" thickBot="1">
      <c r="A54" s="3246" t="s">
        <v>296</v>
      </c>
      <c r="B54" s="3238" t="s">
        <v>2940</v>
      </c>
      <c r="C54" s="3239">
        <v>22460</v>
      </c>
      <c r="D54" s="3239"/>
      <c r="E54" s="3239"/>
      <c r="F54" s="3239"/>
      <c r="G54" s="3247"/>
      <c r="N54" s="3232" t="s">
        <v>3056</v>
      </c>
    </row>
    <row r="55" spans="1:17" ht="14.25" customHeight="1">
      <c r="A55" s="3237" t="s">
        <v>110</v>
      </c>
      <c r="B55" s="3228" t="s">
        <v>3057</v>
      </c>
      <c r="C55" s="3232">
        <v>21970</v>
      </c>
      <c r="D55" s="3232">
        <v>20370</v>
      </c>
      <c r="E55" s="3232">
        <v>20180</v>
      </c>
      <c r="F55" s="3232">
        <v>5730</v>
      </c>
      <c r="G55" s="3232">
        <v>13820</v>
      </c>
      <c r="N55" s="3232" t="s">
        <v>3058</v>
      </c>
    </row>
    <row r="56" spans="1:17" ht="14.25" customHeight="1">
      <c r="A56" s="3232" t="s">
        <v>110</v>
      </c>
      <c r="B56" s="3232" t="s">
        <v>130</v>
      </c>
      <c r="C56" s="3232">
        <v>20470</v>
      </c>
      <c r="D56" s="3232">
        <v>20700</v>
      </c>
      <c r="E56" s="3232">
        <v>20380</v>
      </c>
      <c r="F56" s="3232">
        <v>4760</v>
      </c>
      <c r="G56" s="3232">
        <v>14050</v>
      </c>
      <c r="N56" s="3232" t="s">
        <v>3059</v>
      </c>
    </row>
    <row r="57" spans="1:17" ht="14.25" customHeight="1">
      <c r="A57" s="3232" t="s">
        <v>110</v>
      </c>
      <c r="B57" s="3232" t="s">
        <v>139</v>
      </c>
      <c r="C57" s="3232">
        <v>20790</v>
      </c>
      <c r="D57" s="3232">
        <v>21370</v>
      </c>
      <c r="E57" s="3232">
        <v>20890</v>
      </c>
      <c r="F57" s="3232">
        <v>4910</v>
      </c>
      <c r="G57" s="3232">
        <v>14510</v>
      </c>
      <c r="N57" s="3232" t="s">
        <v>3060</v>
      </c>
    </row>
    <row r="58" spans="1:17" ht="14.25" customHeight="1">
      <c r="A58" s="3232" t="s">
        <v>110</v>
      </c>
      <c r="B58" s="3232" t="s">
        <v>148</v>
      </c>
      <c r="C58" s="3232">
        <v>21460</v>
      </c>
      <c r="D58" s="3232">
        <v>20920</v>
      </c>
      <c r="E58" s="3232">
        <v>23410</v>
      </c>
      <c r="F58" s="3232">
        <v>5100</v>
      </c>
      <c r="G58" s="3232">
        <v>14200</v>
      </c>
      <c r="N58" s="3232" t="s">
        <v>3061</v>
      </c>
    </row>
    <row r="59" spans="1:17" ht="14.25" customHeight="1">
      <c r="A59" s="3232" t="s">
        <v>110</v>
      </c>
      <c r="B59" s="3232" t="s">
        <v>157</v>
      </c>
      <c r="C59" s="3232">
        <v>21000</v>
      </c>
      <c r="D59" s="3232">
        <v>21550</v>
      </c>
      <c r="E59" s="3232">
        <v>21150</v>
      </c>
      <c r="F59" s="3232">
        <v>5250</v>
      </c>
      <c r="G59" s="3232">
        <v>14630</v>
      </c>
      <c r="N59" s="3232" t="s">
        <v>3062</v>
      </c>
    </row>
    <row r="60" spans="1:17" ht="14.25" customHeight="1">
      <c r="A60" s="3232" t="s">
        <v>110</v>
      </c>
      <c r="B60" s="3232" t="s">
        <v>164</v>
      </c>
      <c r="C60" s="3232">
        <v>21640</v>
      </c>
      <c r="D60" s="3232">
        <v>21260</v>
      </c>
      <c r="E60" s="3232">
        <v>24040</v>
      </c>
      <c r="F60" s="3232">
        <v>4470</v>
      </c>
      <c r="G60" s="3232">
        <v>14430</v>
      </c>
      <c r="N60" s="3232" t="s">
        <v>3063</v>
      </c>
    </row>
    <row r="61" spans="1:17" ht="14.25" customHeight="1">
      <c r="A61" s="3232" t="s">
        <v>110</v>
      </c>
      <c r="B61" s="3232" t="s">
        <v>170</v>
      </c>
      <c r="C61" s="3232">
        <v>21330</v>
      </c>
      <c r="D61" s="3232">
        <v>18640</v>
      </c>
      <c r="E61" s="3232">
        <v>21190</v>
      </c>
      <c r="F61" s="3232">
        <v>4180</v>
      </c>
      <c r="G61" s="3232">
        <v>12650</v>
      </c>
      <c r="N61" s="3232" t="s">
        <v>3064</v>
      </c>
    </row>
    <row r="62" spans="1:17" ht="14.25" customHeight="1">
      <c r="A62" s="3232" t="s">
        <v>110</v>
      </c>
      <c r="B62" s="3232" t="s">
        <v>177</v>
      </c>
      <c r="C62" s="3232">
        <v>18710</v>
      </c>
      <c r="D62" s="3232">
        <v>19400</v>
      </c>
      <c r="E62" s="3232">
        <v>23750</v>
      </c>
      <c r="F62" s="3232">
        <v>4860</v>
      </c>
      <c r="G62" s="3232">
        <v>13170</v>
      </c>
      <c r="N62" s="3232" t="s">
        <v>3065</v>
      </c>
    </row>
    <row r="63" spans="1:17" ht="14.25" customHeight="1">
      <c r="A63" s="3232" t="s">
        <v>110</v>
      </c>
      <c r="B63" s="3232" t="s">
        <v>187</v>
      </c>
      <c r="C63" s="3232">
        <v>19480</v>
      </c>
      <c r="D63" s="3232">
        <v>16830</v>
      </c>
      <c r="E63" s="3232">
        <v>21590</v>
      </c>
      <c r="F63" s="3232">
        <v>4560</v>
      </c>
      <c r="G63" s="3232">
        <v>11420</v>
      </c>
      <c r="N63" s="3232" t="s">
        <v>3066</v>
      </c>
    </row>
    <row r="64" spans="1:17" ht="14.25" customHeight="1" thickBot="1">
      <c r="A64" s="3232" t="s">
        <v>110</v>
      </c>
      <c r="B64" s="3232" t="s">
        <v>196</v>
      </c>
      <c r="C64" s="3232">
        <v>16920</v>
      </c>
      <c r="D64" s="3232">
        <v>19190</v>
      </c>
      <c r="E64" s="3232">
        <v>22200</v>
      </c>
      <c r="F64" s="3232">
        <v>4390</v>
      </c>
      <c r="G64" s="3232">
        <v>13030</v>
      </c>
      <c r="N64" s="3239" t="s">
        <v>3067</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2938</v>
      </c>
      <c r="C78" s="3232">
        <v>19820</v>
      </c>
      <c r="D78" s="3232">
        <v>19780</v>
      </c>
      <c r="E78" s="3232">
        <v>18560</v>
      </c>
      <c r="F78" s="3232"/>
      <c r="G78" s="3232">
        <v>13430</v>
      </c>
    </row>
    <row r="79" spans="1:7" s="3221" customFormat="1" ht="14.25" customHeight="1">
      <c r="A79" s="3232" t="s">
        <v>110</v>
      </c>
      <c r="B79" s="3232" t="s">
        <v>2941</v>
      </c>
      <c r="C79" s="3232">
        <v>21660</v>
      </c>
      <c r="D79" s="3232">
        <v>18000</v>
      </c>
      <c r="E79" s="3232">
        <v>22570</v>
      </c>
      <c r="F79" s="3232"/>
      <c r="G79" s="3232">
        <v>12220</v>
      </c>
    </row>
    <row r="80" spans="1:7" s="3221" customFormat="1" ht="14.25" customHeight="1">
      <c r="A80" s="3232" t="s">
        <v>110</v>
      </c>
      <c r="B80" s="3232" t="s">
        <v>2945</v>
      </c>
      <c r="C80" s="3232">
        <v>19850</v>
      </c>
      <c r="D80" s="3232"/>
      <c r="E80" s="3232">
        <v>21700</v>
      </c>
      <c r="F80" s="3232"/>
      <c r="G80" s="3232"/>
    </row>
    <row r="81" spans="1:7" s="3221" customFormat="1" ht="14.25" customHeight="1">
      <c r="A81" s="3232" t="s">
        <v>110</v>
      </c>
      <c r="B81" s="3232" t="s">
        <v>2950</v>
      </c>
      <c r="C81" s="3232">
        <v>18080</v>
      </c>
      <c r="D81" s="3232"/>
      <c r="E81" s="3232">
        <v>20900</v>
      </c>
      <c r="F81" s="3232"/>
      <c r="G81" s="3232"/>
    </row>
    <row r="82" spans="1:7" s="3221" customFormat="1" ht="14.25" customHeight="1">
      <c r="A82" s="3232" t="s">
        <v>110</v>
      </c>
      <c r="B82" s="3232" t="s">
        <v>2957</v>
      </c>
      <c r="C82" s="3232"/>
      <c r="D82" s="3232"/>
      <c r="E82" s="3232">
        <v>20840</v>
      </c>
      <c r="F82" s="3232"/>
      <c r="G82" s="3232"/>
    </row>
    <row r="83" spans="1:7" s="3221" customFormat="1" ht="14.25" customHeight="1">
      <c r="A83" s="3232" t="s">
        <v>110</v>
      </c>
      <c r="B83" s="3232" t="s">
        <v>3068</v>
      </c>
      <c r="C83" s="3232"/>
      <c r="D83" s="3232"/>
      <c r="E83" s="3232"/>
      <c r="F83" s="3232">
        <v>4770</v>
      </c>
      <c r="G83" s="3232"/>
    </row>
    <row r="84" spans="1:7" s="3221" customFormat="1" ht="14.25" customHeight="1">
      <c r="A84" s="3232" t="s">
        <v>110</v>
      </c>
      <c r="B84" s="3232" t="s">
        <v>3069</v>
      </c>
      <c r="C84" s="3232"/>
      <c r="D84" s="3232"/>
      <c r="E84" s="3232"/>
      <c r="F84" s="3232">
        <v>4600</v>
      </c>
      <c r="G84" s="3232"/>
    </row>
    <row r="85" spans="1:7" s="3221" customFormat="1" ht="14.25" customHeight="1">
      <c r="A85" s="3232" t="s">
        <v>110</v>
      </c>
      <c r="B85" s="3232" t="s">
        <v>3070</v>
      </c>
      <c r="C85" s="3232"/>
      <c r="D85" s="3232"/>
      <c r="E85" s="3232"/>
      <c r="F85" s="3232">
        <v>4680</v>
      </c>
      <c r="G85" s="3232"/>
    </row>
    <row r="86" spans="1:7" s="3221" customFormat="1" ht="14.25" customHeight="1" thickBot="1">
      <c r="A86" s="3240" t="s">
        <v>110</v>
      </c>
      <c r="B86" s="3242" t="s">
        <v>3071</v>
      </c>
      <c r="C86" s="3243">
        <v>16610</v>
      </c>
      <c r="D86" s="3243">
        <v>16540</v>
      </c>
      <c r="E86" s="3243">
        <v>18850</v>
      </c>
      <c r="F86" s="3243"/>
      <c r="G86" s="3243">
        <v>11220</v>
      </c>
    </row>
    <row r="87" spans="1:7" s="3221" customFormat="1" ht="14.25" customHeight="1">
      <c r="A87" s="3237" t="s">
        <v>303</v>
      </c>
      <c r="B87" s="3228" t="s">
        <v>3072</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2951</v>
      </c>
      <c r="C113" s="3232">
        <v>15520</v>
      </c>
      <c r="D113" s="3232">
        <v>15450</v>
      </c>
      <c r="E113" s="3232"/>
      <c r="F113" s="3232"/>
      <c r="G113" s="3245">
        <v>10210</v>
      </c>
    </row>
    <row r="114" spans="1:7" s="3221" customFormat="1" ht="14.25" customHeight="1">
      <c r="A114" s="3232" t="s">
        <v>303</v>
      </c>
      <c r="B114" s="3232" t="s">
        <v>2958</v>
      </c>
      <c r="C114" s="3232">
        <v>13110</v>
      </c>
      <c r="D114" s="3232">
        <v>13050</v>
      </c>
      <c r="E114" s="3232"/>
      <c r="F114" s="3232"/>
      <c r="G114" s="3245">
        <v>8620</v>
      </c>
    </row>
    <row r="115" spans="1:7" s="3221" customFormat="1" ht="14.25" customHeight="1">
      <c r="A115" s="3232" t="s">
        <v>303</v>
      </c>
      <c r="B115" s="3232" t="s">
        <v>2964</v>
      </c>
      <c r="C115" s="3232">
        <v>12460</v>
      </c>
      <c r="D115" s="3232">
        <v>12390</v>
      </c>
      <c r="E115" s="3232"/>
      <c r="F115" s="3232"/>
      <c r="G115" s="3245">
        <v>8190</v>
      </c>
    </row>
    <row r="116" spans="1:7" s="3221" customFormat="1" ht="14.25" customHeight="1">
      <c r="A116" s="3232" t="s">
        <v>303</v>
      </c>
      <c r="B116" s="3232" t="s">
        <v>2971</v>
      </c>
      <c r="C116" s="3232">
        <v>13580</v>
      </c>
      <c r="D116" s="3232">
        <v>13520</v>
      </c>
      <c r="E116" s="3232"/>
      <c r="F116" s="3232"/>
      <c r="G116" s="3245">
        <v>8930</v>
      </c>
    </row>
    <row r="117" spans="1:7" s="3221" customFormat="1" ht="14.25" customHeight="1">
      <c r="A117" s="3232" t="s">
        <v>303</v>
      </c>
      <c r="B117" s="3232" t="s">
        <v>2978</v>
      </c>
      <c r="C117" s="3232">
        <v>17120</v>
      </c>
      <c r="D117" s="3232">
        <v>17040</v>
      </c>
      <c r="E117" s="3232"/>
      <c r="F117" s="3232"/>
      <c r="G117" s="3245">
        <v>11260</v>
      </c>
    </row>
    <row r="118" spans="1:7" s="3221" customFormat="1" ht="14.25" customHeight="1">
      <c r="A118" s="3232" t="s">
        <v>303</v>
      </c>
      <c r="B118" s="3232" t="s">
        <v>2983</v>
      </c>
      <c r="C118" s="3232">
        <v>14860</v>
      </c>
      <c r="D118" s="3232">
        <v>14790</v>
      </c>
      <c r="E118" s="3232"/>
      <c r="F118" s="3232"/>
      <c r="G118" s="3245">
        <v>9780</v>
      </c>
    </row>
    <row r="119" spans="1:7" s="3221" customFormat="1" ht="14.25" customHeight="1">
      <c r="A119" s="3232" t="s">
        <v>303</v>
      </c>
      <c r="B119" s="3232" t="s">
        <v>2987</v>
      </c>
      <c r="C119" s="3232">
        <v>16470</v>
      </c>
      <c r="D119" s="3232">
        <v>16400</v>
      </c>
      <c r="E119" s="3232"/>
      <c r="F119" s="3232"/>
      <c r="G119" s="3245">
        <v>10840</v>
      </c>
    </row>
    <row r="120" spans="1:7" s="3221" customFormat="1" ht="14.25" customHeight="1">
      <c r="A120" s="3232" t="s">
        <v>303</v>
      </c>
      <c r="B120" s="3232" t="s">
        <v>3073</v>
      </c>
      <c r="C120" s="3232"/>
      <c r="D120" s="3232"/>
      <c r="E120" s="3232"/>
      <c r="F120" s="3232">
        <v>4160</v>
      </c>
      <c r="G120" s="3245"/>
    </row>
    <row r="121" spans="1:7" s="3221" customFormat="1" ht="14.25" customHeight="1">
      <c r="A121" s="3232" t="s">
        <v>303</v>
      </c>
      <c r="B121" s="3232" t="s">
        <v>3074</v>
      </c>
      <c r="C121" s="3232"/>
      <c r="D121" s="3232"/>
      <c r="E121" s="3232"/>
      <c r="F121" s="3232">
        <v>3880</v>
      </c>
      <c r="G121" s="3245"/>
    </row>
    <row r="122" spans="1:7" s="3221" customFormat="1" ht="14.25" customHeight="1">
      <c r="A122" s="3232" t="s">
        <v>303</v>
      </c>
      <c r="B122" s="3232" t="s">
        <v>3075</v>
      </c>
      <c r="C122" s="3232">
        <v>13750</v>
      </c>
      <c r="D122" s="3232">
        <v>13680</v>
      </c>
      <c r="E122" s="3232">
        <v>16460</v>
      </c>
      <c r="F122" s="3232">
        <v>2880</v>
      </c>
      <c r="G122" s="3245">
        <v>9040</v>
      </c>
    </row>
    <row r="123" spans="1:7" s="3221" customFormat="1" ht="14.25" customHeight="1">
      <c r="A123" s="3232" t="s">
        <v>303</v>
      </c>
      <c r="B123" s="3232" t="s">
        <v>3006</v>
      </c>
      <c r="C123" s="3232">
        <v>13590</v>
      </c>
      <c r="D123" s="3232">
        <v>13520</v>
      </c>
      <c r="E123" s="3232">
        <v>16290</v>
      </c>
      <c r="F123" s="3232">
        <v>2790</v>
      </c>
      <c r="G123" s="3245">
        <v>8930</v>
      </c>
    </row>
    <row r="124" spans="1:7" s="3221" customFormat="1" ht="14.25" customHeight="1">
      <c r="A124" s="3232" t="s">
        <v>303</v>
      </c>
      <c r="B124" s="3232" t="s">
        <v>3011</v>
      </c>
      <c r="C124" s="3232">
        <v>13400</v>
      </c>
      <c r="D124" s="3232">
        <v>13320</v>
      </c>
      <c r="E124" s="3232">
        <v>16100</v>
      </c>
      <c r="F124" s="3232">
        <v>2320</v>
      </c>
      <c r="G124" s="3245">
        <v>8800</v>
      </c>
    </row>
    <row r="125" spans="1:7" s="3221" customFormat="1" ht="14.25" customHeight="1">
      <c r="A125" s="3232" t="s">
        <v>303</v>
      </c>
      <c r="B125" s="3232" t="s">
        <v>3016</v>
      </c>
      <c r="C125" s="3232">
        <v>12860</v>
      </c>
      <c r="D125" s="3232">
        <v>12790</v>
      </c>
      <c r="E125" s="3232">
        <v>15370</v>
      </c>
      <c r="F125" s="3232">
        <v>2280</v>
      </c>
      <c r="G125" s="3245">
        <v>8450</v>
      </c>
    </row>
    <row r="126" spans="1:7" s="3221" customFormat="1" ht="14.25" customHeight="1" thickBot="1">
      <c r="A126" s="3246" t="s">
        <v>303</v>
      </c>
      <c r="B126" s="3239" t="s">
        <v>3021</v>
      </c>
      <c r="C126" s="3239">
        <v>12960</v>
      </c>
      <c r="D126" s="3239">
        <v>12890</v>
      </c>
      <c r="E126" s="3239">
        <v>15530</v>
      </c>
      <c r="F126" s="3239">
        <v>2910</v>
      </c>
      <c r="G126" s="3247">
        <v>8520</v>
      </c>
    </row>
    <row r="127" spans="1:7" s="3221" customFormat="1" ht="14.25" customHeight="1">
      <c r="A127" s="3237" t="s">
        <v>29</v>
      </c>
      <c r="B127" s="3228" t="s">
        <v>3076</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3077</v>
      </c>
      <c r="C148" s="3232">
        <v>10370</v>
      </c>
      <c r="D148" s="3232">
        <v>10310</v>
      </c>
      <c r="E148" s="3232">
        <v>12970</v>
      </c>
      <c r="F148" s="3232"/>
      <c r="G148" s="3232">
        <v>6630</v>
      </c>
    </row>
    <row r="149" spans="1:7" s="3221" customFormat="1" ht="14.25" customHeight="1">
      <c r="A149" s="3232" t="s">
        <v>29</v>
      </c>
      <c r="B149" s="3232" t="s">
        <v>3078</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2952</v>
      </c>
      <c r="C153" s="3232">
        <v>10880</v>
      </c>
      <c r="D153" s="3232">
        <v>10820</v>
      </c>
      <c r="E153" s="3232">
        <v>13660</v>
      </c>
      <c r="F153" s="3232">
        <v>2260</v>
      </c>
      <c r="G153" s="3232">
        <v>6970</v>
      </c>
    </row>
    <row r="154" spans="1:7" s="3221" customFormat="1" ht="14.25" customHeight="1">
      <c r="A154" s="3232" t="s">
        <v>29</v>
      </c>
      <c r="B154" s="3232" t="s">
        <v>3079</v>
      </c>
      <c r="C154" s="3232">
        <v>11220</v>
      </c>
      <c r="D154" s="3232">
        <v>11160</v>
      </c>
      <c r="E154" s="3232">
        <v>14130</v>
      </c>
      <c r="F154" s="3232">
        <v>2230</v>
      </c>
      <c r="G154" s="3232">
        <v>7180</v>
      </c>
    </row>
    <row r="155" spans="1:7" s="3221" customFormat="1" ht="14.25" customHeight="1">
      <c r="A155" s="3232" t="s">
        <v>29</v>
      </c>
      <c r="B155" s="3232" t="s">
        <v>2965</v>
      </c>
      <c r="C155" s="3232">
        <v>10430</v>
      </c>
      <c r="D155" s="3232">
        <v>10380</v>
      </c>
      <c r="E155" s="3232">
        <v>13140</v>
      </c>
      <c r="F155" s="3232">
        <v>2080</v>
      </c>
      <c r="G155" s="3232">
        <v>6650</v>
      </c>
    </row>
    <row r="156" spans="1:7" s="3221" customFormat="1" ht="14.25" customHeight="1">
      <c r="A156" s="3232" t="s">
        <v>29</v>
      </c>
      <c r="B156" s="3232" t="s">
        <v>3080</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3081</v>
      </c>
      <c r="C160" s="3232">
        <v>11180</v>
      </c>
      <c r="D160" s="3232">
        <v>11140</v>
      </c>
      <c r="E160" s="3232">
        <v>14050</v>
      </c>
      <c r="F160" s="3232">
        <v>2270</v>
      </c>
      <c r="G160" s="3232">
        <v>7170</v>
      </c>
    </row>
    <row r="161" spans="1:7" s="3221" customFormat="1" ht="14.25" customHeight="1">
      <c r="A161" s="3232" t="s">
        <v>29</v>
      </c>
      <c r="B161" s="3232" t="s">
        <v>2997</v>
      </c>
      <c r="C161" s="3232">
        <v>11160</v>
      </c>
      <c r="D161" s="3232">
        <v>11120</v>
      </c>
      <c r="E161" s="3232">
        <v>14020</v>
      </c>
      <c r="F161" s="3232">
        <v>2150</v>
      </c>
      <c r="G161" s="3232">
        <v>7160</v>
      </c>
    </row>
    <row r="162" spans="1:7" s="3221" customFormat="1" ht="14.25" customHeight="1">
      <c r="A162" s="3232" t="s">
        <v>29</v>
      </c>
      <c r="B162" s="3232" t="s">
        <v>3002</v>
      </c>
      <c r="C162" s="3232">
        <v>9620</v>
      </c>
      <c r="D162" s="3232">
        <v>9570</v>
      </c>
      <c r="E162" s="3232">
        <v>12320</v>
      </c>
      <c r="F162" s="3232">
        <v>2010</v>
      </c>
      <c r="G162" s="3232">
        <v>6160</v>
      </c>
    </row>
    <row r="163" spans="1:7" s="3221" customFormat="1" ht="14.25" customHeight="1">
      <c r="A163" s="3232" t="s">
        <v>29</v>
      </c>
      <c r="B163" s="3232" t="s">
        <v>3007</v>
      </c>
      <c r="C163" s="3232">
        <v>9320</v>
      </c>
      <c r="D163" s="3232">
        <v>9270</v>
      </c>
      <c r="E163" s="3232">
        <v>11790</v>
      </c>
      <c r="F163" s="3232">
        <v>1920</v>
      </c>
      <c r="G163" s="3232">
        <v>5960</v>
      </c>
    </row>
    <row r="164" spans="1:7" s="3221" customFormat="1" ht="14.25" customHeight="1">
      <c r="A164" s="3232" t="s">
        <v>29</v>
      </c>
      <c r="B164" s="3232" t="s">
        <v>3012</v>
      </c>
      <c r="C164" s="3232"/>
      <c r="D164" s="3232"/>
      <c r="E164" s="3232"/>
      <c r="F164" s="3232">
        <v>1980</v>
      </c>
      <c r="G164" s="3232"/>
    </row>
    <row r="165" spans="1:7" s="3221" customFormat="1" ht="14.25" customHeight="1">
      <c r="A165" s="3232" t="s">
        <v>29</v>
      </c>
      <c r="B165" s="3232" t="s">
        <v>3082</v>
      </c>
      <c r="C165" s="3232">
        <v>11060</v>
      </c>
      <c r="D165" s="3232">
        <v>11030</v>
      </c>
      <c r="E165" s="3232">
        <v>13850</v>
      </c>
      <c r="F165" s="3232">
        <v>2170</v>
      </c>
      <c r="G165" s="3232">
        <v>7090</v>
      </c>
    </row>
    <row r="166" spans="1:7" s="3221" customFormat="1" ht="14.25" customHeight="1">
      <c r="A166" s="3232" t="s">
        <v>29</v>
      </c>
      <c r="B166" s="3232" t="s">
        <v>3022</v>
      </c>
      <c r="C166" s="3232">
        <v>11050</v>
      </c>
      <c r="D166" s="3232">
        <v>11010</v>
      </c>
      <c r="E166" s="3232">
        <v>13920</v>
      </c>
      <c r="F166" s="3232">
        <v>2140</v>
      </c>
      <c r="G166" s="3232">
        <v>7080</v>
      </c>
    </row>
    <row r="167" spans="1:7" s="3221" customFormat="1" ht="14.25" customHeight="1">
      <c r="A167" s="3232" t="s">
        <v>29</v>
      </c>
      <c r="B167" s="3232" t="s">
        <v>3026</v>
      </c>
      <c r="C167" s="3232">
        <v>10930</v>
      </c>
      <c r="D167" s="3232">
        <v>10890</v>
      </c>
      <c r="E167" s="3232">
        <v>13790</v>
      </c>
      <c r="F167" s="3232">
        <v>2010</v>
      </c>
      <c r="G167" s="3232">
        <v>7000</v>
      </c>
    </row>
    <row r="168" spans="1:7" s="3221" customFormat="1" ht="14.25" customHeight="1">
      <c r="A168" s="3232" t="s">
        <v>29</v>
      </c>
      <c r="B168" s="3232" t="s">
        <v>3031</v>
      </c>
      <c r="C168" s="3232">
        <v>9420</v>
      </c>
      <c r="D168" s="3232">
        <v>9380</v>
      </c>
      <c r="E168" s="3232">
        <v>11970</v>
      </c>
      <c r="F168" s="3232"/>
      <c r="G168" s="3232">
        <v>6040</v>
      </c>
    </row>
    <row r="169" spans="1:7" s="3221" customFormat="1" ht="14.25" customHeight="1">
      <c r="A169" s="3232" t="s">
        <v>29</v>
      </c>
      <c r="B169" s="3232" t="s">
        <v>3083</v>
      </c>
      <c r="C169" s="3232"/>
      <c r="D169" s="3232"/>
      <c r="E169" s="3232"/>
      <c r="F169" s="3232">
        <v>2880</v>
      </c>
      <c r="G169" s="3232"/>
    </row>
    <row r="170" spans="1:7" s="3221" customFormat="1" ht="14.25" customHeight="1">
      <c r="A170" s="3232" t="s">
        <v>29</v>
      </c>
      <c r="B170" s="3232" t="s">
        <v>3039</v>
      </c>
      <c r="C170" s="3232"/>
      <c r="D170" s="3232"/>
      <c r="E170" s="3232"/>
      <c r="F170" s="3232">
        <v>2880</v>
      </c>
      <c r="G170" s="3232"/>
    </row>
    <row r="171" spans="1:7" s="3221" customFormat="1" ht="14.25" customHeight="1">
      <c r="A171" s="3232" t="s">
        <v>29</v>
      </c>
      <c r="B171" s="3232" t="s">
        <v>3042</v>
      </c>
      <c r="C171" s="3232"/>
      <c r="D171" s="3232"/>
      <c r="E171" s="3232"/>
      <c r="F171" s="3232">
        <v>2880</v>
      </c>
      <c r="G171" s="3232"/>
    </row>
    <row r="172" spans="1:7" s="3221" customFormat="1" ht="14.25" customHeight="1">
      <c r="A172" s="3232" t="s">
        <v>29</v>
      </c>
      <c r="B172" s="3232" t="s">
        <v>3044</v>
      </c>
      <c r="C172" s="3232"/>
      <c r="D172" s="3232"/>
      <c r="E172" s="3232"/>
      <c r="F172" s="3232">
        <v>2880</v>
      </c>
      <c r="G172" s="3232"/>
    </row>
    <row r="173" spans="1:7" s="3221" customFormat="1" ht="14.25" customHeight="1">
      <c r="A173" s="3232" t="s">
        <v>29</v>
      </c>
      <c r="B173" s="3232" t="s">
        <v>3046</v>
      </c>
      <c r="C173" s="3232"/>
      <c r="D173" s="3232"/>
      <c r="E173" s="3232"/>
      <c r="F173" s="3232">
        <v>2150</v>
      </c>
      <c r="G173" s="3232"/>
    </row>
    <row r="174" spans="1:7" s="3221" customFormat="1" ht="14.25" customHeight="1">
      <c r="A174" s="3232" t="s">
        <v>29</v>
      </c>
      <c r="B174" s="3232" t="s">
        <v>3048</v>
      </c>
      <c r="C174" s="3232"/>
      <c r="D174" s="3232"/>
      <c r="E174" s="3232"/>
      <c r="F174" s="3232">
        <v>2030</v>
      </c>
      <c r="G174" s="3232"/>
    </row>
    <row r="175" spans="1:7" s="3221" customFormat="1" ht="14.25" customHeight="1">
      <c r="A175" s="3232" t="s">
        <v>29</v>
      </c>
      <c r="B175" s="3232" t="s">
        <v>3050</v>
      </c>
      <c r="C175" s="3232"/>
      <c r="D175" s="3232"/>
      <c r="E175" s="3232"/>
      <c r="F175" s="3232">
        <v>2780</v>
      </c>
      <c r="G175" s="3232"/>
    </row>
    <row r="176" spans="1:7" s="3221" customFormat="1" ht="14.25" customHeight="1">
      <c r="A176" s="3232" t="s">
        <v>29</v>
      </c>
      <c r="B176" s="3232" t="s">
        <v>3052</v>
      </c>
      <c r="C176" s="3232"/>
      <c r="D176" s="3232"/>
      <c r="E176" s="3232"/>
      <c r="F176" s="3232">
        <v>2780</v>
      </c>
      <c r="G176" s="3232"/>
    </row>
    <row r="177" spans="1:7" s="3221" customFormat="1" ht="14.25" customHeight="1">
      <c r="A177" s="3232" t="s">
        <v>29</v>
      </c>
      <c r="B177" s="3232" t="s">
        <v>3084</v>
      </c>
      <c r="C177" s="3232"/>
      <c r="D177" s="3232"/>
      <c r="E177" s="3232"/>
      <c r="F177" s="3232">
        <v>2780</v>
      </c>
      <c r="G177" s="3232"/>
    </row>
    <row r="178" spans="1:7" s="3221" customFormat="1" ht="14.25" customHeight="1">
      <c r="A178" s="3232" t="s">
        <v>29</v>
      </c>
      <c r="B178" s="3232" t="s">
        <v>3085</v>
      </c>
      <c r="C178" s="3232"/>
      <c r="D178" s="3232"/>
      <c r="E178" s="3232"/>
      <c r="F178" s="3232">
        <v>2060</v>
      </c>
      <c r="G178" s="3232"/>
    </row>
    <row r="179" spans="1:7" s="3221" customFormat="1" ht="14.25" customHeight="1">
      <c r="A179" s="3232" t="s">
        <v>29</v>
      </c>
      <c r="B179" s="3232" t="s">
        <v>3086</v>
      </c>
      <c r="C179" s="3232"/>
      <c r="D179" s="3232"/>
      <c r="E179" s="3232"/>
      <c r="F179" s="3232">
        <v>2120</v>
      </c>
      <c r="G179" s="3232"/>
    </row>
    <row r="180" spans="1:7" s="3221" customFormat="1" ht="14.25" customHeight="1">
      <c r="A180" s="3232" t="s">
        <v>29</v>
      </c>
      <c r="B180" s="3232" t="s">
        <v>3058</v>
      </c>
      <c r="C180" s="3232"/>
      <c r="D180" s="3232"/>
      <c r="E180" s="3232"/>
      <c r="F180" s="3232">
        <v>2340</v>
      </c>
      <c r="G180" s="3232"/>
    </row>
    <row r="181" spans="1:7" s="3221" customFormat="1" ht="14.25" customHeight="1">
      <c r="A181" s="3232" t="s">
        <v>29</v>
      </c>
      <c r="B181" s="3232" t="s">
        <v>3059</v>
      </c>
      <c r="C181" s="3232"/>
      <c r="D181" s="3232"/>
      <c r="E181" s="3232"/>
      <c r="F181" s="3232">
        <v>2340</v>
      </c>
      <c r="G181" s="3232"/>
    </row>
    <row r="182" spans="1:7" s="3221" customFormat="1" ht="14.25" customHeight="1">
      <c r="A182" s="3232" t="s">
        <v>29</v>
      </c>
      <c r="B182" s="3232" t="s">
        <v>3060</v>
      </c>
      <c r="C182" s="3232"/>
      <c r="D182" s="3232"/>
      <c r="E182" s="3232"/>
      <c r="F182" s="3232">
        <v>2340</v>
      </c>
      <c r="G182" s="3232"/>
    </row>
    <row r="183" spans="1:7" s="3221" customFormat="1" ht="14.25" customHeight="1">
      <c r="A183" s="3232" t="s">
        <v>29</v>
      </c>
      <c r="B183" s="3232" t="s">
        <v>3061</v>
      </c>
      <c r="C183" s="3232"/>
      <c r="D183" s="3232"/>
      <c r="E183" s="3232"/>
      <c r="F183" s="3232">
        <v>2340</v>
      </c>
      <c r="G183" s="3232"/>
    </row>
    <row r="184" spans="1:7" s="3221" customFormat="1" ht="14.25" customHeight="1">
      <c r="A184" s="3232" t="s">
        <v>29</v>
      </c>
      <c r="B184" s="3232" t="s">
        <v>3062</v>
      </c>
      <c r="C184" s="3232"/>
      <c r="D184" s="3232"/>
      <c r="E184" s="3232"/>
      <c r="F184" s="3232">
        <v>2340</v>
      </c>
      <c r="G184" s="3232"/>
    </row>
    <row r="185" spans="1:7" s="3221" customFormat="1" ht="14.25" customHeight="1">
      <c r="A185" s="3232" t="s">
        <v>29</v>
      </c>
      <c r="B185" s="3232" t="s">
        <v>3063</v>
      </c>
      <c r="C185" s="3232"/>
      <c r="D185" s="3232"/>
      <c r="E185" s="3232"/>
      <c r="F185" s="3232">
        <v>2530</v>
      </c>
      <c r="G185" s="3232"/>
    </row>
    <row r="186" spans="1:7" s="3221" customFormat="1" ht="14.25" customHeight="1">
      <c r="A186" s="3232" t="s">
        <v>29</v>
      </c>
      <c r="B186" s="3232" t="s">
        <v>3064</v>
      </c>
      <c r="C186" s="3232"/>
      <c r="D186" s="3232"/>
      <c r="E186" s="3232"/>
      <c r="F186" s="3232">
        <v>2550</v>
      </c>
      <c r="G186" s="3232"/>
    </row>
    <row r="187" spans="1:7" s="3221" customFormat="1" ht="14.25" customHeight="1">
      <c r="A187" s="3232" t="s">
        <v>29</v>
      </c>
      <c r="B187" s="3232" t="s">
        <v>3065</v>
      </c>
      <c r="C187" s="3232"/>
      <c r="D187" s="3232"/>
      <c r="E187" s="3232"/>
      <c r="F187" s="3232">
        <v>2070</v>
      </c>
      <c r="G187" s="3232"/>
    </row>
    <row r="188" spans="1:7" s="3221" customFormat="1" ht="14.25" customHeight="1">
      <c r="A188" s="3232" t="s">
        <v>29</v>
      </c>
      <c r="B188" s="3232" t="s">
        <v>3066</v>
      </c>
      <c r="C188" s="3232"/>
      <c r="D188" s="3232"/>
      <c r="E188" s="3232"/>
      <c r="F188" s="3232">
        <v>2340</v>
      </c>
      <c r="G188" s="3232"/>
    </row>
    <row r="189" spans="1:7" s="3221" customFormat="1" ht="14.25" customHeight="1" thickBot="1">
      <c r="A189" s="3240" t="s">
        <v>29</v>
      </c>
      <c r="B189" s="3243" t="s">
        <v>3067</v>
      </c>
      <c r="C189" s="3243"/>
      <c r="D189" s="3243"/>
      <c r="E189" s="3243"/>
      <c r="F189" s="3243">
        <v>2050</v>
      </c>
      <c r="G189" s="3243"/>
    </row>
    <row r="190" spans="1:7" s="3221" customFormat="1" ht="14.25" customHeight="1">
      <c r="A190" s="3237" t="s">
        <v>304</v>
      </c>
      <c r="B190" s="3228" t="s">
        <v>3087</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3088</v>
      </c>
      <c r="C199" s="3232">
        <v>8690</v>
      </c>
      <c r="D199" s="3232">
        <v>8630</v>
      </c>
      <c r="E199" s="3232">
        <v>11350</v>
      </c>
      <c r="F199" s="3232">
        <v>1600</v>
      </c>
      <c r="G199" s="3245">
        <v>5450</v>
      </c>
    </row>
    <row r="200" spans="1:7" s="3221" customFormat="1" ht="14.25" customHeight="1">
      <c r="A200" s="3232" t="s">
        <v>304</v>
      </c>
      <c r="B200" s="3232" t="s">
        <v>2899</v>
      </c>
      <c r="C200" s="3232"/>
      <c r="D200" s="3232"/>
      <c r="E200" s="3232"/>
      <c r="F200" s="3232">
        <v>1510</v>
      </c>
      <c r="G200" s="3245"/>
    </row>
    <row r="201" spans="1:7" s="3221" customFormat="1" ht="14.25" customHeight="1">
      <c r="A201" s="3232" t="s">
        <v>304</v>
      </c>
      <c r="B201" s="3232" t="s">
        <v>3089</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3090</v>
      </c>
      <c r="C203" s="3232">
        <v>8130</v>
      </c>
      <c r="D203" s="3232">
        <v>8070</v>
      </c>
      <c r="E203" s="3232">
        <v>10820</v>
      </c>
      <c r="F203" s="3232">
        <v>1690</v>
      </c>
      <c r="G203" s="3245">
        <v>5100</v>
      </c>
    </row>
    <row r="204" spans="1:7" s="3221" customFormat="1" ht="14.25" customHeight="1">
      <c r="A204" s="3232" t="s">
        <v>304</v>
      </c>
      <c r="B204" s="3232" t="s">
        <v>2910</v>
      </c>
      <c r="C204" s="3232">
        <v>8350</v>
      </c>
      <c r="D204" s="3232">
        <v>8290</v>
      </c>
      <c r="E204" s="3232">
        <v>11080</v>
      </c>
      <c r="F204" s="3232">
        <v>1450</v>
      </c>
      <c r="G204" s="3245">
        <v>5240</v>
      </c>
    </row>
    <row r="205" spans="1:7" s="3221" customFormat="1" ht="14.25" customHeight="1">
      <c r="A205" s="3232" t="s">
        <v>304</v>
      </c>
      <c r="B205" s="3232" t="s">
        <v>2912</v>
      </c>
      <c r="C205" s="3232">
        <v>7190</v>
      </c>
      <c r="D205" s="3232">
        <v>7130</v>
      </c>
      <c r="E205" s="3232">
        <v>9490</v>
      </c>
      <c r="F205" s="3232">
        <v>1470</v>
      </c>
      <c r="G205" s="3245">
        <v>4510</v>
      </c>
    </row>
    <row r="206" spans="1:7" s="3221" customFormat="1" ht="14.25" customHeight="1">
      <c r="A206" s="3232" t="s">
        <v>304</v>
      </c>
      <c r="B206" s="3232" t="s">
        <v>2915</v>
      </c>
      <c r="C206" s="3232">
        <v>7000</v>
      </c>
      <c r="D206" s="3232">
        <v>6950</v>
      </c>
      <c r="E206" s="3232">
        <v>9170</v>
      </c>
      <c r="F206" s="3232">
        <v>1400</v>
      </c>
      <c r="G206" s="3245">
        <v>4380</v>
      </c>
    </row>
    <row r="207" spans="1:7" s="3221" customFormat="1" ht="14.25" customHeight="1">
      <c r="A207" s="3232" t="s">
        <v>304</v>
      </c>
      <c r="B207" s="3232" t="s">
        <v>2917</v>
      </c>
      <c r="C207" s="3232">
        <v>6950</v>
      </c>
      <c r="D207" s="3232">
        <v>6900</v>
      </c>
      <c r="E207" s="3232">
        <v>9110</v>
      </c>
      <c r="F207" s="3232">
        <v>1790</v>
      </c>
      <c r="G207" s="3245">
        <v>4360</v>
      </c>
    </row>
    <row r="208" spans="1:7" s="3221" customFormat="1" ht="14.25" customHeight="1">
      <c r="A208" s="3232" t="s">
        <v>304</v>
      </c>
      <c r="B208" s="3232" t="s">
        <v>3091</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2927</v>
      </c>
      <c r="C210" s="3232">
        <v>8710</v>
      </c>
      <c r="D210" s="3232">
        <v>8660</v>
      </c>
      <c r="E210" s="3232">
        <v>11440</v>
      </c>
      <c r="F210" s="3232">
        <v>1740</v>
      </c>
      <c r="G210" s="3245">
        <v>5470</v>
      </c>
    </row>
    <row r="211" spans="1:7" s="3221" customFormat="1" ht="14.25" customHeight="1">
      <c r="A211" s="3232" t="s">
        <v>304</v>
      </c>
      <c r="B211" s="3232" t="s">
        <v>3092</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3093</v>
      </c>
      <c r="C214" s="3232">
        <v>8090</v>
      </c>
      <c r="D214" s="3232">
        <v>8030</v>
      </c>
      <c r="E214" s="3232">
        <v>10780</v>
      </c>
      <c r="F214" s="3232">
        <v>1570</v>
      </c>
      <c r="G214" s="3245">
        <v>5070</v>
      </c>
    </row>
    <row r="215" spans="1:7" s="3221" customFormat="1" ht="14.25" customHeight="1">
      <c r="A215" s="3232" t="s">
        <v>304</v>
      </c>
      <c r="B215" s="3232" t="s">
        <v>3094</v>
      </c>
      <c r="C215" s="3232">
        <v>7950</v>
      </c>
      <c r="D215" s="3232">
        <v>7900</v>
      </c>
      <c r="E215" s="3232">
        <v>10560</v>
      </c>
      <c r="F215" s="3232">
        <v>1630</v>
      </c>
      <c r="G215" s="3245">
        <v>4990</v>
      </c>
    </row>
    <row r="216" spans="1:7" s="3221" customFormat="1" ht="14.25" customHeight="1">
      <c r="A216" s="3232" t="s">
        <v>304</v>
      </c>
      <c r="B216" s="3232" t="s">
        <v>3095</v>
      </c>
      <c r="C216" s="3232">
        <v>8490</v>
      </c>
      <c r="D216" s="3232">
        <v>8440</v>
      </c>
      <c r="E216" s="3232">
        <v>11260</v>
      </c>
      <c r="F216" s="3232">
        <v>1690</v>
      </c>
      <c r="G216" s="3245">
        <v>5330</v>
      </c>
    </row>
    <row r="217" spans="1:7" s="3221" customFormat="1" ht="14.25" customHeight="1">
      <c r="A217" s="3232" t="s">
        <v>304</v>
      </c>
      <c r="B217" s="3232" t="s">
        <v>2960</v>
      </c>
      <c r="C217" s="3232">
        <v>8200</v>
      </c>
      <c r="D217" s="3232">
        <v>8150</v>
      </c>
      <c r="E217" s="3232">
        <v>10910</v>
      </c>
      <c r="F217" s="3232">
        <v>1670</v>
      </c>
      <c r="G217" s="3245">
        <v>5150</v>
      </c>
    </row>
    <row r="218" spans="1:7" s="3221" customFormat="1" ht="14.25" customHeight="1">
      <c r="A218" s="3232" t="s">
        <v>304</v>
      </c>
      <c r="B218" s="3232" t="s">
        <v>3096</v>
      </c>
      <c r="C218" s="3232"/>
      <c r="D218" s="3232"/>
      <c r="E218" s="3232"/>
      <c r="F218" s="3232">
        <v>2040</v>
      </c>
      <c r="G218" s="3245"/>
    </row>
    <row r="219" spans="1:7" s="3221" customFormat="1" ht="14.25" customHeight="1">
      <c r="A219" s="3232" t="s">
        <v>304</v>
      </c>
      <c r="B219" s="3232" t="s">
        <v>3097</v>
      </c>
      <c r="C219" s="3232"/>
      <c r="D219" s="3232"/>
      <c r="E219" s="3232"/>
      <c r="F219" s="3232">
        <v>2040</v>
      </c>
      <c r="G219" s="3245"/>
    </row>
    <row r="220" spans="1:7" s="3221" customFormat="1" ht="14.25" customHeight="1">
      <c r="A220" s="3232" t="s">
        <v>304</v>
      </c>
      <c r="B220" s="3232" t="s">
        <v>3098</v>
      </c>
      <c r="C220" s="3232"/>
      <c r="D220" s="3232"/>
      <c r="E220" s="3232"/>
      <c r="F220" s="3232">
        <v>2040</v>
      </c>
      <c r="G220" s="3245"/>
    </row>
    <row r="221" spans="1:7" s="3221" customFormat="1" ht="14.25" customHeight="1">
      <c r="A221" s="3232" t="s">
        <v>304</v>
      </c>
      <c r="B221" s="3232" t="s">
        <v>3099</v>
      </c>
      <c r="C221" s="3232"/>
      <c r="D221" s="3232"/>
      <c r="E221" s="3232"/>
      <c r="F221" s="3232">
        <v>2040</v>
      </c>
      <c r="G221" s="3245"/>
    </row>
    <row r="222" spans="1:7" s="3221" customFormat="1" ht="14.25" customHeight="1">
      <c r="A222" s="3232" t="s">
        <v>304</v>
      </c>
      <c r="B222" s="3232" t="s">
        <v>3100</v>
      </c>
      <c r="C222" s="3232"/>
      <c r="D222" s="3232"/>
      <c r="E222" s="3232"/>
      <c r="F222" s="3232">
        <v>2040</v>
      </c>
      <c r="G222" s="3245"/>
    </row>
    <row r="223" spans="1:7" s="3221" customFormat="1" ht="14.25" customHeight="1">
      <c r="A223" s="3232" t="s">
        <v>304</v>
      </c>
      <c r="B223" s="3232" t="s">
        <v>3101</v>
      </c>
      <c r="C223" s="3232"/>
      <c r="D223" s="3232"/>
      <c r="E223" s="3232"/>
      <c r="F223" s="3232">
        <v>1930</v>
      </c>
      <c r="G223" s="3245"/>
    </row>
    <row r="224" spans="1:7" s="3221" customFormat="1" ht="14.25" customHeight="1">
      <c r="A224" s="3232" t="s">
        <v>304</v>
      </c>
      <c r="B224" s="3232" t="s">
        <v>3102</v>
      </c>
      <c r="C224" s="3232"/>
      <c r="D224" s="3232"/>
      <c r="E224" s="3232"/>
      <c r="F224" s="3232">
        <v>1930</v>
      </c>
      <c r="G224" s="3245"/>
    </row>
    <row r="225" spans="1:7" s="3221" customFormat="1" ht="14.25" customHeight="1">
      <c r="A225" s="3232" t="s">
        <v>304</v>
      </c>
      <c r="B225" s="3232" t="s">
        <v>3103</v>
      </c>
      <c r="C225" s="3232"/>
      <c r="D225" s="3232"/>
      <c r="E225" s="3232"/>
      <c r="F225" s="3232">
        <v>1930</v>
      </c>
      <c r="G225" s="3245"/>
    </row>
    <row r="226" spans="1:7" s="3221" customFormat="1" ht="14.25" customHeight="1">
      <c r="A226" s="3232" t="s">
        <v>304</v>
      </c>
      <c r="B226" s="3232" t="s">
        <v>3104</v>
      </c>
      <c r="C226" s="3232"/>
      <c r="D226" s="3232"/>
      <c r="E226" s="3232"/>
      <c r="F226" s="3232">
        <v>1700</v>
      </c>
      <c r="G226" s="3245"/>
    </row>
    <row r="227" spans="1:7" s="3221" customFormat="1" ht="14.25" customHeight="1">
      <c r="A227" s="3232" t="s">
        <v>304</v>
      </c>
      <c r="B227" s="3232" t="s">
        <v>3105</v>
      </c>
      <c r="C227" s="3232"/>
      <c r="D227" s="3232"/>
      <c r="E227" s="3232"/>
      <c r="F227" s="3232">
        <v>1520</v>
      </c>
      <c r="G227" s="3245"/>
    </row>
    <row r="228" spans="1:7" s="3221" customFormat="1" ht="14.25" customHeight="1">
      <c r="A228" s="3232" t="s">
        <v>304</v>
      </c>
      <c r="B228" s="3232" t="s">
        <v>3106</v>
      </c>
      <c r="C228" s="3232"/>
      <c r="D228" s="3232"/>
      <c r="E228" s="3232"/>
      <c r="F228" s="3232">
        <v>1520</v>
      </c>
      <c r="G228" s="3245"/>
    </row>
    <row r="229" spans="1:7" s="3221" customFormat="1" ht="14.25" customHeight="1">
      <c r="A229" s="3232" t="s">
        <v>304</v>
      </c>
      <c r="B229" s="3232" t="s">
        <v>3023</v>
      </c>
      <c r="C229" s="3232"/>
      <c r="D229" s="3232"/>
      <c r="E229" s="3232"/>
      <c r="F229" s="3232">
        <v>1520</v>
      </c>
      <c r="G229" s="3245"/>
    </row>
    <row r="230" spans="1:7" s="3221" customFormat="1" ht="14.25" customHeight="1">
      <c r="A230" s="3232" t="s">
        <v>304</v>
      </c>
      <c r="B230" s="3232" t="s">
        <v>3107</v>
      </c>
      <c r="C230" s="3232"/>
      <c r="D230" s="3232"/>
      <c r="E230" s="3232"/>
      <c r="F230" s="3232">
        <v>1820</v>
      </c>
      <c r="G230" s="3245"/>
    </row>
    <row r="231" spans="1:7" s="3221" customFormat="1" ht="14.25" customHeight="1">
      <c r="A231" s="3232" t="s">
        <v>304</v>
      </c>
      <c r="B231" s="3232" t="s">
        <v>3108</v>
      </c>
      <c r="C231" s="3232"/>
      <c r="D231" s="3232"/>
      <c r="E231" s="3232"/>
      <c r="F231" s="3232">
        <v>1760</v>
      </c>
      <c r="G231" s="3245"/>
    </row>
    <row r="232" spans="1:7" s="3221" customFormat="1" ht="14.25" customHeight="1">
      <c r="A232" s="3232" t="s">
        <v>304</v>
      </c>
      <c r="B232" s="3232" t="s">
        <v>3109</v>
      </c>
      <c r="C232" s="3232"/>
      <c r="D232" s="3232"/>
      <c r="E232" s="3232"/>
      <c r="F232" s="3232">
        <v>1840</v>
      </c>
      <c r="G232" s="3245"/>
    </row>
    <row r="233" spans="1:7" s="3221" customFormat="1" ht="14.25" customHeight="1" thickBot="1">
      <c r="A233" s="3246" t="s">
        <v>304</v>
      </c>
      <c r="B233" s="3239" t="s">
        <v>3040</v>
      </c>
      <c r="C233" s="3239"/>
      <c r="D233" s="3239"/>
      <c r="E233" s="3239"/>
      <c r="F233" s="3239">
        <v>1770</v>
      </c>
      <c r="G233" s="3247"/>
    </row>
    <row r="234" spans="1:7" s="3221" customFormat="1" ht="14.25" customHeight="1">
      <c r="A234" s="3237" t="s">
        <v>305</v>
      </c>
      <c r="B234" s="3228" t="s">
        <v>3110</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2881</v>
      </c>
      <c r="C238" s="3232">
        <v>6920</v>
      </c>
      <c r="D238" s="3232">
        <v>6890</v>
      </c>
      <c r="E238" s="3232">
        <v>8640</v>
      </c>
      <c r="F238" s="3232">
        <v>1310</v>
      </c>
      <c r="G238" s="3232">
        <v>4230</v>
      </c>
    </row>
    <row r="239" spans="1:7" s="3221" customFormat="1" ht="14.25" customHeight="1">
      <c r="A239" s="3232" t="s">
        <v>305</v>
      </c>
      <c r="B239" s="3232" t="s">
        <v>3111</v>
      </c>
      <c r="C239" s="3232">
        <v>6780</v>
      </c>
      <c r="D239" s="3232">
        <v>6750</v>
      </c>
      <c r="E239" s="3232">
        <v>8440</v>
      </c>
      <c r="F239" s="3232">
        <v>1160</v>
      </c>
      <c r="G239" s="3232">
        <v>4140</v>
      </c>
    </row>
    <row r="240" spans="1:7" s="3221" customFormat="1" ht="14.25" customHeight="1">
      <c r="A240" s="3232" t="s">
        <v>305</v>
      </c>
      <c r="B240" s="3232" t="s">
        <v>3112</v>
      </c>
      <c r="C240" s="3232">
        <v>5420</v>
      </c>
      <c r="D240" s="3232">
        <v>5380</v>
      </c>
      <c r="E240" s="3232">
        <v>6640</v>
      </c>
      <c r="F240" s="3232">
        <v>1020</v>
      </c>
      <c r="G240" s="3232">
        <v>3300</v>
      </c>
    </row>
    <row r="241" spans="1:7" s="3221" customFormat="1" ht="14.25" customHeight="1">
      <c r="A241" s="3232" t="s">
        <v>305</v>
      </c>
      <c r="B241" s="3232" t="s">
        <v>3113</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3114</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3115</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3116</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3117</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3118</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2943</v>
      </c>
      <c r="C258" s="3232">
        <v>6190</v>
      </c>
      <c r="D258" s="3232">
        <v>6160</v>
      </c>
      <c r="E258" s="3232">
        <v>7680</v>
      </c>
      <c r="F258" s="3232">
        <v>1170</v>
      </c>
      <c r="G258" s="3232">
        <v>3780</v>
      </c>
    </row>
    <row r="259" spans="1:7" s="3221" customFormat="1" ht="14.25" customHeight="1">
      <c r="A259" s="3232" t="s">
        <v>305</v>
      </c>
      <c r="B259" s="3232" t="s">
        <v>3119</v>
      </c>
      <c r="C259" s="3232">
        <v>7610</v>
      </c>
      <c r="D259" s="3232">
        <v>7570</v>
      </c>
      <c r="E259" s="3232">
        <v>9350</v>
      </c>
      <c r="F259" s="3232">
        <v>1350</v>
      </c>
      <c r="G259" s="3232">
        <v>4650</v>
      </c>
    </row>
    <row r="260" spans="1:7" s="3221" customFormat="1" ht="14.25" customHeight="1">
      <c r="A260" s="3232" t="s">
        <v>305</v>
      </c>
      <c r="B260" s="3232" t="s">
        <v>3120</v>
      </c>
      <c r="C260" s="3232">
        <v>6920</v>
      </c>
      <c r="D260" s="3232">
        <v>6880</v>
      </c>
      <c r="E260" s="3232">
        <v>8380</v>
      </c>
      <c r="F260" s="3232">
        <v>1160</v>
      </c>
      <c r="G260" s="3232">
        <v>4220</v>
      </c>
    </row>
    <row r="261" spans="1:7" s="3221" customFormat="1" ht="14.25" customHeight="1">
      <c r="A261" s="3232" t="s">
        <v>305</v>
      </c>
      <c r="B261" s="3232" t="s">
        <v>3121</v>
      </c>
      <c r="C261" s="3232">
        <v>6850</v>
      </c>
      <c r="D261" s="3232">
        <v>6810</v>
      </c>
      <c r="E261" s="3232">
        <v>8290</v>
      </c>
      <c r="F261" s="3232">
        <v>1130</v>
      </c>
      <c r="G261" s="3232">
        <v>4180</v>
      </c>
    </row>
    <row r="262" spans="1:7" s="3221" customFormat="1" ht="14.25" customHeight="1">
      <c r="A262" s="3232" t="s">
        <v>305</v>
      </c>
      <c r="B262" s="3232" t="s">
        <v>3122</v>
      </c>
      <c r="C262" s="3232">
        <v>5860</v>
      </c>
      <c r="D262" s="3232">
        <v>5820</v>
      </c>
      <c r="E262" s="3232">
        <v>7640</v>
      </c>
      <c r="F262" s="3232">
        <v>1070</v>
      </c>
      <c r="G262" s="3232">
        <v>3570</v>
      </c>
    </row>
    <row r="263" spans="1:7" s="3221" customFormat="1" ht="14.25" customHeight="1">
      <c r="A263" s="3232" t="s">
        <v>305</v>
      </c>
      <c r="B263" s="3232" t="s">
        <v>3123</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3124</v>
      </c>
      <c r="C265" s="3232"/>
      <c r="D265" s="3232"/>
      <c r="E265" s="3232"/>
      <c r="F265" s="3232">
        <v>1500</v>
      </c>
      <c r="G265" s="3232"/>
    </row>
    <row r="266" spans="1:7" s="3221" customFormat="1" ht="14.25" customHeight="1">
      <c r="A266" s="3232" t="s">
        <v>305</v>
      </c>
      <c r="B266" s="3232" t="s">
        <v>3125</v>
      </c>
      <c r="C266" s="3232"/>
      <c r="D266" s="3232"/>
      <c r="E266" s="3232"/>
      <c r="F266" s="3232">
        <v>1500</v>
      </c>
      <c r="G266" s="3232"/>
    </row>
    <row r="267" spans="1:7" s="3221" customFormat="1" ht="14.25" customHeight="1">
      <c r="A267" s="3232" t="s">
        <v>305</v>
      </c>
      <c r="B267" s="3232" t="s">
        <v>3126</v>
      </c>
      <c r="C267" s="3232"/>
      <c r="D267" s="3232"/>
      <c r="E267" s="3232"/>
      <c r="F267" s="3232">
        <v>1500</v>
      </c>
      <c r="G267" s="3232"/>
    </row>
    <row r="268" spans="1:7" s="3221" customFormat="1" ht="14.25" customHeight="1">
      <c r="A268" s="3232" t="s">
        <v>305</v>
      </c>
      <c r="B268" s="3232" t="s">
        <v>3127</v>
      </c>
      <c r="C268" s="3232"/>
      <c r="D268" s="3232"/>
      <c r="E268" s="3232"/>
      <c r="F268" s="3232">
        <v>1290</v>
      </c>
      <c r="G268" s="3232"/>
    </row>
    <row r="269" spans="1:7" s="3221" customFormat="1" ht="14.25" customHeight="1">
      <c r="A269" s="3232" t="s">
        <v>305</v>
      </c>
      <c r="B269" s="3232" t="s">
        <v>3128</v>
      </c>
      <c r="C269" s="3232"/>
      <c r="D269" s="3232"/>
      <c r="E269" s="3232"/>
      <c r="F269" s="3232">
        <v>1150</v>
      </c>
      <c r="G269" s="3232"/>
    </row>
    <row r="270" spans="1:7" s="3221" customFormat="1" ht="14.25" customHeight="1">
      <c r="A270" s="3232" t="s">
        <v>305</v>
      </c>
      <c r="B270" s="3232" t="s">
        <v>3129</v>
      </c>
      <c r="C270" s="3232"/>
      <c r="D270" s="3232"/>
      <c r="E270" s="3232"/>
      <c r="F270" s="3232">
        <v>1380</v>
      </c>
      <c r="G270" s="3232"/>
    </row>
    <row r="271" spans="1:7" s="3221" customFormat="1" ht="14.25" customHeight="1">
      <c r="A271" s="3232" t="s">
        <v>305</v>
      </c>
      <c r="B271" s="3232" t="s">
        <v>3130</v>
      </c>
      <c r="C271" s="3232"/>
      <c r="D271" s="3232"/>
      <c r="E271" s="3232"/>
      <c r="F271" s="3232">
        <v>1460</v>
      </c>
      <c r="G271" s="3232"/>
    </row>
    <row r="272" spans="1:7" s="3221" customFormat="1" ht="14.25" customHeight="1">
      <c r="A272" s="3232" t="s">
        <v>305</v>
      </c>
      <c r="B272" s="3232" t="s">
        <v>3131</v>
      </c>
      <c r="C272" s="3232"/>
      <c r="D272" s="3232"/>
      <c r="E272" s="3232"/>
      <c r="F272" s="3232">
        <v>1460</v>
      </c>
      <c r="G272" s="3232"/>
    </row>
    <row r="273" spans="1:7" s="3221" customFormat="1" ht="14.25" customHeight="1">
      <c r="A273" s="3232" t="s">
        <v>305</v>
      </c>
      <c r="B273" s="3232" t="s">
        <v>3024</v>
      </c>
      <c r="C273" s="3232"/>
      <c r="D273" s="3232"/>
      <c r="E273" s="3232"/>
      <c r="F273" s="3232">
        <v>1490</v>
      </c>
      <c r="G273" s="3232"/>
    </row>
    <row r="274" spans="1:7" s="3221" customFormat="1" ht="14.25" customHeight="1">
      <c r="A274" s="3232" t="s">
        <v>305</v>
      </c>
      <c r="B274" s="3232" t="s">
        <v>3132</v>
      </c>
      <c r="C274" s="3232"/>
      <c r="D274" s="3232"/>
      <c r="E274" s="3232"/>
      <c r="F274" s="3232">
        <v>1490</v>
      </c>
      <c r="G274" s="3232"/>
    </row>
    <row r="275" spans="1:7" s="3221" customFormat="1" ht="14.25" customHeight="1">
      <c r="A275" s="3232" t="s">
        <v>305</v>
      </c>
      <c r="B275" s="3232" t="s">
        <v>3133</v>
      </c>
      <c r="C275" s="3232"/>
      <c r="D275" s="3232"/>
      <c r="E275" s="3232"/>
      <c r="F275" s="3232">
        <v>1220</v>
      </c>
      <c r="G275" s="3232"/>
    </row>
    <row r="276" spans="1:7" s="3221" customFormat="1" ht="14.25" customHeight="1" thickBot="1">
      <c r="A276" s="3240" t="s">
        <v>305</v>
      </c>
      <c r="B276" s="3242" t="s">
        <v>3134</v>
      </c>
      <c r="C276" s="3243"/>
      <c r="D276" s="3243"/>
      <c r="E276" s="3243"/>
      <c r="F276" s="3243">
        <v>1380</v>
      </c>
      <c r="G276" s="3243"/>
    </row>
    <row r="277" spans="1:7" s="3221" customFormat="1" ht="14.25" customHeight="1">
      <c r="A277" s="3237" t="s">
        <v>306</v>
      </c>
      <c r="B277" s="3228" t="s">
        <v>3135</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3136</v>
      </c>
      <c r="C279" s="3232">
        <v>4760</v>
      </c>
      <c r="D279" s="3232">
        <v>4720</v>
      </c>
      <c r="E279" s="3232">
        <v>5540</v>
      </c>
      <c r="F279" s="3232">
        <v>810</v>
      </c>
      <c r="G279" s="3245">
        <v>2850</v>
      </c>
    </row>
    <row r="280" spans="1:7" s="3221" customFormat="1" ht="14.25" customHeight="1">
      <c r="A280" s="3232" t="s">
        <v>306</v>
      </c>
      <c r="B280" s="3232" t="s">
        <v>3137</v>
      </c>
      <c r="C280" s="3232">
        <v>4010</v>
      </c>
      <c r="D280" s="3232">
        <v>3950</v>
      </c>
      <c r="E280" s="3232">
        <v>4710</v>
      </c>
      <c r="F280" s="3232">
        <v>800</v>
      </c>
      <c r="G280" s="3245">
        <v>2390</v>
      </c>
    </row>
    <row r="281" spans="1:7" s="3221" customFormat="1" ht="14.25" customHeight="1">
      <c r="A281" s="3232" t="s">
        <v>306</v>
      </c>
      <c r="B281" s="3232" t="s">
        <v>3138</v>
      </c>
      <c r="C281" s="3232">
        <v>4480</v>
      </c>
      <c r="D281" s="3232">
        <v>4420</v>
      </c>
      <c r="E281" s="3232">
        <v>5230</v>
      </c>
      <c r="F281" s="3232">
        <v>870</v>
      </c>
      <c r="G281" s="3245">
        <v>2660</v>
      </c>
    </row>
    <row r="282" spans="1:7" s="3221" customFormat="1" ht="14.25" customHeight="1">
      <c r="A282" s="3232" t="s">
        <v>306</v>
      </c>
      <c r="B282" s="3232" t="s">
        <v>3139</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3140</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3141</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2916</v>
      </c>
      <c r="C293" s="3232">
        <v>5320</v>
      </c>
      <c r="D293" s="3232">
        <v>5270</v>
      </c>
      <c r="E293" s="3232">
        <v>6160</v>
      </c>
      <c r="F293" s="3232">
        <v>990</v>
      </c>
      <c r="G293" s="3245">
        <v>3170</v>
      </c>
    </row>
    <row r="294" spans="1:7" s="3221" customFormat="1" ht="14.25" customHeight="1">
      <c r="A294" s="3232" t="s">
        <v>306</v>
      </c>
      <c r="B294" s="3232" t="s">
        <v>3142</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2935</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3143</v>
      </c>
      <c r="C302" s="3232">
        <v>5520</v>
      </c>
      <c r="D302" s="3232">
        <v>5470</v>
      </c>
      <c r="E302" s="3232">
        <v>6410</v>
      </c>
      <c r="F302" s="3232">
        <v>950</v>
      </c>
      <c r="G302" s="3245">
        <v>3300</v>
      </c>
    </row>
    <row r="303" spans="1:7" s="3221" customFormat="1" ht="14.25" customHeight="1">
      <c r="A303" s="3232" t="s">
        <v>306</v>
      </c>
      <c r="B303" s="3232" t="s">
        <v>2955</v>
      </c>
      <c r="C303" s="3232">
        <v>5630</v>
      </c>
      <c r="D303" s="3232">
        <v>5590</v>
      </c>
      <c r="E303" s="3232">
        <v>6550</v>
      </c>
      <c r="F303" s="3232">
        <v>1010</v>
      </c>
      <c r="G303" s="3245">
        <v>3370</v>
      </c>
    </row>
    <row r="304" spans="1:7" s="3221" customFormat="1" ht="14.25" customHeight="1">
      <c r="A304" s="3232" t="s">
        <v>306</v>
      </c>
      <c r="B304" s="3232" t="s">
        <v>2962</v>
      </c>
      <c r="C304" s="3232">
        <v>5680</v>
      </c>
      <c r="D304" s="3232">
        <v>5620</v>
      </c>
      <c r="E304" s="3232">
        <v>6620</v>
      </c>
      <c r="F304" s="3232">
        <v>1050</v>
      </c>
      <c r="G304" s="3245">
        <v>3390</v>
      </c>
    </row>
    <row r="305" spans="1:7" s="3221" customFormat="1" ht="14.25" customHeight="1">
      <c r="A305" s="3232" t="s">
        <v>306</v>
      </c>
      <c r="B305" s="3232" t="s">
        <v>2968</v>
      </c>
      <c r="C305" s="3232">
        <v>5590</v>
      </c>
      <c r="D305" s="3232">
        <v>5530</v>
      </c>
      <c r="E305" s="3232">
        <v>6460</v>
      </c>
      <c r="F305" s="3232">
        <v>900</v>
      </c>
      <c r="G305" s="3245">
        <v>3340</v>
      </c>
    </row>
    <row r="306" spans="1:7" s="3221" customFormat="1" ht="14.25" customHeight="1">
      <c r="A306" s="3232" t="s">
        <v>306</v>
      </c>
      <c r="B306" s="3232" t="s">
        <v>3144</v>
      </c>
      <c r="C306" s="3232">
        <v>5560</v>
      </c>
      <c r="D306" s="3232">
        <v>5510</v>
      </c>
      <c r="E306" s="3232">
        <v>6440</v>
      </c>
      <c r="F306" s="3232">
        <v>900</v>
      </c>
      <c r="G306" s="3245">
        <v>3320</v>
      </c>
    </row>
    <row r="307" spans="1:7" s="3221" customFormat="1" ht="14.25" customHeight="1">
      <c r="A307" s="3232" t="s">
        <v>306</v>
      </c>
      <c r="B307" s="3232" t="s">
        <v>2980</v>
      </c>
      <c r="C307" s="3232">
        <v>5650</v>
      </c>
      <c r="D307" s="3232">
        <v>5600</v>
      </c>
      <c r="E307" s="3232">
        <v>6590</v>
      </c>
      <c r="F307" s="3232">
        <v>930</v>
      </c>
      <c r="G307" s="3245">
        <v>3380</v>
      </c>
    </row>
    <row r="308" spans="1:7" s="3221" customFormat="1" ht="14.25" customHeight="1">
      <c r="A308" s="3232" t="s">
        <v>306</v>
      </c>
      <c r="B308" s="3232" t="s">
        <v>3145</v>
      </c>
      <c r="C308" s="3232">
        <v>5620</v>
      </c>
      <c r="D308" s="3232">
        <v>5580</v>
      </c>
      <c r="E308" s="3232">
        <v>6540</v>
      </c>
      <c r="F308" s="3232">
        <v>910</v>
      </c>
      <c r="G308" s="3245">
        <v>3370</v>
      </c>
    </row>
    <row r="309" spans="1:7" s="3221" customFormat="1" ht="14.25" customHeight="1">
      <c r="A309" s="3232" t="s">
        <v>306</v>
      </c>
      <c r="B309" s="3232" t="s">
        <v>3146</v>
      </c>
      <c r="C309" s="3232">
        <v>5060</v>
      </c>
      <c r="D309" s="3232">
        <v>5020</v>
      </c>
      <c r="E309" s="3232">
        <v>6370</v>
      </c>
      <c r="F309" s="3232">
        <v>800</v>
      </c>
      <c r="G309" s="3245">
        <v>3020</v>
      </c>
    </row>
    <row r="310" spans="1:7" s="3221" customFormat="1" ht="14.25" customHeight="1">
      <c r="A310" s="3232" t="s">
        <v>306</v>
      </c>
      <c r="B310" s="3232" t="s">
        <v>2995</v>
      </c>
      <c r="C310" s="3232">
        <v>5150</v>
      </c>
      <c r="D310" s="3232">
        <v>5110</v>
      </c>
      <c r="E310" s="3232">
        <v>6500</v>
      </c>
      <c r="F310" s="3232">
        <v>880</v>
      </c>
      <c r="G310" s="3245">
        <v>3080</v>
      </c>
    </row>
    <row r="311" spans="1:7" s="3221" customFormat="1" ht="14.25" customHeight="1">
      <c r="A311" s="3232" t="s">
        <v>306</v>
      </c>
      <c r="B311" s="3232" t="s">
        <v>3147</v>
      </c>
      <c r="C311" s="3232">
        <v>4750</v>
      </c>
      <c r="D311" s="3232">
        <v>4710</v>
      </c>
      <c r="E311" s="3232">
        <v>5510</v>
      </c>
      <c r="F311" s="3232">
        <v>880</v>
      </c>
      <c r="G311" s="3245">
        <v>2840</v>
      </c>
    </row>
    <row r="312" spans="1:7" s="3221" customFormat="1" ht="14.25" customHeight="1">
      <c r="A312" s="3232" t="s">
        <v>306</v>
      </c>
      <c r="B312" s="3232" t="s">
        <v>3005</v>
      </c>
      <c r="C312" s="3232">
        <v>4690</v>
      </c>
      <c r="D312" s="3232">
        <v>4640</v>
      </c>
      <c r="E312" s="3232">
        <v>5420</v>
      </c>
      <c r="F312" s="3232">
        <v>800</v>
      </c>
      <c r="G312" s="3245">
        <v>2800</v>
      </c>
    </row>
    <row r="313" spans="1:7" s="3221" customFormat="1" ht="14.25" customHeight="1">
      <c r="A313" s="3232" t="s">
        <v>306</v>
      </c>
      <c r="B313" s="3232" t="s">
        <v>3010</v>
      </c>
      <c r="C313" s="3232">
        <v>4810</v>
      </c>
      <c r="D313" s="3232">
        <v>4760</v>
      </c>
      <c r="E313" s="3232">
        <v>5550</v>
      </c>
      <c r="F313" s="3232">
        <v>920</v>
      </c>
      <c r="G313" s="3245">
        <v>2870</v>
      </c>
    </row>
    <row r="314" spans="1:7" s="3221" customFormat="1" ht="14.25" customHeight="1">
      <c r="A314" s="3232" t="s">
        <v>306</v>
      </c>
      <c r="B314" s="3232" t="s">
        <v>3148</v>
      </c>
      <c r="C314" s="3232"/>
      <c r="D314" s="3232"/>
      <c r="E314" s="3232"/>
      <c r="F314" s="3232">
        <v>1020</v>
      </c>
      <c r="G314" s="3245"/>
    </row>
    <row r="315" spans="1:7" s="3221" customFormat="1" ht="14.25" customHeight="1">
      <c r="A315" s="3232" t="s">
        <v>306</v>
      </c>
      <c r="B315" s="3232" t="s">
        <v>3149</v>
      </c>
      <c r="C315" s="3232"/>
      <c r="D315" s="3232"/>
      <c r="E315" s="3232"/>
      <c r="F315" s="3232">
        <v>1050</v>
      </c>
      <c r="G315" s="3245"/>
    </row>
    <row r="316" spans="1:7" s="3221" customFormat="1" ht="14.25" customHeight="1">
      <c r="A316" s="3232" t="s">
        <v>306</v>
      </c>
      <c r="B316" s="3232" t="s">
        <v>3025</v>
      </c>
      <c r="C316" s="3232"/>
      <c r="D316" s="3232"/>
      <c r="E316" s="3232"/>
      <c r="F316" s="3232">
        <v>900</v>
      </c>
      <c r="G316" s="3245"/>
    </row>
    <row r="317" spans="1:7" s="3221" customFormat="1" ht="14.25" customHeight="1">
      <c r="A317" s="3232" t="s">
        <v>306</v>
      </c>
      <c r="B317" s="3232" t="s">
        <v>3150</v>
      </c>
      <c r="C317" s="3232"/>
      <c r="D317" s="3232"/>
      <c r="E317" s="3232"/>
      <c r="F317" s="3232">
        <v>920</v>
      </c>
      <c r="G317" s="3245"/>
    </row>
    <row r="318" spans="1:7" s="3221" customFormat="1" ht="14.25" customHeight="1">
      <c r="A318" s="3232" t="s">
        <v>306</v>
      </c>
      <c r="B318" s="3232" t="s">
        <v>3151</v>
      </c>
      <c r="C318" s="3232"/>
      <c r="D318" s="3232"/>
      <c r="E318" s="3232"/>
      <c r="F318" s="3232">
        <v>1080</v>
      </c>
      <c r="G318" s="3245"/>
    </row>
    <row r="319" spans="1:7" s="3221" customFormat="1" ht="14.25" customHeight="1">
      <c r="A319" s="3232" t="s">
        <v>306</v>
      </c>
      <c r="B319" s="3232" t="s">
        <v>3038</v>
      </c>
      <c r="C319" s="3232"/>
      <c r="D319" s="3232"/>
      <c r="E319" s="3232"/>
      <c r="F319" s="3232">
        <v>1020</v>
      </c>
      <c r="G319" s="3245"/>
    </row>
    <row r="320" spans="1:7" s="3221" customFormat="1" ht="14.25" customHeight="1">
      <c r="A320" s="3232" t="s">
        <v>306</v>
      </c>
      <c r="B320" s="3232" t="s">
        <v>3041</v>
      </c>
      <c r="C320" s="3232"/>
      <c r="D320" s="3232"/>
      <c r="E320" s="3232"/>
      <c r="F320" s="3232">
        <v>1050</v>
      </c>
      <c r="G320" s="3245"/>
    </row>
    <row r="321" spans="1:7" s="3221" customFormat="1" ht="14.25" customHeight="1">
      <c r="A321" s="3232" t="s">
        <v>306</v>
      </c>
      <c r="B321" s="3232" t="s">
        <v>3043</v>
      </c>
      <c r="C321" s="3232"/>
      <c r="D321" s="3232"/>
      <c r="E321" s="3232"/>
      <c r="F321" s="3232">
        <v>960</v>
      </c>
      <c r="G321" s="3245"/>
    </row>
    <row r="322" spans="1:7" s="3221" customFormat="1" ht="14.25" customHeight="1">
      <c r="A322" s="3232" t="s">
        <v>306</v>
      </c>
      <c r="B322" s="3232" t="s">
        <v>3045</v>
      </c>
      <c r="C322" s="3232"/>
      <c r="D322" s="3232"/>
      <c r="E322" s="3232"/>
      <c r="F322" s="3232">
        <v>960</v>
      </c>
      <c r="G322" s="3245"/>
    </row>
    <row r="323" spans="1:7" s="3221" customFormat="1" ht="14.25" customHeight="1">
      <c r="A323" s="3232" t="s">
        <v>306</v>
      </c>
      <c r="B323" s="3232" t="s">
        <v>3047</v>
      </c>
      <c r="C323" s="3232"/>
      <c r="D323" s="3232"/>
      <c r="E323" s="3232"/>
      <c r="F323" s="3232">
        <v>880</v>
      </c>
      <c r="G323" s="3245"/>
    </row>
    <row r="324" spans="1:7" s="3221" customFormat="1" ht="14.25" customHeight="1">
      <c r="A324" s="3232" t="s">
        <v>306</v>
      </c>
      <c r="B324" s="3232" t="s">
        <v>3049</v>
      </c>
      <c r="C324" s="3232"/>
      <c r="D324" s="3232"/>
      <c r="E324" s="3232"/>
      <c r="F324" s="3232">
        <v>930</v>
      </c>
      <c r="G324" s="3245"/>
    </row>
    <row r="325" spans="1:7" s="3221" customFormat="1" ht="14.25" customHeight="1">
      <c r="A325" s="3232" t="s">
        <v>306</v>
      </c>
      <c r="B325" s="3233" t="s">
        <v>3051</v>
      </c>
      <c r="C325" s="3232"/>
      <c r="D325" s="3232"/>
      <c r="E325" s="3232"/>
      <c r="F325" s="3232">
        <v>900</v>
      </c>
      <c r="G325" s="3245"/>
    </row>
    <row r="326" spans="1:7" s="3221" customFormat="1" ht="14.25" customHeight="1" thickBot="1">
      <c r="A326" s="3246" t="s">
        <v>306</v>
      </c>
      <c r="B326" s="3239" t="s">
        <v>3053</v>
      </c>
      <c r="C326" s="3239"/>
      <c r="D326" s="3239"/>
      <c r="E326" s="3239"/>
      <c r="F326" s="3239">
        <v>790</v>
      </c>
      <c r="G326" s="3247"/>
    </row>
    <row r="327" spans="1:7" s="3221" customFormat="1" ht="14.25" customHeight="1">
      <c r="A327" s="3237" t="s">
        <v>307</v>
      </c>
      <c r="B327" s="3228" t="s">
        <v>3152</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3153</v>
      </c>
      <c r="C329" s="3232">
        <v>2730</v>
      </c>
      <c r="D329" s="3232">
        <v>2690</v>
      </c>
      <c r="E329" s="3232">
        <v>3100</v>
      </c>
      <c r="F329" s="3232">
        <v>660</v>
      </c>
      <c r="G329" s="3232">
        <v>1610</v>
      </c>
    </row>
    <row r="330" spans="1:7" s="3221" customFormat="1" ht="14.25" customHeight="1">
      <c r="A330" s="3232" t="s">
        <v>307</v>
      </c>
      <c r="B330" s="3232" t="s">
        <v>3154</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2887</v>
      </c>
      <c r="C332" s="3232">
        <v>3520</v>
      </c>
      <c r="D332" s="3232">
        <v>3480</v>
      </c>
      <c r="E332" s="3232">
        <v>3830</v>
      </c>
      <c r="F332" s="3232">
        <v>720</v>
      </c>
      <c r="G332" s="3232">
        <v>2090</v>
      </c>
    </row>
    <row r="333" spans="1:7" s="3221" customFormat="1" ht="14.25" customHeight="1">
      <c r="A333" s="3232" t="s">
        <v>307</v>
      </c>
      <c r="B333" s="3232" t="s">
        <v>3155</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2897</v>
      </c>
      <c r="C336" s="3232">
        <v>3570</v>
      </c>
      <c r="D336" s="3232">
        <v>3530</v>
      </c>
      <c r="E336" s="3232">
        <v>3880</v>
      </c>
      <c r="F336" s="3232">
        <v>770</v>
      </c>
      <c r="G336" s="3232">
        <v>2110</v>
      </c>
    </row>
    <row r="337" spans="1:10" s="3221" customFormat="1" ht="14.25" customHeight="1">
      <c r="A337" s="3232" t="s">
        <v>307</v>
      </c>
      <c r="B337" s="3232" t="s">
        <v>3156</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3157</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3158</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2922</v>
      </c>
      <c r="C345" s="3232">
        <v>3190</v>
      </c>
      <c r="D345" s="3232">
        <v>3140</v>
      </c>
      <c r="E345" s="3232">
        <v>3450</v>
      </c>
      <c r="F345" s="3232">
        <v>720</v>
      </c>
      <c r="G345" s="3232">
        <v>1880</v>
      </c>
      <c r="J345" s="3221"/>
    </row>
    <row r="346" spans="1:10">
      <c r="A346" s="3232" t="s">
        <v>307</v>
      </c>
      <c r="B346" s="3232" t="s">
        <v>3159</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2931</v>
      </c>
      <c r="C348" s="3232">
        <v>4000</v>
      </c>
      <c r="D348" s="3232">
        <v>3950</v>
      </c>
      <c r="E348" s="3232">
        <v>4430</v>
      </c>
      <c r="F348" s="3232">
        <v>760</v>
      </c>
      <c r="G348" s="3232">
        <v>2360</v>
      </c>
      <c r="J348" s="3221"/>
    </row>
    <row r="349" spans="1:10">
      <c r="A349" s="3232" t="s">
        <v>307</v>
      </c>
      <c r="B349" s="3232" t="s">
        <v>2936</v>
      </c>
      <c r="C349" s="3232">
        <v>3820</v>
      </c>
      <c r="D349" s="3232">
        <v>3780</v>
      </c>
      <c r="E349" s="3232">
        <v>4170</v>
      </c>
      <c r="F349" s="3232">
        <v>710</v>
      </c>
      <c r="G349" s="3232">
        <v>2260</v>
      </c>
      <c r="J349" s="3221"/>
    </row>
    <row r="350" spans="1:10">
      <c r="A350" s="3232" t="s">
        <v>307</v>
      </c>
      <c r="B350" s="3232" t="s">
        <v>3160</v>
      </c>
      <c r="C350" s="3232">
        <v>3760</v>
      </c>
      <c r="D350" s="3232">
        <v>3730</v>
      </c>
      <c r="E350" s="3232">
        <v>4100</v>
      </c>
      <c r="F350" s="3232">
        <v>800</v>
      </c>
      <c r="G350" s="3232">
        <v>2230</v>
      </c>
      <c r="J350" s="3221"/>
    </row>
    <row r="351" spans="1:10">
      <c r="A351" s="3232" t="s">
        <v>307</v>
      </c>
      <c r="B351" s="3232" t="s">
        <v>2944</v>
      </c>
      <c r="C351" s="3232">
        <v>3610</v>
      </c>
      <c r="D351" s="3232">
        <v>3580</v>
      </c>
      <c r="E351" s="3232">
        <v>3930</v>
      </c>
      <c r="F351" s="3232">
        <v>700</v>
      </c>
      <c r="G351" s="3232">
        <v>2140</v>
      </c>
      <c r="J351" s="3221"/>
    </row>
    <row r="352" spans="1:10">
      <c r="A352" s="3232" t="s">
        <v>307</v>
      </c>
      <c r="B352" s="3232" t="s">
        <v>2949</v>
      </c>
      <c r="C352" s="3232">
        <v>3670</v>
      </c>
      <c r="D352" s="3232">
        <v>3630</v>
      </c>
      <c r="E352" s="3232">
        <v>4000</v>
      </c>
      <c r="F352" s="3232">
        <v>750</v>
      </c>
      <c r="G352" s="3232">
        <v>2180</v>
      </c>
    </row>
    <row r="353" spans="1:7" s="3225" customFormat="1">
      <c r="A353" s="3232" t="s">
        <v>307</v>
      </c>
      <c r="B353" s="3232" t="s">
        <v>3161</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2969</v>
      </c>
      <c r="C355" s="3232">
        <v>3650</v>
      </c>
      <c r="D355" s="3232">
        <v>3610</v>
      </c>
      <c r="E355" s="3232">
        <v>4200</v>
      </c>
      <c r="F355" s="3232">
        <v>640</v>
      </c>
      <c r="G355" s="3232">
        <v>2160</v>
      </c>
    </row>
    <row r="356" spans="1:7" s="3225" customFormat="1">
      <c r="A356" s="3232" t="s">
        <v>307</v>
      </c>
      <c r="B356" s="3232" t="s">
        <v>2976</v>
      </c>
      <c r="C356" s="3232">
        <v>3260</v>
      </c>
      <c r="D356" s="3232">
        <v>3230</v>
      </c>
      <c r="E356" s="3232">
        <v>3740</v>
      </c>
      <c r="F356" s="3232">
        <v>600</v>
      </c>
      <c r="G356" s="3232">
        <v>1930</v>
      </c>
    </row>
    <row r="357" spans="1:7" s="3225" customFormat="1" ht="12" thickBot="1">
      <c r="A357" s="3240" t="s">
        <v>307</v>
      </c>
      <c r="B357" s="3243" t="s">
        <v>3162</v>
      </c>
      <c r="C357" s="3243">
        <v>3690</v>
      </c>
      <c r="D357" s="3243">
        <v>3650</v>
      </c>
      <c r="E357" s="3243">
        <v>4020</v>
      </c>
      <c r="F357" s="3243">
        <v>700</v>
      </c>
      <c r="G357" s="3243">
        <v>2190</v>
      </c>
    </row>
    <row r="358" spans="1:7" s="3225" customFormat="1">
      <c r="A358" s="3237" t="s">
        <v>3163</v>
      </c>
      <c r="B358" s="3228" t="s">
        <v>3164</v>
      </c>
      <c r="C358" s="3228">
        <v>2080</v>
      </c>
      <c r="D358" s="3228">
        <v>2040</v>
      </c>
      <c r="E358" s="3228">
        <v>2010</v>
      </c>
      <c r="F358" s="3228">
        <v>530</v>
      </c>
      <c r="G358" s="3244">
        <v>1230</v>
      </c>
    </row>
    <row r="359" spans="1:7" s="3225" customFormat="1">
      <c r="A359" s="3232" t="s">
        <v>3163</v>
      </c>
      <c r="B359" s="3232" t="s">
        <v>3165</v>
      </c>
      <c r="C359" s="3232">
        <v>1850</v>
      </c>
      <c r="D359" s="3232">
        <v>1820</v>
      </c>
      <c r="E359" s="3232">
        <v>1780</v>
      </c>
      <c r="F359" s="3232">
        <v>520</v>
      </c>
      <c r="G359" s="3245">
        <v>1100</v>
      </c>
    </row>
    <row r="360" spans="1:7" s="3225" customFormat="1">
      <c r="A360" s="3232" t="s">
        <v>3163</v>
      </c>
      <c r="B360" s="3232" t="s">
        <v>3166</v>
      </c>
      <c r="C360" s="3232">
        <v>2020</v>
      </c>
      <c r="D360" s="3232">
        <v>1990</v>
      </c>
      <c r="E360" s="3232">
        <v>1950</v>
      </c>
      <c r="F360" s="3232">
        <v>500</v>
      </c>
      <c r="G360" s="3245">
        <v>1200</v>
      </c>
    </row>
    <row r="361" spans="1:7" s="3225" customFormat="1">
      <c r="A361" s="3232" t="s">
        <v>3163</v>
      </c>
      <c r="B361" s="3232" t="s">
        <v>153</v>
      </c>
      <c r="C361" s="3232">
        <v>2260</v>
      </c>
      <c r="D361" s="3232">
        <v>2220</v>
      </c>
      <c r="E361" s="3232">
        <v>2180</v>
      </c>
      <c r="F361" s="3232">
        <v>580</v>
      </c>
      <c r="G361" s="3245">
        <v>1340</v>
      </c>
    </row>
    <row r="362" spans="1:7" s="3225" customFormat="1">
      <c r="A362" s="3232" t="s">
        <v>3163</v>
      </c>
      <c r="B362" s="3232" t="s">
        <v>3167</v>
      </c>
      <c r="C362" s="3232">
        <v>2650</v>
      </c>
      <c r="D362" s="3232">
        <v>2610</v>
      </c>
      <c r="E362" s="3232">
        <v>2570</v>
      </c>
      <c r="F362" s="3232">
        <v>630</v>
      </c>
      <c r="G362" s="3245">
        <v>1570</v>
      </c>
    </row>
    <row r="363" spans="1:7" s="3225" customFormat="1">
      <c r="A363" s="3232" t="s">
        <v>3163</v>
      </c>
      <c r="B363" s="3232" t="s">
        <v>2888</v>
      </c>
      <c r="C363" s="3232">
        <v>2390</v>
      </c>
      <c r="D363" s="3232">
        <v>2360</v>
      </c>
      <c r="E363" s="3232">
        <v>2320</v>
      </c>
      <c r="F363" s="3232">
        <v>600</v>
      </c>
      <c r="G363" s="3245">
        <v>1420</v>
      </c>
    </row>
    <row r="364" spans="1:7" s="3225" customFormat="1">
      <c r="A364" s="3232" t="s">
        <v>3163</v>
      </c>
      <c r="B364" s="3232" t="s">
        <v>3168</v>
      </c>
      <c r="C364" s="3232">
        <v>2050</v>
      </c>
      <c r="D364" s="3232">
        <v>2030</v>
      </c>
      <c r="E364" s="3232">
        <v>1990</v>
      </c>
      <c r="F364" s="3232">
        <v>550</v>
      </c>
      <c r="G364" s="3245">
        <v>1220</v>
      </c>
    </row>
    <row r="365" spans="1:7" s="3225" customFormat="1">
      <c r="A365" s="3232" t="s">
        <v>3163</v>
      </c>
      <c r="B365" s="3232" t="s">
        <v>200</v>
      </c>
      <c r="C365" s="3232">
        <v>2140</v>
      </c>
      <c r="D365" s="3232">
        <v>2100</v>
      </c>
      <c r="E365" s="3232">
        <v>2060</v>
      </c>
      <c r="F365" s="3232">
        <v>540</v>
      </c>
      <c r="G365" s="3245">
        <v>1270</v>
      </c>
    </row>
    <row r="366" spans="1:7" s="3225" customFormat="1">
      <c r="A366" s="3232" t="s">
        <v>3163</v>
      </c>
      <c r="B366" s="3232" t="s">
        <v>2895</v>
      </c>
      <c r="C366" s="3232">
        <v>2410</v>
      </c>
      <c r="D366" s="3232">
        <v>2370</v>
      </c>
      <c r="E366" s="3232">
        <v>2330</v>
      </c>
      <c r="F366" s="3232">
        <v>570</v>
      </c>
      <c r="G366" s="3245">
        <v>1440</v>
      </c>
    </row>
    <row r="367" spans="1:7" s="3225" customFormat="1">
      <c r="A367" s="3232" t="s">
        <v>3163</v>
      </c>
      <c r="B367" s="3232" t="s">
        <v>3169</v>
      </c>
      <c r="C367" s="3232">
        <v>2300</v>
      </c>
      <c r="D367" s="3232">
        <v>2260</v>
      </c>
      <c r="E367" s="3232">
        <v>2220</v>
      </c>
      <c r="F367" s="3232">
        <v>560</v>
      </c>
      <c r="G367" s="3245">
        <v>1370</v>
      </c>
    </row>
    <row r="368" spans="1:7" s="3225" customFormat="1">
      <c r="A368" s="3232" t="s">
        <v>3163</v>
      </c>
      <c r="B368" s="3232" t="s">
        <v>3170</v>
      </c>
      <c r="C368" s="3232">
        <v>2430</v>
      </c>
      <c r="D368" s="3232">
        <v>2390</v>
      </c>
      <c r="E368" s="3232">
        <v>2350</v>
      </c>
      <c r="F368" s="3232">
        <v>570</v>
      </c>
      <c r="G368" s="3245">
        <v>1450</v>
      </c>
    </row>
    <row r="369" spans="1:7" s="3225" customFormat="1">
      <c r="A369" s="3232" t="s">
        <v>3163</v>
      </c>
      <c r="B369" s="3232" t="s">
        <v>214</v>
      </c>
      <c r="C369" s="3232">
        <v>2320</v>
      </c>
      <c r="D369" s="3232">
        <v>2290</v>
      </c>
      <c r="E369" s="3232">
        <v>2250</v>
      </c>
      <c r="F369" s="3232">
        <v>550</v>
      </c>
      <c r="G369" s="3245">
        <v>1380</v>
      </c>
    </row>
    <row r="370" spans="1:7" s="3225" customFormat="1">
      <c r="A370" s="3232" t="s">
        <v>3163</v>
      </c>
      <c r="B370" s="3232" t="s">
        <v>221</v>
      </c>
      <c r="C370" s="3232">
        <v>2190</v>
      </c>
      <c r="D370" s="3232">
        <v>2170</v>
      </c>
      <c r="E370" s="3232">
        <v>2130</v>
      </c>
      <c r="F370" s="3232">
        <v>530</v>
      </c>
      <c r="G370" s="3245">
        <v>1310</v>
      </c>
    </row>
    <row r="371" spans="1:7" s="3225" customFormat="1">
      <c r="A371" s="3232" t="s">
        <v>3163</v>
      </c>
      <c r="B371" s="3232" t="s">
        <v>229</v>
      </c>
      <c r="C371" s="3232">
        <v>2460</v>
      </c>
      <c r="D371" s="3232">
        <v>2420</v>
      </c>
      <c r="E371" s="3232">
        <v>2370</v>
      </c>
      <c r="F371" s="3232">
        <v>560</v>
      </c>
      <c r="G371" s="3245">
        <v>1470</v>
      </c>
    </row>
    <row r="372" spans="1:7" s="3225" customFormat="1">
      <c r="A372" s="3232" t="s">
        <v>3163</v>
      </c>
      <c r="B372" s="3232" t="s">
        <v>3171</v>
      </c>
      <c r="C372" s="3232">
        <v>2250</v>
      </c>
      <c r="D372" s="3232">
        <v>2210</v>
      </c>
      <c r="E372" s="3232">
        <v>2180</v>
      </c>
      <c r="F372" s="3232">
        <v>550</v>
      </c>
      <c r="G372" s="3245">
        <v>1340</v>
      </c>
    </row>
    <row r="373" spans="1:7" s="3225" customFormat="1">
      <c r="A373" s="3232" t="s">
        <v>3163</v>
      </c>
      <c r="B373" s="3232" t="s">
        <v>258</v>
      </c>
      <c r="C373" s="3232">
        <v>2210</v>
      </c>
      <c r="D373" s="3232">
        <v>2190</v>
      </c>
      <c r="E373" s="3232">
        <v>2150</v>
      </c>
      <c r="F373" s="3232">
        <v>530</v>
      </c>
      <c r="G373" s="3245">
        <v>1320</v>
      </c>
    </row>
    <row r="374" spans="1:7" s="3225" customFormat="1">
      <c r="A374" s="3232" t="s">
        <v>3163</v>
      </c>
      <c r="B374" s="3232" t="s">
        <v>266</v>
      </c>
      <c r="C374" s="3232">
        <v>2320</v>
      </c>
      <c r="D374" s="3232">
        <v>2280</v>
      </c>
      <c r="E374" s="3232">
        <v>2230</v>
      </c>
      <c r="F374" s="3232">
        <v>580</v>
      </c>
      <c r="G374" s="3245">
        <v>1380</v>
      </c>
    </row>
    <row r="375" spans="1:7" s="3225" customFormat="1">
      <c r="A375" s="3232" t="s">
        <v>3163</v>
      </c>
      <c r="B375" s="3232" t="s">
        <v>3172</v>
      </c>
      <c r="C375" s="3232">
        <v>2090</v>
      </c>
      <c r="D375" s="3232">
        <v>2050</v>
      </c>
      <c r="E375" s="3232">
        <v>2020</v>
      </c>
      <c r="F375" s="3232">
        <v>520</v>
      </c>
      <c r="G375" s="3245">
        <v>1240</v>
      </c>
    </row>
    <row r="376" spans="1:7" s="3225" customFormat="1">
      <c r="A376" s="3232" t="s">
        <v>3163</v>
      </c>
      <c r="B376" s="3232" t="s">
        <v>277</v>
      </c>
      <c r="C376" s="3232">
        <v>2010</v>
      </c>
      <c r="D376" s="3232">
        <v>1980</v>
      </c>
      <c r="E376" s="3232">
        <v>1940</v>
      </c>
      <c r="F376" s="3232">
        <v>540</v>
      </c>
      <c r="G376" s="3245">
        <v>1190</v>
      </c>
    </row>
    <row r="377" spans="1:7" s="3225" customFormat="1" ht="12" thickBot="1">
      <c r="A377" s="3240" t="s">
        <v>3163</v>
      </c>
      <c r="B377" s="3243" t="s">
        <v>2925</v>
      </c>
      <c r="C377" s="3243">
        <v>1930</v>
      </c>
      <c r="D377" s="3243">
        <v>1890</v>
      </c>
      <c r="E377" s="3243">
        <v>1860</v>
      </c>
      <c r="F377" s="3243">
        <v>530</v>
      </c>
      <c r="G377" s="3248">
        <v>1150</v>
      </c>
    </row>
    <row r="378" spans="1:7" s="3225" customFormat="1">
      <c r="A378" s="3249" t="s">
        <v>3173</v>
      </c>
      <c r="B378" s="3228" t="s">
        <v>3174</v>
      </c>
      <c r="C378" s="3228">
        <v>1520</v>
      </c>
      <c r="D378" s="3228">
        <v>1490</v>
      </c>
      <c r="E378" s="3228">
        <v>1460</v>
      </c>
      <c r="F378" s="3228">
        <v>460</v>
      </c>
      <c r="G378" s="3244">
        <v>940</v>
      </c>
    </row>
    <row r="379" spans="1:7" s="3225" customFormat="1">
      <c r="A379" s="3250" t="s">
        <v>3173</v>
      </c>
      <c r="B379" s="3232" t="s">
        <v>3175</v>
      </c>
      <c r="C379" s="3232">
        <v>1500</v>
      </c>
      <c r="D379" s="3232">
        <v>1470</v>
      </c>
      <c r="E379" s="3232">
        <v>1430</v>
      </c>
      <c r="F379" s="3232">
        <v>460</v>
      </c>
      <c r="G379" s="3245">
        <v>920</v>
      </c>
    </row>
    <row r="380" spans="1:7" s="3225" customFormat="1">
      <c r="A380" s="3250" t="s">
        <v>3173</v>
      </c>
      <c r="B380" s="3232" t="s">
        <v>3176</v>
      </c>
      <c r="C380" s="3232">
        <v>1620</v>
      </c>
      <c r="D380" s="3232">
        <v>1590</v>
      </c>
      <c r="E380" s="3232">
        <v>1560</v>
      </c>
      <c r="F380" s="3232">
        <v>480</v>
      </c>
      <c r="G380" s="3245">
        <v>1000</v>
      </c>
    </row>
    <row r="381" spans="1:7" s="3225" customFormat="1">
      <c r="A381" s="3250" t="s">
        <v>3173</v>
      </c>
      <c r="B381" s="3232" t="s">
        <v>3177</v>
      </c>
      <c r="C381" s="3232">
        <v>1460</v>
      </c>
      <c r="D381" s="3232">
        <v>1430</v>
      </c>
      <c r="E381" s="3232">
        <v>1390</v>
      </c>
      <c r="F381" s="3232">
        <v>450</v>
      </c>
      <c r="G381" s="3245">
        <v>900</v>
      </c>
    </row>
    <row r="382" spans="1:7" s="3225" customFormat="1">
      <c r="A382" s="3250" t="s">
        <v>3173</v>
      </c>
      <c r="B382" s="3232" t="s">
        <v>3178</v>
      </c>
      <c r="C382" s="3232">
        <v>1310</v>
      </c>
      <c r="D382" s="3232">
        <v>1280</v>
      </c>
      <c r="E382" s="3232">
        <v>1250</v>
      </c>
      <c r="F382" s="3232">
        <v>440</v>
      </c>
      <c r="G382" s="3245">
        <v>800</v>
      </c>
    </row>
    <row r="383" spans="1:7" s="3225" customFormat="1">
      <c r="A383" s="3250" t="s">
        <v>3173</v>
      </c>
      <c r="B383" s="3232" t="s">
        <v>3179</v>
      </c>
      <c r="C383" s="3232">
        <v>1260</v>
      </c>
      <c r="D383" s="3232">
        <v>1230</v>
      </c>
      <c r="E383" s="3232">
        <v>1200</v>
      </c>
      <c r="F383" s="3232">
        <v>420</v>
      </c>
      <c r="G383" s="3245">
        <v>770</v>
      </c>
    </row>
    <row r="384" spans="1:7" s="3225" customFormat="1" ht="12" thickBot="1">
      <c r="A384" s="3251" t="s">
        <v>3173</v>
      </c>
      <c r="B384" s="3239" t="s">
        <v>3180</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A36" sqref="A36:XFD36"/>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45805</v>
      </c>
      <c r="D1" s="1301" t="s">
        <v>603</v>
      </c>
      <c r="E1" s="1296">
        <f>'数据-取费表'!B22</f>
        <v>2</v>
      </c>
      <c r="F1" s="1301" t="s">
        <v>604</v>
      </c>
      <c r="G1" s="1297">
        <f ca="1">INDIRECT("d"&amp;$K$1)/100</f>
        <v>0.03</v>
      </c>
      <c r="H1" s="1301" t="s">
        <v>634</v>
      </c>
      <c r="I1" s="1297">
        <f ca="1">F4/100</f>
        <v>1.4999999999999999E-2</v>
      </c>
      <c r="J1" s="1302">
        <f>IF(C1&gt;C13,0,MATCH(C1,C$13:C$115,-1))+IF(SUMIF(C13:C115,C1,D13:D115)=0,13,12)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3.5</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820">
        <v>45797</v>
      </c>
      <c r="D13" s="2821">
        <v>3</v>
      </c>
      <c r="E13" s="2821">
        <v>3</v>
      </c>
      <c r="F13" s="2821">
        <f t="shared" ref="F13:F18" si="0">D13</f>
        <v>3</v>
      </c>
      <c r="G13" s="2821">
        <f t="shared" ref="G13:G18" si="1">D13</f>
        <v>3</v>
      </c>
      <c r="H13" s="2821">
        <v>3.5</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5"/>
      <c r="C14" s="2817">
        <v>45586</v>
      </c>
      <c r="D14" s="2816">
        <v>3.1</v>
      </c>
      <c r="E14" s="2816">
        <f>D14</f>
        <v>3.1</v>
      </c>
      <c r="F14" s="2816">
        <f t="shared" si="0"/>
        <v>3.1</v>
      </c>
      <c r="G14" s="2816">
        <f t="shared" si="1"/>
        <v>3.1</v>
      </c>
      <c r="H14" s="2816">
        <v>3.6</v>
      </c>
      <c r="I14" s="2821"/>
      <c r="J14" s="2821"/>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5"/>
      <c r="C15" s="2817">
        <v>45495</v>
      </c>
      <c r="D15" s="2816">
        <v>3.35</v>
      </c>
      <c r="E15" s="2816">
        <f>D15</f>
        <v>3.35</v>
      </c>
      <c r="F15" s="2816">
        <f t="shared" si="0"/>
        <v>3.35</v>
      </c>
      <c r="G15" s="2816">
        <f t="shared" si="1"/>
        <v>3.35</v>
      </c>
      <c r="H15" s="2816">
        <v>3.85</v>
      </c>
      <c r="I15" s="2821"/>
      <c r="J15" s="2821"/>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5"/>
      <c r="C16" s="2817">
        <v>45342</v>
      </c>
      <c r="D16" s="2816">
        <v>3.45</v>
      </c>
      <c r="E16" s="2816">
        <f>D16</f>
        <v>3.45</v>
      </c>
      <c r="F16" s="2816">
        <f t="shared" si="0"/>
        <v>3.45</v>
      </c>
      <c r="G16" s="2816">
        <f t="shared" si="1"/>
        <v>3.45</v>
      </c>
      <c r="H16" s="2816">
        <v>3.95</v>
      </c>
      <c r="I16" s="2821"/>
      <c r="J16" s="2821"/>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5"/>
      <c r="C17" s="2817">
        <v>45159</v>
      </c>
      <c r="D17" s="2816">
        <v>3.45</v>
      </c>
      <c r="E17" s="2816">
        <f>D17</f>
        <v>3.45</v>
      </c>
      <c r="F17" s="2816">
        <f t="shared" si="0"/>
        <v>3.45</v>
      </c>
      <c r="G17" s="2816">
        <f t="shared" si="1"/>
        <v>3.45</v>
      </c>
      <c r="H17" s="2816">
        <v>4.2</v>
      </c>
      <c r="I17" s="2821"/>
      <c r="J17" s="2821"/>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5"/>
      <c r="C18" s="2817">
        <v>45097</v>
      </c>
      <c r="D18" s="2816">
        <v>3.55</v>
      </c>
      <c r="E18" s="2816">
        <f>D18</f>
        <v>3.55</v>
      </c>
      <c r="F18" s="2816">
        <f t="shared" si="0"/>
        <v>3.55</v>
      </c>
      <c r="G18" s="2816">
        <f t="shared" si="1"/>
        <v>3.55</v>
      </c>
      <c r="H18" s="2816">
        <v>4.2</v>
      </c>
      <c r="I18" s="2821"/>
      <c r="J18" s="2821"/>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3"/>
      <c r="B19" s="2815"/>
      <c r="C19" s="2817">
        <v>44795</v>
      </c>
      <c r="D19" s="2816">
        <v>3.65</v>
      </c>
      <c r="E19" s="2816">
        <v>3.65</v>
      </c>
      <c r="F19" s="2816">
        <v>3.65</v>
      </c>
      <c r="G19" s="2816">
        <v>3.65</v>
      </c>
      <c r="H19" s="2816">
        <v>4.3</v>
      </c>
      <c r="I19" s="2821"/>
      <c r="J19" s="282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5"/>
      <c r="C20" s="2817">
        <v>44701</v>
      </c>
      <c r="D20" s="2816">
        <v>3.7</v>
      </c>
      <c r="E20" s="2816">
        <f>D20</f>
        <v>3.7</v>
      </c>
      <c r="F20" s="2816">
        <f>D20</f>
        <v>3.7</v>
      </c>
      <c r="G20" s="2816">
        <f>D20</f>
        <v>3.7</v>
      </c>
      <c r="H20" s="2816">
        <v>4.45</v>
      </c>
      <c r="I20" s="2821"/>
      <c r="J20" s="282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5"/>
      <c r="C21" s="2817">
        <v>44581</v>
      </c>
      <c r="D21" s="2816">
        <v>3.7</v>
      </c>
      <c r="E21" s="2816">
        <f>D21</f>
        <v>3.7</v>
      </c>
      <c r="F21" s="2816">
        <f>D21</f>
        <v>3.7</v>
      </c>
      <c r="G21" s="2816">
        <f>D21</f>
        <v>3.7</v>
      </c>
      <c r="H21" s="2816">
        <v>4.5999999999999996</v>
      </c>
      <c r="I21" s="2821"/>
      <c r="J21" s="282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6"/>
      <c r="C22" s="2817">
        <v>44550</v>
      </c>
      <c r="D22" s="2816">
        <v>3.8</v>
      </c>
      <c r="E22" s="2816">
        <f>D22</f>
        <v>3.8</v>
      </c>
      <c r="F22" s="2816">
        <f>D22</f>
        <v>3.8</v>
      </c>
      <c r="G22" s="2816">
        <f>D22</f>
        <v>3.8</v>
      </c>
      <c r="H22" s="2816">
        <v>4.6500000000000004</v>
      </c>
      <c r="I22" s="2816"/>
      <c r="J22" s="282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22"/>
      <c r="B23" s="2816"/>
      <c r="C23" s="2817">
        <v>43941</v>
      </c>
      <c r="D23" s="2816">
        <v>3.85</v>
      </c>
      <c r="E23" s="2816">
        <v>3.85</v>
      </c>
      <c r="F23" s="2816">
        <v>3.85</v>
      </c>
      <c r="G23" s="2816">
        <v>3.85</v>
      </c>
      <c r="H23" s="2816">
        <v>4.6500000000000004</v>
      </c>
      <c r="I23" s="2816"/>
      <c r="J23" s="2816"/>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2816"/>
      <c r="C24" s="2817">
        <v>43881</v>
      </c>
      <c r="D24" s="2816">
        <v>4.05</v>
      </c>
      <c r="E24" s="2816">
        <v>4.05</v>
      </c>
      <c r="F24" s="2816">
        <v>4.05</v>
      </c>
      <c r="G24" s="2816">
        <v>4.05</v>
      </c>
      <c r="H24" s="2816">
        <v>4.75</v>
      </c>
      <c r="I24" s="2816"/>
      <c r="J24" s="2816"/>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2816"/>
      <c r="C25" s="2817">
        <v>43789</v>
      </c>
      <c r="D25" s="2816">
        <v>4.1500000000000004</v>
      </c>
      <c r="E25" s="2816">
        <v>4.1500000000000004</v>
      </c>
      <c r="F25" s="2816">
        <v>4.1500000000000004</v>
      </c>
      <c r="G25" s="2816">
        <v>4.1500000000000004</v>
      </c>
      <c r="H25" s="2816">
        <v>4.8</v>
      </c>
      <c r="I25" s="2816"/>
      <c r="J25" s="2816"/>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2816"/>
      <c r="C26" s="2817">
        <v>43728</v>
      </c>
      <c r="D26" s="2816">
        <v>4.2</v>
      </c>
      <c r="E26" s="2816">
        <v>4.2</v>
      </c>
      <c r="F26" s="2816">
        <v>4.2</v>
      </c>
      <c r="G26" s="2816">
        <v>4.2</v>
      </c>
      <c r="H26" s="2816">
        <v>4.8499999999999996</v>
      </c>
      <c r="I26" s="2816"/>
      <c r="J26" s="2816"/>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ht="14.25">
      <c r="B27" s="2815" t="s">
        <v>2309</v>
      </c>
      <c r="C27" s="2818">
        <v>43697</v>
      </c>
      <c r="D27" s="2819">
        <v>4.25</v>
      </c>
      <c r="E27" s="2819">
        <v>4.25</v>
      </c>
      <c r="F27" s="2819">
        <v>4.25</v>
      </c>
      <c r="G27" s="2819">
        <v>4.25</v>
      </c>
      <c r="H27" s="2819">
        <v>4.8499999999999996</v>
      </c>
      <c r="I27" s="2819"/>
      <c r="J27" s="2819"/>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ht="14.25">
      <c r="B28" s="2823"/>
      <c r="C28" s="2824">
        <v>42301</v>
      </c>
      <c r="D28" s="2825">
        <v>4.3499999999999996</v>
      </c>
      <c r="E28" s="2825">
        <v>4.3499999999999996</v>
      </c>
      <c r="F28" s="2825">
        <v>4.75</v>
      </c>
      <c r="G28" s="2825">
        <v>4.75</v>
      </c>
      <c r="H28" s="2825">
        <v>4.9000000000000004</v>
      </c>
      <c r="I28" s="2825"/>
      <c r="J28" s="2825"/>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42242</v>
      </c>
      <c r="D29" s="1289">
        <v>4.5999999999999996</v>
      </c>
      <c r="E29" s="1289">
        <v>4.5999999999999996</v>
      </c>
      <c r="F29" s="1289">
        <v>5</v>
      </c>
      <c r="G29" s="1289">
        <v>5</v>
      </c>
      <c r="H29" s="1289">
        <v>5.15</v>
      </c>
      <c r="I29" s="1289">
        <v>2.75</v>
      </c>
      <c r="J29" s="1289">
        <v>3.25</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42183</v>
      </c>
      <c r="D30" s="1289">
        <v>4.8499999999999996</v>
      </c>
      <c r="E30" s="1289">
        <v>4.8499999999999996</v>
      </c>
      <c r="F30" s="1289">
        <v>5.25</v>
      </c>
      <c r="G30" s="1289">
        <v>5.25</v>
      </c>
      <c r="H30" s="1289">
        <v>5.4</v>
      </c>
      <c r="I30" s="1289">
        <v>3</v>
      </c>
      <c r="J30" s="1289">
        <v>3.5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42135</v>
      </c>
      <c r="D31" s="1289">
        <v>5.0999999999999996</v>
      </c>
      <c r="E31" s="1289">
        <v>5.0999999999999996</v>
      </c>
      <c r="F31" s="1289">
        <v>5.5</v>
      </c>
      <c r="G31" s="1289">
        <v>5.5</v>
      </c>
      <c r="H31" s="1289">
        <v>5.65</v>
      </c>
      <c r="I31" s="1289">
        <v>3.25</v>
      </c>
      <c r="J31" s="1289">
        <v>3.75</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42064</v>
      </c>
      <c r="D32" s="1289">
        <v>5.35</v>
      </c>
      <c r="E32" s="1289">
        <v>5.35</v>
      </c>
      <c r="F32" s="1289">
        <v>5.75</v>
      </c>
      <c r="G32" s="1289">
        <v>5.75</v>
      </c>
      <c r="H32" s="1289">
        <v>5.9</v>
      </c>
      <c r="I32" s="1289"/>
      <c r="J32" s="1289"/>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41965</v>
      </c>
      <c r="D33" s="1289">
        <v>5.6</v>
      </c>
      <c r="E33" s="1289">
        <v>5.6</v>
      </c>
      <c r="F33" s="1289">
        <v>6</v>
      </c>
      <c r="G33" s="1289">
        <v>6</v>
      </c>
      <c r="H33" s="1289">
        <v>6.15</v>
      </c>
      <c r="I33" s="1289"/>
      <c r="J33" s="1289"/>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41096</v>
      </c>
      <c r="D34" s="1289">
        <v>5.6</v>
      </c>
      <c r="E34" s="1289">
        <v>6</v>
      </c>
      <c r="F34" s="1289">
        <v>6.15</v>
      </c>
      <c r="G34" s="1289">
        <v>6.4</v>
      </c>
      <c r="H34" s="1289">
        <v>6.55</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41068</v>
      </c>
      <c r="D35" s="1289">
        <v>5.85</v>
      </c>
      <c r="E35" s="1289">
        <v>6.31</v>
      </c>
      <c r="F35" s="1289">
        <v>6.4</v>
      </c>
      <c r="G35" s="1289">
        <v>6.65</v>
      </c>
      <c r="H35" s="1289">
        <v>6.8</v>
      </c>
      <c r="I35" s="1289">
        <v>4.2</v>
      </c>
      <c r="J35" s="1289">
        <v>4.7</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40731</v>
      </c>
      <c r="D36" s="1289">
        <v>6.1</v>
      </c>
      <c r="E36" s="1289">
        <v>6.56</v>
      </c>
      <c r="F36" s="1289">
        <v>6.65</v>
      </c>
      <c r="G36" s="1289">
        <v>6.9</v>
      </c>
      <c r="H36" s="1289">
        <v>7.05</v>
      </c>
      <c r="I36" s="1289">
        <v>4.45</v>
      </c>
      <c r="J36" s="1289">
        <v>4.9000000000000004</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40639</v>
      </c>
      <c r="D37" s="1289">
        <v>5.85</v>
      </c>
      <c r="E37" s="1289">
        <v>6.31</v>
      </c>
      <c r="F37" s="1289">
        <v>6.4</v>
      </c>
      <c r="G37" s="1289">
        <v>6.65</v>
      </c>
      <c r="H37" s="1289">
        <v>6.8</v>
      </c>
      <c r="I37" s="1289">
        <v>4.2</v>
      </c>
      <c r="J37" s="1289">
        <v>4.7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40583</v>
      </c>
      <c r="D38" s="1289">
        <v>5.6</v>
      </c>
      <c r="E38" s="1289">
        <v>6.06</v>
      </c>
      <c r="F38" s="1289">
        <v>6.1</v>
      </c>
      <c r="G38" s="1289">
        <v>6.45</v>
      </c>
      <c r="H38" s="1289">
        <v>6.6</v>
      </c>
      <c r="I38" s="1289">
        <v>4</v>
      </c>
      <c r="J38" s="1289">
        <v>4.5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40538</v>
      </c>
      <c r="D39" s="1289">
        <v>5.35</v>
      </c>
      <c r="E39" s="1289">
        <v>5.81</v>
      </c>
      <c r="F39" s="1289">
        <v>5.85</v>
      </c>
      <c r="G39" s="1289">
        <v>6.22</v>
      </c>
      <c r="H39" s="1289">
        <v>6.4</v>
      </c>
      <c r="I39" s="1289">
        <v>3.75</v>
      </c>
      <c r="J39" s="1289">
        <v>4.3</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40471</v>
      </c>
      <c r="D40" s="1289">
        <v>5.0999999999999996</v>
      </c>
      <c r="E40" s="1289">
        <v>5.56</v>
      </c>
      <c r="F40" s="1289">
        <v>5.6</v>
      </c>
      <c r="G40" s="1289">
        <v>5.96</v>
      </c>
      <c r="H40" s="1289">
        <v>6.14</v>
      </c>
      <c r="I40" s="1289">
        <v>3.5</v>
      </c>
      <c r="J40" s="1289">
        <v>4.05</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39805</v>
      </c>
      <c r="D41" s="1289">
        <v>4.8600000000000003</v>
      </c>
      <c r="E41" s="1289">
        <v>5.31</v>
      </c>
      <c r="F41" s="1289">
        <v>5.4</v>
      </c>
      <c r="G41" s="1289">
        <v>5.76</v>
      </c>
      <c r="H41" s="1289">
        <v>5.94</v>
      </c>
      <c r="I41" s="1289">
        <v>3.33</v>
      </c>
      <c r="J41" s="1289">
        <v>3.87</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39779</v>
      </c>
      <c r="D42" s="1289">
        <v>5.04</v>
      </c>
      <c r="E42" s="1289">
        <v>5.58</v>
      </c>
      <c r="F42" s="1289">
        <v>5.67</v>
      </c>
      <c r="G42" s="1289">
        <v>5.94</v>
      </c>
      <c r="H42" s="1289">
        <v>6.12</v>
      </c>
      <c r="I42" s="1289">
        <v>3.51</v>
      </c>
      <c r="J42" s="1289">
        <v>4.05</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39751</v>
      </c>
      <c r="D43" s="1289">
        <v>6.03</v>
      </c>
      <c r="E43" s="1289">
        <v>6.66</v>
      </c>
      <c r="F43" s="1289">
        <v>6.75</v>
      </c>
      <c r="G43" s="1289">
        <v>7.02</v>
      </c>
      <c r="H43" s="1289">
        <v>7.2</v>
      </c>
      <c r="I43" s="1289">
        <v>4.05</v>
      </c>
      <c r="J43" s="1289">
        <v>4.59</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1">
        <v>39748</v>
      </c>
      <c r="D44" s="1289">
        <v>6.12</v>
      </c>
      <c r="E44" s="1289">
        <v>6.93</v>
      </c>
      <c r="F44" s="1289">
        <v>7.02</v>
      </c>
      <c r="G44" s="1289">
        <v>7.29</v>
      </c>
      <c r="H44" s="1289">
        <v>7.47</v>
      </c>
      <c r="I44" s="1289">
        <v>4.05</v>
      </c>
      <c r="J44" s="1289">
        <v>4.59</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39730</v>
      </c>
      <c r="D45" s="1289">
        <v>6.12</v>
      </c>
      <c r="E45" s="1289">
        <v>6.93</v>
      </c>
      <c r="F45" s="1289">
        <v>7.02</v>
      </c>
      <c r="G45" s="1289">
        <v>7.29</v>
      </c>
      <c r="H45" s="1289">
        <v>7.47</v>
      </c>
      <c r="I45" s="1289">
        <v>4.32</v>
      </c>
      <c r="J45" s="1289">
        <v>4.8600000000000003</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39707</v>
      </c>
      <c r="D46" s="1289">
        <v>6.21</v>
      </c>
      <c r="E46" s="1289">
        <v>7.2</v>
      </c>
      <c r="F46" s="1289">
        <v>7.29</v>
      </c>
      <c r="G46" s="1289">
        <v>7.56</v>
      </c>
      <c r="H46" s="1289">
        <v>7.74</v>
      </c>
      <c r="I46" s="1289">
        <v>4.59</v>
      </c>
      <c r="J46" s="1289">
        <v>5.13</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39437</v>
      </c>
      <c r="D47" s="1289">
        <v>6.57</v>
      </c>
      <c r="E47" s="1289">
        <v>7.47</v>
      </c>
      <c r="F47" s="1289">
        <v>7.56</v>
      </c>
      <c r="G47" s="1289">
        <v>7.74</v>
      </c>
      <c r="H47" s="1289">
        <v>7.83</v>
      </c>
      <c r="I47" s="1289">
        <v>4.7699999999999996</v>
      </c>
      <c r="J47" s="1289">
        <v>5.22</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39340</v>
      </c>
      <c r="D48" s="1289">
        <v>6.48</v>
      </c>
      <c r="E48" s="1289">
        <v>7.29</v>
      </c>
      <c r="F48" s="1289">
        <v>7.47</v>
      </c>
      <c r="G48" s="1289">
        <v>7.65</v>
      </c>
      <c r="H48" s="1289">
        <v>7.83</v>
      </c>
      <c r="I48" s="1289">
        <v>4.7699999999999996</v>
      </c>
      <c r="J48" s="1289">
        <v>5.22</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39316</v>
      </c>
      <c r="D49" s="1289">
        <v>6.21</v>
      </c>
      <c r="E49" s="1289">
        <v>7.02</v>
      </c>
      <c r="F49" s="1289">
        <v>7.2</v>
      </c>
      <c r="G49" s="1289">
        <v>7.38</v>
      </c>
      <c r="H49" s="1289">
        <v>7.56</v>
      </c>
      <c r="I49" s="1289">
        <v>4.59</v>
      </c>
      <c r="J49" s="1289">
        <v>5.04</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39284</v>
      </c>
      <c r="D50" s="1289">
        <v>6.03</v>
      </c>
      <c r="E50" s="1289">
        <v>6.84</v>
      </c>
      <c r="F50" s="1289">
        <v>7.02</v>
      </c>
      <c r="G50" s="1289">
        <v>7.2</v>
      </c>
      <c r="H50" s="1289">
        <v>7.38</v>
      </c>
      <c r="I50" s="1289">
        <v>4.5</v>
      </c>
      <c r="J50" s="1289">
        <v>4.95</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39221</v>
      </c>
      <c r="D51" s="1289">
        <v>5.85</v>
      </c>
      <c r="E51" s="1289">
        <v>6.57</v>
      </c>
      <c r="F51" s="1289">
        <v>6.75</v>
      </c>
      <c r="G51" s="1289">
        <v>6.93</v>
      </c>
      <c r="H51" s="1289">
        <v>7.2</v>
      </c>
      <c r="I51" s="1289">
        <v>4.41</v>
      </c>
      <c r="J51" s="1289">
        <v>4.8600000000000003</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39159</v>
      </c>
      <c r="D52" s="1289">
        <v>5.67</v>
      </c>
      <c r="E52" s="1289">
        <v>6.39</v>
      </c>
      <c r="F52" s="1289">
        <v>6.57</v>
      </c>
      <c r="G52" s="1289">
        <v>6.75</v>
      </c>
      <c r="H52" s="1289">
        <v>7.11</v>
      </c>
      <c r="I52" s="1289">
        <v>4.32</v>
      </c>
      <c r="J52" s="1289">
        <v>4.7699999999999996</v>
      </c>
      <c r="L52" s="1289"/>
      <c r="M52" s="1290"/>
      <c r="N52" s="1289"/>
      <c r="O52" s="1289"/>
      <c r="P52" s="1289"/>
      <c r="Q52" s="1289"/>
      <c r="R52" s="1289"/>
      <c r="S52" s="1289"/>
      <c r="T52" s="1289"/>
      <c r="U52" s="1289"/>
      <c r="V52" s="1289"/>
      <c r="W52" s="1289"/>
      <c r="X52" s="1289"/>
      <c r="Y52" s="1289"/>
      <c r="Z52" s="1289"/>
    </row>
    <row r="53" spans="2:26">
      <c r="B53" s="1289"/>
      <c r="C53" s="1290">
        <v>38948</v>
      </c>
      <c r="D53" s="1289">
        <v>5.58</v>
      </c>
      <c r="E53" s="1289">
        <v>6.12</v>
      </c>
      <c r="F53" s="1289">
        <v>6.3</v>
      </c>
      <c r="G53" s="1289">
        <v>6.48</v>
      </c>
      <c r="H53" s="1289">
        <v>6.84</v>
      </c>
      <c r="I53" s="1289">
        <v>4.1399999999999997</v>
      </c>
      <c r="J53" s="1289">
        <v>4.59</v>
      </c>
      <c r="L53" s="1289"/>
      <c r="M53" s="1290"/>
      <c r="N53" s="1289"/>
      <c r="O53" s="1289"/>
      <c r="P53" s="1289"/>
      <c r="Q53" s="1289"/>
      <c r="R53" s="1289"/>
      <c r="S53" s="1289"/>
      <c r="T53" s="1289"/>
      <c r="U53" s="1289"/>
      <c r="V53" s="1289"/>
      <c r="W53" s="1289"/>
      <c r="X53" s="1289"/>
      <c r="Y53" s="1289"/>
      <c r="Z53" s="1289"/>
    </row>
    <row r="54" spans="2:26">
      <c r="B54" s="1289"/>
      <c r="C54" s="1290">
        <v>38835</v>
      </c>
      <c r="D54" s="1289">
        <v>5.4</v>
      </c>
      <c r="E54" s="1289">
        <v>5.85</v>
      </c>
      <c r="F54" s="1289">
        <v>6.03</v>
      </c>
      <c r="G54" s="1289">
        <v>6.12</v>
      </c>
      <c r="H54" s="1289">
        <v>6.39</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38428</v>
      </c>
      <c r="D55" s="1289">
        <v>5.22</v>
      </c>
      <c r="E55" s="1289">
        <v>5.58</v>
      </c>
      <c r="F55" s="1289">
        <v>5.76</v>
      </c>
      <c r="G55" s="1289">
        <v>5.85</v>
      </c>
      <c r="H55" s="1289">
        <v>6.12</v>
      </c>
      <c r="I55" s="1289">
        <v>3.96</v>
      </c>
      <c r="J55" s="1289">
        <v>4.41</v>
      </c>
      <c r="L55" s="1289"/>
      <c r="M55" s="1290"/>
      <c r="N55" s="1289"/>
      <c r="O55" s="1289"/>
      <c r="P55" s="1289"/>
      <c r="Q55" s="1289"/>
      <c r="R55" s="1289"/>
      <c r="S55" s="1289"/>
      <c r="T55" s="1289"/>
      <c r="U55" s="1289"/>
      <c r="V55" s="1289"/>
      <c r="W55" s="1289"/>
      <c r="X55" s="1289"/>
      <c r="Y55" s="1289"/>
      <c r="Z55" s="1289"/>
    </row>
    <row r="56" spans="2:26">
      <c r="B56" s="1289"/>
      <c r="C56" s="1290">
        <v>38289</v>
      </c>
      <c r="D56" s="1289">
        <v>5.22</v>
      </c>
      <c r="E56" s="1289">
        <v>5.58</v>
      </c>
      <c r="F56" s="1289">
        <v>5.76</v>
      </c>
      <c r="G56" s="1289">
        <v>5.85</v>
      </c>
      <c r="H56" s="1289">
        <v>6.12</v>
      </c>
      <c r="I56" s="1289">
        <v>3.78</v>
      </c>
      <c r="J56" s="1289">
        <v>4.2300000000000004</v>
      </c>
      <c r="L56" s="1289"/>
      <c r="M56" s="1290"/>
      <c r="N56" s="1289"/>
      <c r="O56" s="1289"/>
      <c r="P56" s="1289"/>
      <c r="Q56" s="1289"/>
      <c r="R56" s="1289"/>
      <c r="S56" s="1289"/>
      <c r="T56" s="1289"/>
      <c r="U56" s="1289"/>
      <c r="V56" s="1289"/>
      <c r="W56" s="1289"/>
      <c r="X56" s="1289"/>
      <c r="Y56" s="1289"/>
      <c r="Z56" s="1289"/>
    </row>
    <row r="57" spans="2:26">
      <c r="B57" s="1289"/>
      <c r="C57" s="1290">
        <v>37308</v>
      </c>
      <c r="D57" s="1289">
        <v>5.04</v>
      </c>
      <c r="E57" s="1289">
        <v>5.31</v>
      </c>
      <c r="F57" s="1289">
        <v>5.49</v>
      </c>
      <c r="G57" s="1289">
        <v>5.58</v>
      </c>
      <c r="H57" s="1289">
        <v>5.76</v>
      </c>
      <c r="I57" s="1289">
        <v>3.6</v>
      </c>
      <c r="J57" s="1289">
        <v>4.05</v>
      </c>
      <c r="L57" s="1289"/>
      <c r="M57" s="1290"/>
      <c r="N57" s="1289"/>
      <c r="O57" s="1289"/>
      <c r="P57" s="1289"/>
      <c r="Q57" s="1289"/>
      <c r="R57" s="1289"/>
      <c r="S57" s="1289"/>
      <c r="T57" s="1289"/>
      <c r="U57" s="1289"/>
      <c r="V57" s="1289"/>
      <c r="W57" s="1289"/>
      <c r="X57" s="1289"/>
      <c r="Y57" s="1289"/>
      <c r="Z57" s="1289"/>
    </row>
    <row r="58" spans="2:26">
      <c r="B58" s="1289"/>
      <c r="C58" s="1290">
        <v>36321</v>
      </c>
      <c r="D58" s="1289">
        <v>5.58</v>
      </c>
      <c r="E58" s="1289">
        <v>5.85</v>
      </c>
      <c r="F58" s="1289">
        <v>5.94</v>
      </c>
      <c r="G58" s="1289">
        <v>6.03</v>
      </c>
      <c r="H58" s="1289">
        <v>6.21</v>
      </c>
      <c r="I58" s="1289">
        <v>4.1399999999999997</v>
      </c>
      <c r="J58" s="1289">
        <v>4.59</v>
      </c>
    </row>
    <row r="59" spans="2:26">
      <c r="B59" s="1289"/>
      <c r="C59" s="1290">
        <v>36136</v>
      </c>
      <c r="D59" s="1289">
        <v>6.12</v>
      </c>
      <c r="E59" s="1289">
        <v>6.39</v>
      </c>
      <c r="F59" s="1289">
        <v>6.66</v>
      </c>
      <c r="G59" s="1289">
        <v>7.2</v>
      </c>
      <c r="H59" s="1289">
        <v>7.56</v>
      </c>
      <c r="I59" s="1289">
        <v>0</v>
      </c>
      <c r="J59" s="1289">
        <v>0</v>
      </c>
    </row>
    <row r="60" spans="2:26">
      <c r="B60" s="1289"/>
      <c r="C60" s="1290">
        <v>35977</v>
      </c>
      <c r="D60" s="1289">
        <v>6.57</v>
      </c>
      <c r="E60" s="1289">
        <v>6.93</v>
      </c>
      <c r="F60" s="1289">
        <v>7.11</v>
      </c>
      <c r="G60" s="1289">
        <v>7.65</v>
      </c>
      <c r="H60" s="1289">
        <v>8.01</v>
      </c>
      <c r="I60" s="1289">
        <v>0</v>
      </c>
      <c r="J60" s="1289">
        <v>0</v>
      </c>
    </row>
    <row r="61" spans="2:26">
      <c r="B61" s="1289"/>
      <c r="C61" s="1290">
        <v>35879</v>
      </c>
      <c r="D61" s="1289">
        <v>7.02</v>
      </c>
      <c r="E61" s="1289">
        <v>7.92</v>
      </c>
      <c r="F61" s="1289">
        <v>9</v>
      </c>
      <c r="G61" s="1289">
        <v>9.7200000000000006</v>
      </c>
      <c r="H61" s="1289">
        <v>10.35</v>
      </c>
      <c r="I61" s="1289">
        <v>0</v>
      </c>
      <c r="J61" s="1289">
        <v>0</v>
      </c>
    </row>
    <row r="62" spans="2:26">
      <c r="B62" s="1289"/>
      <c r="C62" s="1290">
        <v>35726</v>
      </c>
      <c r="D62" s="1289">
        <v>7.65</v>
      </c>
      <c r="E62" s="1289">
        <v>8.64</v>
      </c>
      <c r="F62" s="1289">
        <v>9.36</v>
      </c>
      <c r="G62" s="1289">
        <v>9.9</v>
      </c>
      <c r="H62" s="1289">
        <v>10.53</v>
      </c>
      <c r="I62" s="1289">
        <v>0</v>
      </c>
      <c r="J62" s="1289">
        <v>0</v>
      </c>
    </row>
    <row r="63" spans="2:26">
      <c r="B63" s="1289"/>
      <c r="C63" s="1290">
        <v>35300</v>
      </c>
      <c r="D63" s="1289">
        <v>9.18</v>
      </c>
      <c r="E63" s="1289">
        <v>10.08</v>
      </c>
      <c r="F63" s="1289">
        <v>10.98</v>
      </c>
      <c r="G63" s="1289">
        <v>11.7</v>
      </c>
      <c r="H63" s="1289">
        <v>12.42</v>
      </c>
      <c r="I63" s="1289">
        <v>0</v>
      </c>
      <c r="J63" s="1289">
        <v>0</v>
      </c>
    </row>
    <row r="64" spans="2:26">
      <c r="B64" s="1289"/>
      <c r="C64" s="1290">
        <v>35186</v>
      </c>
      <c r="D64" s="1289">
        <v>9.7200000000000006</v>
      </c>
      <c r="E64" s="1289">
        <v>10.98</v>
      </c>
      <c r="F64" s="1289">
        <v>13.14</v>
      </c>
      <c r="G64" s="1289">
        <v>14.94</v>
      </c>
      <c r="H64" s="1289">
        <v>15.12</v>
      </c>
      <c r="I64" s="1289">
        <v>0</v>
      </c>
      <c r="J64" s="1289">
        <v>0</v>
      </c>
    </row>
    <row r="65" spans="2:10">
      <c r="B65" s="1289"/>
      <c r="C65" s="1290">
        <v>34881</v>
      </c>
      <c r="D65" s="1289">
        <v>10.08</v>
      </c>
      <c r="E65" s="1289">
        <v>12.06</v>
      </c>
      <c r="F65" s="1289">
        <v>13.5</v>
      </c>
      <c r="G65" s="1289">
        <v>15.12</v>
      </c>
      <c r="H65" s="1289">
        <v>15.3</v>
      </c>
      <c r="I65" s="1289">
        <v>0</v>
      </c>
      <c r="J65" s="1289">
        <v>0</v>
      </c>
    </row>
    <row r="66" spans="2:10">
      <c r="B66" s="1289"/>
      <c r="C66" s="1290">
        <v>34700</v>
      </c>
      <c r="D66" s="1289">
        <v>9</v>
      </c>
      <c r="E66" s="1289">
        <v>10.98</v>
      </c>
      <c r="F66" s="1289">
        <v>12.96</v>
      </c>
      <c r="G66" s="1289">
        <v>14.58</v>
      </c>
      <c r="H66" s="1289">
        <v>14.76</v>
      </c>
      <c r="I66" s="1289">
        <v>0</v>
      </c>
      <c r="J66" s="1289">
        <v>0</v>
      </c>
    </row>
    <row r="67" spans="2:10">
      <c r="B67" s="1289"/>
      <c r="C67" s="1290">
        <v>34161</v>
      </c>
      <c r="D67" s="1289">
        <v>9</v>
      </c>
      <c r="E67" s="1289">
        <v>10.98</v>
      </c>
      <c r="F67" s="1289">
        <v>12.24</v>
      </c>
      <c r="G67" s="1289">
        <v>13.86</v>
      </c>
      <c r="H67" s="1289">
        <v>14.04</v>
      </c>
      <c r="I67" s="1289">
        <v>0</v>
      </c>
      <c r="J67" s="1289">
        <v>0</v>
      </c>
    </row>
    <row r="68" spans="2:10">
      <c r="B68" s="1289"/>
      <c r="C68" s="1290">
        <v>34104</v>
      </c>
      <c r="D68" s="1289">
        <v>8.82</v>
      </c>
      <c r="E68" s="1289">
        <v>9.36</v>
      </c>
      <c r="F68" s="1289">
        <v>10.8</v>
      </c>
      <c r="G68" s="1289">
        <v>12.06</v>
      </c>
      <c r="H68" s="1289">
        <v>12.24</v>
      </c>
      <c r="I68" s="1289">
        <v>0</v>
      </c>
      <c r="J68" s="1289">
        <v>0</v>
      </c>
    </row>
    <row r="69" spans="2:10">
      <c r="B69" s="1289"/>
      <c r="C69" s="1290">
        <v>33349</v>
      </c>
      <c r="D69" s="1289">
        <v>8.1</v>
      </c>
      <c r="E69" s="1289">
        <v>8.64</v>
      </c>
      <c r="F69" s="1289">
        <v>9</v>
      </c>
      <c r="G69" s="1289">
        <v>9.5399999999999991</v>
      </c>
      <c r="H69" s="1289">
        <v>9.7200000000000006</v>
      </c>
      <c r="I69" s="1289">
        <v>0</v>
      </c>
      <c r="J69" s="1289">
        <v>0</v>
      </c>
    </row>
    <row r="70" spans="2:10">
      <c r="B70" s="1289"/>
      <c r="C70" s="1290">
        <v>33318</v>
      </c>
      <c r="D70" s="1289">
        <v>9</v>
      </c>
      <c r="E70" s="1289">
        <v>10.08</v>
      </c>
      <c r="F70" s="1289">
        <v>10.8</v>
      </c>
      <c r="G70" s="1289">
        <v>11.52</v>
      </c>
      <c r="H70" s="1289">
        <v>11.88</v>
      </c>
      <c r="I70" s="1289" t="s">
        <v>633</v>
      </c>
      <c r="J70" s="1289" t="s">
        <v>633</v>
      </c>
    </row>
    <row r="71" spans="2:10">
      <c r="B71" s="1289"/>
      <c r="C71" s="1290">
        <v>33106</v>
      </c>
      <c r="D71" s="1289">
        <v>8.64</v>
      </c>
      <c r="E71" s="1289">
        <v>9.36</v>
      </c>
      <c r="F71" s="1289">
        <v>10.08</v>
      </c>
      <c r="G71" s="1289">
        <v>10.8</v>
      </c>
      <c r="H71" s="1289">
        <v>11.16</v>
      </c>
      <c r="I71" s="1289">
        <v>0</v>
      </c>
      <c r="J71" s="1289">
        <v>0</v>
      </c>
    </row>
    <row r="72" spans="2:10">
      <c r="B72" s="1289"/>
      <c r="C72" s="1290">
        <v>32540</v>
      </c>
      <c r="D72" s="1289">
        <v>11.34</v>
      </c>
      <c r="E72" s="1289">
        <v>11.34</v>
      </c>
      <c r="F72" s="1289">
        <v>12.78</v>
      </c>
      <c r="G72" s="1289">
        <v>14.4</v>
      </c>
      <c r="H72" s="1289">
        <v>19.260000000000002</v>
      </c>
      <c r="I72" s="1289">
        <v>0</v>
      </c>
      <c r="J72" s="1289">
        <v>0</v>
      </c>
    </row>
    <row r="73" spans="2:10">
      <c r="B73" s="1289"/>
      <c r="C73" s="1290"/>
      <c r="D73" s="1289"/>
      <c r="E73" s="1289"/>
      <c r="F73" s="1289"/>
      <c r="G73" s="1289"/>
      <c r="H73" s="1289"/>
      <c r="I73" s="1289"/>
      <c r="J73" s="1289"/>
    </row>
    <row r="74" spans="2:10">
      <c r="B74" s="1292"/>
      <c r="C74" s="1293"/>
      <c r="D74" s="1292"/>
      <c r="E74" s="1292"/>
      <c r="F74" s="1292"/>
      <c r="G74" s="1292"/>
      <c r="H74" s="1292"/>
      <c r="I74" s="1292"/>
      <c r="J74" s="1292"/>
    </row>
    <row r="75" spans="2:10">
      <c r="B75" s="1292"/>
      <c r="C75" s="1293"/>
      <c r="D75" s="1292"/>
      <c r="E75" s="1292"/>
      <c r="F75" s="1292"/>
      <c r="G75" s="1292"/>
      <c r="H75" s="1292"/>
      <c r="I75" s="1292"/>
      <c r="J75" s="1292"/>
    </row>
    <row r="76" spans="2:10">
      <c r="B76" s="1292"/>
      <c r="C76" s="1293"/>
      <c r="D76" s="1292"/>
      <c r="E76" s="1292"/>
      <c r="F76" s="1292"/>
      <c r="G76" s="1292"/>
      <c r="H76" s="1292"/>
      <c r="I76" s="1292"/>
      <c r="J76" s="1292"/>
    </row>
    <row r="77" spans="2:10">
      <c r="B77" s="1241"/>
      <c r="C77" s="1241"/>
      <c r="D77" s="1241"/>
      <c r="E77" s="1241"/>
      <c r="F77" s="1241"/>
      <c r="G77" s="1241"/>
      <c r="H77" s="1241"/>
      <c r="I77" s="1241"/>
      <c r="J77" s="1241"/>
    </row>
    <row r="78" spans="2:10">
      <c r="B78" s="1241"/>
      <c r="C78" s="1241"/>
      <c r="D78" s="1241"/>
      <c r="E78" s="1241"/>
      <c r="F78" s="1241"/>
      <c r="G78" s="1241"/>
      <c r="H78" s="1241"/>
      <c r="I78" s="1241"/>
      <c r="J78" s="1241"/>
    </row>
  </sheetData>
  <sheetProtection password="CEE9" sheet="1" objects="1" scenarios="1"/>
  <phoneticPr fontId="134"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3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169</vt:i4>
      </vt:variant>
    </vt:vector>
  </HeadingPairs>
  <TitlesOfParts>
    <vt:vector size="21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结果表-1层</vt:lpstr>
      <vt:lpstr>成本法</vt:lpstr>
      <vt:lpstr>成本法 (元)</vt:lpstr>
      <vt:lpstr>假设开发法</vt:lpstr>
      <vt:lpstr>收益法</vt:lpstr>
      <vt:lpstr>比较法-商业</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因素修正幅度</vt:lpstr>
      <vt:lpstr>区片价（范围）</vt:lpstr>
      <vt:lpstr>收益法 (元)</vt:lpstr>
      <vt:lpstr>结果表-2层</vt:lpstr>
      <vt:lpstr>比较法-商业-1层基准</vt:lpstr>
      <vt:lpstr>典型户型修正</vt:lpstr>
      <vt:lpstr>收益法-2层</vt:lpstr>
      <vt:lpstr>Sheet3</vt:lpstr>
      <vt:lpstr>地价-分区</vt:lpstr>
      <vt:lpstr>地价</vt:lpstr>
      <vt:lpstr>区片价</vt:lpstr>
      <vt:lpstr>存贷款利率</vt:lpstr>
      <vt:lpstr>Sheet1</vt:lpstr>
      <vt:lpstr>'比较法-办公'!Print_Area</vt:lpstr>
      <vt:lpstr>'比较法-仓储'!Print_Area</vt:lpstr>
      <vt:lpstr>'比较法-车位'!Print_Area</vt:lpstr>
      <vt:lpstr>'比较法-工业'!Print_Area</vt:lpstr>
      <vt:lpstr>'比较法-商业'!Print_Area</vt:lpstr>
      <vt:lpstr>'比较法-商业-1层基准'!Print_Area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'结果表-1层'!Print_Area</vt:lpstr>
      <vt:lpstr>'结果表-2层'!Print_Area</vt:lpstr>
      <vt:lpstr>收益法!Print_Area</vt:lpstr>
      <vt:lpstr>'收益法 (元)'!Print_Area</vt:lpstr>
      <vt:lpstr>'收益法（汇总）'!Print_Area</vt:lpstr>
      <vt:lpstr>'收益法-2层'!Print_Area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'比较法-商业-1层基准'!商业层高</vt:lpstr>
      <vt:lpstr>商业层高</vt:lpstr>
      <vt:lpstr>'比较法-商业-1层基准'!商业成新度</vt:lpstr>
      <vt:lpstr>商业成新度</vt:lpstr>
      <vt:lpstr>商业繁华度</vt:lpstr>
      <vt:lpstr>'比较法-商业-1层基准'!商业公共部分装修</vt:lpstr>
      <vt:lpstr>商业公共部分装修</vt:lpstr>
      <vt:lpstr>'比较法-商业-1层基准'!商业基础设施水平</vt:lpstr>
      <vt:lpstr>商业基础设施水平</vt:lpstr>
      <vt:lpstr>'比较法-商业-1层基准'!商业建筑结构</vt:lpstr>
      <vt:lpstr>商业建筑结构</vt:lpstr>
      <vt:lpstr>'比较法-商业-1层基准'!商业交易情况</vt:lpstr>
      <vt:lpstr>商业交易情况</vt:lpstr>
      <vt:lpstr>商业街名称</vt:lpstr>
      <vt:lpstr>'比较法-商业-1层基准'!商业进深比</vt:lpstr>
      <vt:lpstr>商业进深比</vt:lpstr>
      <vt:lpstr>'比较法-商业-1层基准'!商业类型</vt:lpstr>
      <vt:lpstr>商业类型</vt:lpstr>
      <vt:lpstr>'比较法-商业-1层基准'!商业临街状况</vt:lpstr>
      <vt:lpstr>商业临街状况</vt:lpstr>
      <vt:lpstr>'比较法-商业-1层基准'!商业楼层</vt:lpstr>
      <vt:lpstr>商业楼层</vt:lpstr>
      <vt:lpstr>'比较法-商业-1层基准'!商业内部装修</vt:lpstr>
      <vt:lpstr>商业内部装修</vt:lpstr>
      <vt:lpstr>'比较法-商业-1层基准'!商业人流量</vt:lpstr>
      <vt:lpstr>商业人流量</vt:lpstr>
      <vt:lpstr>'比较法-商业-1层基准'!商业业态</vt:lpstr>
      <vt:lpstr>商业业态</vt:lpstr>
      <vt:lpstr>'比较法-商业-1层基准'!商业用途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2025-05-29T09:24:22Z</dcterms:modified>
</cp:coreProperties>
</file>