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9"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state="hidden" r:id="rId18"/>
    <sheet name="结果汇总" sheetId="70" r:id="rId19"/>
    <sheet name="基准地价" sheetId="46" r:id="rId20"/>
    <sheet name="成本逼近法" sheetId="11" r:id="rId21"/>
    <sheet name="剩余法-待开发" sheetId="12" state="hidden" r:id="rId22"/>
    <sheet name="土地案例" sheetId="68" r:id="rId23"/>
    <sheet name="剩余法-现房" sheetId="43" r:id="rId24"/>
    <sheet name="比较法-住宅、综合" sheetId="39" state="hidden" r:id="rId25"/>
    <sheet name="比较法-工业" sheetId="40"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不动产收益法" sheetId="15" r:id="rId32"/>
    <sheet name="酒店收入计算" sheetId="57"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收益还原法" sheetId="44" state="hidden" r:id="rId42"/>
    <sheet name="地价" sheetId="59" r:id="rId43"/>
  </sheets>
  <externalReferences>
    <externalReference r:id="rId44"/>
    <externalReference r:id="rId45"/>
  </externalReferences>
  <definedNames>
    <definedName name="_xlnm._FilterDatabase" localSheetId="25" hidden="1">'比较法-工业'!$A$1:$L$45</definedName>
    <definedName name="_xlnm._FilterDatabase" localSheetId="24"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2"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2">'[2]不动产比较法-办公'!$B$119:$M$119</definedName>
    <definedName name="办公层高">'不动产比较法-办公'!$B$119:$M$119</definedName>
    <definedName name="办公朝向" localSheetId="22">'[2]不动产比较法-办公'!$B$91:$M$91</definedName>
    <definedName name="办公朝向">'不动产比较法-办公'!$B$91:$M$91</definedName>
    <definedName name="办公道路级别" localSheetId="22">'[2]不动产比较法-办公'!$B$87:$M$87</definedName>
    <definedName name="办公道路级别">'不动产比较法-办公'!$B$87:$M$87</definedName>
    <definedName name="办公公共部分装修" localSheetId="22">'[2]不动产比较法-办公'!$B$108:$M$108</definedName>
    <definedName name="办公公共部分装修">'不动产比较法-办公'!$B$108:$M$108</definedName>
    <definedName name="办公基础设施水平" localSheetId="22">'[2]不动产比较法-办公'!$B$117:$M$117</definedName>
    <definedName name="办公基础设施水平">'不动产比较法-办公'!$B$117:$M$117</definedName>
    <definedName name="办公集聚程度" localSheetId="22">[2]定义!$M$1:$M$6</definedName>
    <definedName name="办公集聚程度">定义!$M$1:$M$6</definedName>
    <definedName name="办公建筑结构" localSheetId="22">'[2]不动产比较法-办公'!$B$106:$M$106</definedName>
    <definedName name="办公建筑结构">'不动产比较法-办公'!$B$106:$M$106</definedName>
    <definedName name="办公建筑类型" localSheetId="22">'[2]不动产比较法-办公'!$B$101:$M$101</definedName>
    <definedName name="办公建筑类型">'不动产比较法-办公'!$B$101:$M$101</definedName>
    <definedName name="办公交易情况" localSheetId="22">'[2]不动产比较法-办公'!$A$62:$M$62</definedName>
    <definedName name="办公交易情况">'不动产比较法-办公'!$A$62:$M$62</definedName>
    <definedName name="办公楼层" localSheetId="22">'[2]不动产比较法-办公'!$B$89:$M$89</definedName>
    <definedName name="办公楼层">'不动产比较法-办公'!$B$89:$M$89</definedName>
    <definedName name="办公内部装修" localSheetId="22">'[2]不动产比较法-办公'!$B$123:$M$123</definedName>
    <definedName name="办公内部装修">'不动产比较法-办公'!$B$123:$M$123</definedName>
    <definedName name="办公物业管理" localSheetId="22">'[2]不动产比较法-办公'!$B$115:$M$115</definedName>
    <definedName name="办公物业管理">'不动产比较法-办公'!$B$115:$M$115</definedName>
    <definedName name="办公用途" localSheetId="22">'[2]不动产比较法-办公'!$B$64:$M$64</definedName>
    <definedName name="办公用途">'不动产比较法-办公'!$B$64:$M$64</definedName>
    <definedName name="仓储公共部分装修" localSheetId="22">'[2]不动产比较法-仓储'!$B$77:$M$77</definedName>
    <definedName name="仓储公共部分装修">'不动产比较法-仓储'!$B$77:$M$77</definedName>
    <definedName name="仓储交易情况" localSheetId="22">'[2]不动产比较法-仓储'!$A$49:$M$49</definedName>
    <definedName name="仓储交易情况">'不动产比较法-仓储'!$A$49:$M$49</definedName>
    <definedName name="仓储楼层" localSheetId="22">'[2]不动产比较法-仓储'!$B$69:$M$69</definedName>
    <definedName name="仓储楼层">'不动产比较法-仓储'!$B$69:$M$69</definedName>
    <definedName name="仓储物业等级" localSheetId="22">'[2]不动产比较法-仓储'!$B$82:$M$82</definedName>
    <definedName name="仓储物业等级">'不动产比较法-仓储'!$B$82:$M$82</definedName>
    <definedName name="仓储用途" localSheetId="22">'[2]不动产比较法-仓储'!$B$51:$M$51</definedName>
    <definedName name="仓储用途">'不动产比较法-仓储'!$B$51:$M$51</definedName>
    <definedName name="产业集聚程度" localSheetId="22">[2]定义!$N$1:$N$6</definedName>
    <definedName name="产业集聚程度">定义!$N$1:$N$6</definedName>
    <definedName name="车位公共部分装修" localSheetId="22">'[2]不动产比较法-车位'!$B$83:$M$83</definedName>
    <definedName name="车位公共部分装修">'不动产比较法-车位'!$B$83:$M$83</definedName>
    <definedName name="车位交易情况" localSheetId="22">'[2]不动产比较法-车位'!$A$51:$M$51</definedName>
    <definedName name="车位交易情况">'不动产比较法-车位'!$A$51:$M$51</definedName>
    <definedName name="车位类型" localSheetId="22">'[2]不动产比较法-车位'!$B$93:$M$93</definedName>
    <definedName name="车位类型">'不动产比较法-车位'!$B$93:$M$93</definedName>
    <definedName name="车位楼层" localSheetId="22">'[2]不动产比较法-车位'!$B$71:$M$71</definedName>
    <definedName name="车位楼层">'不动产比较法-车位'!$B$71:$M$71</definedName>
    <definedName name="车位配套类型" localSheetId="22">'[2]不动产比较法-车位'!$B$79:$M$79</definedName>
    <definedName name="车位配套类型">'不动产比较法-车位'!$B$79:$M$79</definedName>
    <definedName name="车位物业等级" localSheetId="22">'[2]不动产比较法-车位'!$B$88:$M$88</definedName>
    <definedName name="车位物业等级">'不动产比较法-车位'!$B$88:$M$88</definedName>
    <definedName name="车位用途" localSheetId="22">'[2]不动产比较法-车位'!$B$53:$M$53</definedName>
    <definedName name="车位用途">'不动产比较法-车位'!$B$53:$M$53</definedName>
    <definedName name="城镇土地纳税等级分级范围" localSheetId="22">'[2]数据-取费表'!$A$53:$A$63</definedName>
    <definedName name="城镇土地纳税等级分级范围">'数据-取费表'!$A$53:$A$63</definedName>
    <definedName name="单价内涵" localSheetId="22">[2]定义!$V$1:$V$3</definedName>
    <definedName name="单价内涵">定义!$V$1:$V$3</definedName>
    <definedName name="地类判定" localSheetId="22">[2]定义!$H$1:$H$9</definedName>
    <definedName name="地类判定">定义!$H$1:$H$9</definedName>
    <definedName name="二级">区片价!$J$1:$J$20</definedName>
    <definedName name="二级分类" localSheetId="22">[2]修正!$C$17:$C$39</definedName>
    <definedName name="二级分类">修正!$C$17:$C$39</definedName>
    <definedName name="法定最高年限" localSheetId="22">[2]定义!$G$2:$G$4</definedName>
    <definedName name="法定最高年限">定义!$G$2:$G$4</definedName>
    <definedName name="工业公共部分装修" localSheetId="22">'[2]不动产比较法-工业'!$B$95:$M$95</definedName>
    <definedName name="工业公共部分装修">'不动产比较法-工业'!$B$95:$M$95</definedName>
    <definedName name="工业基础设施水平" localSheetId="22">'[2]不动产比较法-工业'!$B$102:$M$102</definedName>
    <definedName name="工业基础设施水平">'不动产比较法-工业'!$B$102:$M$102</definedName>
    <definedName name="工业建筑结构" localSheetId="22">'[2]不动产比较法-工业'!$B$93:$M$93</definedName>
    <definedName name="工业建筑结构">'不动产比较法-工业'!$B$93:$M$93</definedName>
    <definedName name="工业建筑类型" localSheetId="22">'[2]不动产比较法-工业'!$B$88:$M$88</definedName>
    <definedName name="工业建筑类型">'不动产比较法-工业'!$B$88:$M$88</definedName>
    <definedName name="工业交易情况" localSheetId="22">'[2]不动产比较法-工业'!$A$55:$M$55</definedName>
    <definedName name="工业交易情况">'不动产比较法-工业'!$A$55:$M$55</definedName>
    <definedName name="工业内部装修" localSheetId="22">'[2]不动产比较法-工业'!$B$104:$M$104</definedName>
    <definedName name="工业内部装修">'不动产比较法-工业'!$B$104:$M$104</definedName>
    <definedName name="工业物业管理" localSheetId="22">'[2]不动产比较法-工业'!$B$100:$M$100</definedName>
    <definedName name="工业物业管理">'不动产比较法-工业'!$B$100:$M$100</definedName>
    <definedName name="工业用途" localSheetId="22">'[2]不动产比较法-工业'!$B$57:$M$57</definedName>
    <definedName name="工业用途">'不动产比较法-工业'!$B$57:$M$57</definedName>
    <definedName name="公共配套设施" localSheetId="22">[2]定义!$Q$1:$Q$6</definedName>
    <definedName name="公共配套设施">定义!$Q$1:$Q$6</definedName>
    <definedName name="公用设施及基础设施水平">[1]定义!$Q$1:$Q$6</definedName>
    <definedName name="估价方法" localSheetId="22">[2]定义!$B$1:$B$50</definedName>
    <definedName name="估价方法">定义!$B$1:$B$50</definedName>
    <definedName name="环境" localSheetId="22">[2]定义!$S$1:$S$6</definedName>
    <definedName name="环境">定义!$S$1:$S$6</definedName>
    <definedName name="基础设施水平" localSheetId="22">[2]定义!$R$1:$R$6</definedName>
    <definedName name="基础设施水平">定义!$R$1:$R$6</definedName>
    <definedName name="季度">基准地价!$N$19:$AB$19</definedName>
    <definedName name="季度2014">地价!$A$2:$A$30</definedName>
    <definedName name="价值类型2" localSheetId="22">[2]定义!$B$54:$B$56</definedName>
    <definedName name="价值类型2">定义!$B$54:$B$56</definedName>
    <definedName name="交通便捷度" localSheetId="22">[2]定义!$O$1:$O$6</definedName>
    <definedName name="交通便捷度">定义!$O$1:$O$6</definedName>
    <definedName name="九级">区片价!$Q$1:$Q$46</definedName>
    <definedName name="居住社区成熟度" localSheetId="22">[2]定义!$K$1:$K$6</definedName>
    <definedName name="居住社区成熟度">定义!$K$1:$K$6</definedName>
    <definedName name="类别" localSheetId="22">[2]定义!$J$1:$J$3</definedName>
    <definedName name="类别">定义!$J$1:$J$3</definedName>
    <definedName name="临街状况" localSheetId="22">[2]定义!$T$1:$T$5</definedName>
    <definedName name="临街状况">定义!$T$1:$T$5</definedName>
    <definedName name="六级">区片价!$N$1:$N$49</definedName>
    <definedName name="内部装修维护情况" localSheetId="22">[2]定义!$U$1:$U$6</definedName>
    <definedName name="内部装修维护情况">定义!$U$1:$U$6</definedName>
    <definedName name="判定" localSheetId="22">[2]定义!$D$1:$D$4</definedName>
    <definedName name="判定">定义!$D$1:$D$4</definedName>
    <definedName name="七级">区片价!$O$1:$O$49</definedName>
    <definedName name="七通一平" localSheetId="22">[2]修正!$A$6:$A$14</definedName>
    <definedName name="七通一平">修正!$A$6:$A$14</definedName>
    <definedName name="区域土地利用方向" localSheetId="22">[2]定义!$P$1:$P$6</definedName>
    <definedName name="区域土地利用方向">定义!$P$1:$P$6</definedName>
    <definedName name="三级">区片价!$K$1:$K$21</definedName>
    <definedName name="商业层高" localSheetId="22">'[2]不动产比较法-商业'!$B$116:$M$116</definedName>
    <definedName name="商业层高">'不动产比较法-商业'!$B$116:$M$116</definedName>
    <definedName name="商业成新度">'不动产比较法-商业'!$B$109:$M$109</definedName>
    <definedName name="商业繁华度" localSheetId="22">[2]定义!$L$1:$L$6</definedName>
    <definedName name="商业繁华度">定义!$L$1:$L$6</definedName>
    <definedName name="商业公共部分装修" localSheetId="22">'[2]不动产比较法-商业'!$B$107:$M$107</definedName>
    <definedName name="商业公共部分装修">'不动产比较法-商业'!$B$107:$M$107</definedName>
    <definedName name="商业基础设施水平" localSheetId="22">'[2]不动产比较法-商业'!$B$112:$M$112</definedName>
    <definedName name="商业基础设施水平">'不动产比较法-商业'!$B$112:$M$112</definedName>
    <definedName name="商业建筑结构" localSheetId="22">'[2]不动产比较法-商业'!$B$105:$M$105</definedName>
    <definedName name="商业建筑结构">'不动产比较法-商业'!$B$105:$M$105</definedName>
    <definedName name="商业交易情况" localSheetId="22">'[2]不动产比较法-商业'!$A$61:$M$61</definedName>
    <definedName name="商业交易情况">'不动产比较法-商业'!$A$61:$M$61</definedName>
    <definedName name="商业街名称" localSheetId="22">[2]修正!$C$59:$C$119</definedName>
    <definedName name="商业街名称">修正!$C$59:$C$119</definedName>
    <definedName name="商业进深比" localSheetId="22">'[2]不动产比较法-商业'!$B$120:$M$120</definedName>
    <definedName name="商业进深比">'不动产比较法-商业'!$B$120:$M$120</definedName>
    <definedName name="商业类型" localSheetId="22">'[2]不动产比较法-商业'!$B$100:$M$100</definedName>
    <definedName name="商业类型">'不动产比较法-商业'!$B$100:$M$100</definedName>
    <definedName name="商业临街状况" localSheetId="22">'[2]不动产比较法-商业'!$B$86:$M$86</definedName>
    <definedName name="商业临街状况">'不动产比较法-商业'!$B$86:$M$86</definedName>
    <definedName name="商业楼层" localSheetId="22">'[2]不动产比较法-商业'!$B$92:$M$92</definedName>
    <definedName name="商业楼层">'不动产比较法-商业'!$B$92:$M$92</definedName>
    <definedName name="商业内部装修" localSheetId="22">'[2]不动产比较法-商业'!$B$122:$M$122</definedName>
    <definedName name="商业内部装修">'不动产比较法-商业'!$B$122:$M$122</definedName>
    <definedName name="商业人流量" localSheetId="22">'[2]不动产比较法-商业'!$B$90:$M$90</definedName>
    <definedName name="商业人流量">'不动产比较法-商业'!$B$90:$M$90</definedName>
    <definedName name="商业业态" localSheetId="22">'[2]不动产比较法-商业'!$B$114:$M$114</definedName>
    <definedName name="商业业态">'不动产比较法-商业'!$B$114:$M$114</definedName>
    <definedName name="商业用途" localSheetId="2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2">'[2]不动产比较法-仓储'!$B$89:$M$89</definedName>
    <definedName name="是否封闭">'不动产比较法-仓储'!$B$89:$M$89</definedName>
    <definedName name="是否直接入户" localSheetId="22">'[2]不动产比较法-车位'!$B$95:$M$95</definedName>
    <definedName name="是否直接入户">'不动产比较法-车位'!$B$95:$M$95</definedName>
    <definedName name="四级">区片价!$L$1:$L$28</definedName>
    <definedName name="套工工程地质条件" localSheetId="22">'[2]比较法-工业'!$B$116:$M$116</definedName>
    <definedName name="套工工程地质条件">'比较法-工业'!$B$116:$M$116</definedName>
    <definedName name="套工交易情况" localSheetId="22">'[2]比较法-住宅、综合'!$A$75:$M$75</definedName>
    <definedName name="套工交易情况">'比较法-住宅、综合'!$A$75:$M$75</definedName>
    <definedName name="套工开发程度" localSheetId="22">'[2]比较法-工业'!$B$114:$M$114</definedName>
    <definedName name="套工开发程度">'比较法-工业'!$B$114:$M$114</definedName>
    <definedName name="套工临街等级" localSheetId="22">'[2]比较法-工业'!$B$99:$M$99</definedName>
    <definedName name="套工临街等级">'比较法-工业'!$B$99:$M$99</definedName>
    <definedName name="套工土地级别" localSheetId="22">'[2]比较法-工业'!$B$101:$M$101</definedName>
    <definedName name="套工土地级别">'比较法-工业'!$B$101:$M$101</definedName>
    <definedName name="套工用途" localSheetId="22">'[2]比较法-工业'!$B$72:$M$72</definedName>
    <definedName name="套工用途">'比较法-工业'!$B$72:$M$72</definedName>
    <definedName name="套工宗地形状" localSheetId="22">'[2]比较法-工业'!$B$112:$M$112</definedName>
    <definedName name="套工宗地形状">'比较法-工业'!$B$112:$M$112</definedName>
    <definedName name="套综道路等级" localSheetId="22">'[2]比较法-住宅、综合'!$B$108:$M$108</definedName>
    <definedName name="套综道路等级">'比较法-住宅、综合'!$B$108:$M$108</definedName>
    <definedName name="套综工程地质条件" localSheetId="22">'[2]比较法-住宅、综合'!$B$127:$M$127</definedName>
    <definedName name="套综工程地质条件">'比较法-住宅、综合'!$B$127:$M$127</definedName>
    <definedName name="套综交易情况" localSheetId="22">'[2]比较法-住宅、综合'!$A$75:$M$75</definedName>
    <definedName name="套综交易情况">'比较法-住宅、综合'!$A$75:$M$75</definedName>
    <definedName name="套综临街宽度及深度" localSheetId="22">'[2]比较法-住宅、综合'!$B$123:$M$123</definedName>
    <definedName name="套综临街宽度及深度">'比较法-住宅、综合'!$B$123:$M$123</definedName>
    <definedName name="套综土地级别" localSheetId="22">'[2]比较法-住宅、综合'!$B$110:$M$110</definedName>
    <definedName name="套综土地级别">'比较法-住宅、综合'!$B$110:$M$110</definedName>
    <definedName name="套综用途" localSheetId="22">'[2]比较法-住宅、综合'!$B$77:$M$77</definedName>
    <definedName name="套综用途">'比较法-住宅、综合'!$B$77:$M$77</definedName>
    <definedName name="套综宗地内开发程度" localSheetId="22">'[2]比较法-住宅、综合'!$B$125:$M$125</definedName>
    <definedName name="套综宗地内开发程度">'比较法-住宅、综合'!$B$125:$M$125</definedName>
    <definedName name="套综宗地形状" localSheetId="22">'[2]比较法-住宅、综合'!$B$121:$M$121</definedName>
    <definedName name="套综宗地形状">'比较法-住宅、综合'!$B$121:$M$121</definedName>
    <definedName name="土地估价师" localSheetId="22">[2]估价师及机构信息!$D$3:$D$24</definedName>
    <definedName name="土地估价师">估价师及机构信息!$D$3:$D$24</definedName>
    <definedName name="土地级别" localSheetId="22">[2]定义!$C$1:$C$14</definedName>
    <definedName name="土地级别">定义!$C$1:$C$14</definedName>
    <definedName name="土地利用方向">定义!$P$1:$P$6</definedName>
    <definedName name="土地年限区间" localSheetId="22">[2]定义!$I$1:$I$8</definedName>
    <definedName name="土地年限区间">定义!$I$1:$I$8</definedName>
    <definedName name="位置" localSheetId="22">[2]定义!$E$2:$E$4</definedName>
    <definedName name="位置">定义!$E$2:$E$4</definedName>
    <definedName name="五等判定" localSheetId="22">[2]定义!$W$1:$W$6</definedName>
    <definedName name="五等判定">定义!$W$1:$W$6</definedName>
    <definedName name="五级">区片价!$M$1:$M$35</definedName>
    <definedName name="项目类型" localSheetId="22">'[2]数据-汇总表'!$C$17:$C$26</definedName>
    <definedName name="项目类型">'数据-汇总表'!$C$17:$C$26</definedName>
    <definedName name="写字楼等级" localSheetId="22">'[2]不动产比较法-办公'!$B$113:$M$113</definedName>
    <definedName name="写字楼等级">'不动产比较法-办公'!$B$113:$M$113</definedName>
    <definedName name="一级">区片价!$I$1:$I$6</definedName>
    <definedName name="一修多修正项2" localSheetId="22">[2]典型户型修正!$5:$5</definedName>
    <definedName name="一修多修正项2">典型户型修正!$5:$5</definedName>
    <definedName name="一修多修正项3" localSheetId="22">[2]典型户型修正!$7:$7</definedName>
    <definedName name="一修多修正项3">典型户型修正!$7:$7</definedName>
    <definedName name="一修多修正项4" localSheetId="22">[2]典型户型修正!$9:$9</definedName>
    <definedName name="一修多修正项4">典型户型修正!$9:$9</definedName>
    <definedName name="一修多修正项5" localSheetId="22">[2]典型户型修正!$11:$11</definedName>
    <definedName name="一修多修正项5">典型户型修正!$11:$11</definedName>
    <definedName name="一修多修正项6" localSheetId="22">[2]典型户型修正!$13:$13</definedName>
    <definedName name="一修多修正项6">典型户型修正!$13:$13</definedName>
    <definedName name="一修多修正项7" localSheetId="22">[2]典型户型修正!$15:$15</definedName>
    <definedName name="一修多修正项7">典型户型修正!$15:$15</definedName>
    <definedName name="一修多修正项8" localSheetId="22">[2]典型户型修正!$17:$17</definedName>
    <definedName name="一修多修正项8">典型户型修正!$17:$17</definedName>
    <definedName name="用途类型" localSheetId="22">[2]定义!$A$1:$A$50</definedName>
    <definedName name="用途类型">定义!$A$1:$A$50</definedName>
    <definedName name="有无电梯" localSheetId="22">'[2]不动产比较法-仓储'!$B$84:$M$84</definedName>
    <definedName name="有无电梯">'不动产比较法-仓储'!$B$84:$M$84</definedName>
    <definedName name="主用途" localSheetId="22">[2]定义!$F$1:$F$10</definedName>
    <definedName name="主用途">定义!$F$1:$F$10</definedName>
    <definedName name="住宅朝向" localSheetId="22">'[2]不动产比较法-住宅'!$B$88:$M$88</definedName>
    <definedName name="住宅朝向">'不动产比较法-住宅'!$B$88:$M$88</definedName>
    <definedName name="住宅房型" localSheetId="22">'[2]不动产比较法-住宅'!$B$118:$M$118</definedName>
    <definedName name="住宅房型">'不动产比较法-住宅'!$B$118:$M$118</definedName>
    <definedName name="住宅公共部分装修" localSheetId="22">'[2]不动产比较法-住宅'!$B$109:$M$109</definedName>
    <definedName name="住宅公共部分装修">'不动产比较法-住宅'!$B$109:$M$109</definedName>
    <definedName name="住宅基础设施水平" localSheetId="22">'[2]不动产比较法-住宅'!$B$116:$M$116</definedName>
    <definedName name="住宅基础设施水平">'不动产比较法-住宅'!$B$116:$M$116</definedName>
    <definedName name="住宅建筑结构" localSheetId="22">'[2]不动产比较法-住宅'!$B$105:$M$105</definedName>
    <definedName name="住宅建筑结构">'不动产比较法-住宅'!$B$105:$M$105</definedName>
    <definedName name="住宅建筑类型" localSheetId="22">'[2]不动产比较法-住宅'!$B$100:$M$100</definedName>
    <definedName name="住宅建筑类型">'不动产比较法-住宅'!$B$100:$M$100</definedName>
    <definedName name="住宅建筑品质" localSheetId="22">'[2]不动产比较法-住宅'!$B$107:$M$107</definedName>
    <definedName name="住宅建筑品质">'不动产比较法-住宅'!$B$107:$M$107</definedName>
    <definedName name="住宅交易情况" localSheetId="22">'[2]不动产比较法-住宅'!$A$61:$M$61</definedName>
    <definedName name="住宅交易情况">'不动产比较法-住宅'!$A$61:$M$61</definedName>
    <definedName name="住宅楼层" localSheetId="22">'[2]不动产比较法-住宅'!$B$86:$M$86</definedName>
    <definedName name="住宅楼层">'不动产比较法-住宅'!$B$86:$M$86</definedName>
    <definedName name="住宅内部装修" localSheetId="22">'[2]不动产比较法-住宅'!$B$122:$M$122</definedName>
    <definedName name="住宅内部装修">'不动产比较法-住宅'!$B$122:$M$122</definedName>
    <definedName name="住宅物业管理" localSheetId="22">'[2]不动产比较法-住宅'!$B$114:$M$114</definedName>
    <definedName name="住宅物业管理">'不动产比较法-住宅'!$B$114:$M$114</definedName>
    <definedName name="住宅用途" localSheetId="2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4" i="11" l="1"/>
  <c r="AE6" i="1"/>
  <c r="D5" i="9" l="1"/>
  <c r="H14" i="69"/>
  <c r="G81" i="46" l="1"/>
  <c r="G82" i="46"/>
  <c r="G83" i="46"/>
  <c r="G84" i="46"/>
  <c r="G85" i="46"/>
  <c r="G86" i="46"/>
  <c r="G87" i="46"/>
  <c r="G80" i="46"/>
  <c r="I13" i="3" l="1"/>
  <c r="A3" i="3"/>
  <c r="Q4" i="68" l="1"/>
  <c r="Q5" i="68"/>
  <c r="D3" i="4"/>
  <c r="M33" i="68" l="1"/>
  <c r="L33" i="68"/>
  <c r="K33" i="68"/>
  <c r="N32" i="68"/>
  <c r="N31" i="68"/>
  <c r="N30" i="68"/>
  <c r="N29" i="68"/>
  <c r="N28" i="68"/>
  <c r="N27" i="68"/>
  <c r="N26" i="68"/>
  <c r="N25" i="68"/>
  <c r="N24" i="68"/>
  <c r="P15" i="68" s="1"/>
  <c r="N23" i="68"/>
  <c r="N22" i="68"/>
  <c r="N21" i="68"/>
  <c r="N20" i="68"/>
  <c r="N19" i="68"/>
  <c r="N18" i="68"/>
  <c r="N17" i="68"/>
  <c r="N16" i="68"/>
  <c r="N15" i="68"/>
  <c r="N14" i="68"/>
  <c r="N13" i="68"/>
  <c r="N12" i="68"/>
  <c r="N11" i="68"/>
  <c r="N10" i="68"/>
  <c r="N9" i="68"/>
  <c r="N8" i="68"/>
  <c r="N7" i="68"/>
  <c r="N6" i="68"/>
  <c r="N5" i="68"/>
  <c r="N4" i="68"/>
  <c r="F19" i="6"/>
  <c r="N33" i="68" l="1"/>
  <c r="A21" i="31"/>
  <c r="C109" i="9" l="1"/>
  <c r="V6" i="59" l="1"/>
  <c r="U6" i="59"/>
  <c r="T6" i="59"/>
  <c r="S6" i="59"/>
  <c r="AH5" i="59" l="1"/>
  <c r="AG5" i="59"/>
  <c r="AE5" i="59"/>
  <c r="AF5" i="59" s="1"/>
  <c r="AD5" i="59"/>
  <c r="Q5" i="59"/>
  <c r="P5" i="59"/>
  <c r="O5" i="59"/>
  <c r="N5" i="59"/>
  <c r="Q7" i="59" l="1"/>
  <c r="AB7" i="59"/>
  <c r="P7" i="59"/>
  <c r="AA7" i="59"/>
  <c r="O7" i="59"/>
  <c r="Y7" i="59"/>
  <c r="Z7" i="59" s="1"/>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K59" i="15"/>
  <c r="P62" i="15"/>
  <c r="P75" i="15"/>
  <c r="Q74" i="44"/>
  <c r="Q61" i="44"/>
  <c r="Q60" i="44"/>
  <c r="Q53" i="44"/>
  <c r="J51" i="44"/>
  <c r="J52" i="44"/>
  <c r="M48" i="44"/>
  <c r="A16" i="55"/>
  <c r="A15" i="55"/>
  <c r="B66" i="63" s="1"/>
  <c r="A14" i="55"/>
  <c r="A11" i="55"/>
  <c r="A10" i="55"/>
  <c r="B61" i="63"/>
  <c r="A9" i="55"/>
  <c r="B60" i="63" s="1"/>
  <c r="A8" i="55"/>
  <c r="A6" i="54"/>
  <c r="A8" i="54"/>
  <c r="A7" i="54"/>
  <c r="A28" i="51"/>
  <c r="A27" i="51"/>
  <c r="B20" i="63" s="1"/>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s="1"/>
  <c r="K87" i="46"/>
  <c r="J87" i="46" s="1"/>
  <c r="D87" i="46"/>
  <c r="M86" i="46"/>
  <c r="N86" i="46"/>
  <c r="K86" i="46"/>
  <c r="D86" i="46" s="1"/>
  <c r="M85" i="46"/>
  <c r="N85" i="46" s="1"/>
  <c r="D85" i="46"/>
  <c r="K85" i="46"/>
  <c r="J85" i="46"/>
  <c r="M84" i="46"/>
  <c r="N84" i="46"/>
  <c r="K84" i="46"/>
  <c r="J84" i="46"/>
  <c r="M83" i="46"/>
  <c r="N83" i="46"/>
  <c r="K83" i="46"/>
  <c r="J83" i="46"/>
  <c r="M82" i="46"/>
  <c r="N82" i="46"/>
  <c r="K82" i="46"/>
  <c r="J82" i="46"/>
  <c r="D82" i="46"/>
  <c r="M81" i="46"/>
  <c r="N81" i="46"/>
  <c r="K81" i="46"/>
  <c r="J81" i="46"/>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F22" i="1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C24" i="12"/>
  <c r="F3" i="35"/>
  <c r="K1" i="43"/>
  <c r="K1" i="12"/>
  <c r="G1" i="44"/>
  <c r="I4" i="6"/>
  <c r="G3" i="46" s="1"/>
  <c r="AZ15" i="3"/>
  <c r="BK5" i="3"/>
  <c r="BO5" i="3"/>
  <c r="BP5" i="3"/>
  <c r="BN5" i="3"/>
  <c r="BL18" i="3"/>
  <c r="AZ18" i="3"/>
  <c r="BC5" i="3"/>
  <c r="BD5" i="3"/>
  <c r="BR5" i="3"/>
  <c r="G28" i="6"/>
  <c r="BS5" i="3"/>
  <c r="BQ5" i="3"/>
  <c r="BL16" i="3"/>
  <c r="BL5" i="3"/>
  <c r="BM5" i="3"/>
  <c r="BA13" i="3"/>
  <c r="BA5" i="3" s="1"/>
  <c r="E27" i="6" s="1"/>
  <c r="G28" i="12"/>
  <c r="G22" i="43"/>
  <c r="G26" i="12"/>
  <c r="D24" i="44"/>
  <c r="D26" i="44"/>
  <c r="G27" i="12"/>
  <c r="G23" i="43"/>
  <c r="G21" i="43"/>
  <c r="N8" i="46"/>
  <c r="N4" i="46"/>
  <c r="N1" i="46"/>
  <c r="F47" i="46"/>
  <c r="H49" i="46" s="1"/>
  <c r="M9" i="46"/>
  <c r="M2" i="46"/>
  <c r="N11" i="46"/>
  <c r="N9" i="46"/>
  <c r="M4" i="46"/>
  <c r="M12" i="46"/>
  <c r="M8" i="46"/>
  <c r="C6" i="46" s="1"/>
  <c r="M3" i="46"/>
  <c r="M5"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K17" i="4"/>
  <c r="A22" i="51" s="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238" i="3"/>
  <c r="E5" i="6"/>
  <c r="E100" i="3"/>
  <c r="E399" i="3"/>
  <c r="E179" i="3"/>
  <c r="E444" i="3"/>
  <c r="E289" i="3"/>
  <c r="E113" i="3"/>
  <c r="E425" i="3"/>
  <c r="E257" i="3"/>
  <c r="AT6"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E551"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Z13" i="3"/>
  <c r="AZ5" i="3" s="1"/>
  <c r="E3" i="6" s="1"/>
  <c r="D44" i="9" s="1"/>
  <c r="G29" i="6"/>
  <c r="E29" i="6"/>
  <c r="K15" i="1" s="1"/>
  <c r="AZ16" i="3"/>
  <c r="A9" i="64"/>
  <c r="A9" i="51"/>
  <c r="B9" i="63" s="1"/>
  <c r="A3" i="55"/>
  <c r="B56" i="63"/>
  <c r="E4" i="4"/>
  <c r="B21" i="55" s="1"/>
  <c r="B72" i="63" s="1"/>
  <c r="C4" i="4"/>
  <c r="G66" i="36"/>
  <c r="J18" i="36"/>
  <c r="AE8" i="1"/>
  <c r="AE7" i="1"/>
  <c r="W18" i="36"/>
  <c r="AC18" i="36"/>
  <c r="AG6" i="1"/>
  <c r="L20" i="6"/>
  <c r="L19"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D72" i="39" s="1"/>
  <c r="C72" i="39"/>
  <c r="C67" i="40"/>
  <c r="D65" i="40"/>
  <c r="H58" i="46"/>
  <c r="J17" i="46"/>
  <c r="C17" i="46"/>
  <c r="F34" i="46"/>
  <c r="F38" i="46"/>
  <c r="F37" i="46"/>
  <c r="H11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G30" i="6"/>
  <c r="G31" i="6"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H1" i="65"/>
  <c r="X7" i="46"/>
  <c r="E17" i="46"/>
  <c r="N17" i="46"/>
  <c r="O17" i="46"/>
  <c r="M17" i="46"/>
  <c r="L17" i="46"/>
  <c r="E28" i="6"/>
  <c r="O13" i="1"/>
  <c r="E14" i="6"/>
  <c r="E66" i="39" s="1"/>
  <c r="E13" i="6"/>
  <c r="E65" i="39" s="1"/>
  <c r="E10" i="6"/>
  <c r="O12" i="1"/>
  <c r="AY6" i="3"/>
  <c r="D3" i="6" s="1"/>
  <c r="C8" i="11" s="1"/>
  <c r="AP7" i="1"/>
  <c r="G13" i="1"/>
  <c r="D46" i="3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47" i="46"/>
  <c r="AD12" i="46"/>
  <c r="AH12" i="46"/>
  <c r="C11" i="59"/>
  <c r="C10" i="59"/>
  <c r="T10" i="59"/>
  <c r="B11" i="59"/>
  <c r="B10" i="59"/>
  <c r="S10" i="59"/>
  <c r="D11" i="59"/>
  <c r="E65" i="40"/>
  <c r="F65" i="40" s="1"/>
  <c r="D67" i="40"/>
  <c r="E70" i="39"/>
  <c r="F70" i="39" s="1"/>
  <c r="V10" i="59"/>
  <c r="D10" i="59"/>
  <c r="AY425" i="3"/>
  <c r="AY354" i="3"/>
  <c r="E61" i="40"/>
  <c r="K19" i="6"/>
  <c r="K20" i="6"/>
  <c r="M20" i="6" s="1"/>
  <c r="I20" i="6" s="1"/>
  <c r="S20" i="6" s="1"/>
  <c r="K14" i="1"/>
  <c r="M14"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46" i="36"/>
  <c r="F46" i="36" s="1"/>
  <c r="G46" i="36" s="1"/>
  <c r="H46" i="36" s="1"/>
  <c r="E72" i="39"/>
  <c r="E67" i="40"/>
  <c r="D9" i="59"/>
  <c r="D8" i="59"/>
  <c r="M28" i="44"/>
  <c r="F41" i="15"/>
  <c r="F9" i="67"/>
  <c r="N3" i="65"/>
  <c r="F38" i="44"/>
  <c r="I6" i="65"/>
  <c r="L47" i="15"/>
  <c r="F13" i="15"/>
  <c r="N4" i="65"/>
  <c r="F39" i="44"/>
  <c r="F11" i="67"/>
  <c r="F8" i="67"/>
  <c r="F37" i="15"/>
  <c r="M10" i="44"/>
  <c r="F8" i="15"/>
  <c r="F40" i="44"/>
  <c r="M29" i="44"/>
  <c r="M27" i="15"/>
  <c r="M26" i="44"/>
  <c r="M30" i="44"/>
  <c r="F26" i="15"/>
  <c r="M11" i="44"/>
  <c r="M8" i="44"/>
  <c r="C15" i="43"/>
  <c r="M31" i="44"/>
  <c r="M22" i="15"/>
  <c r="M29" i="15"/>
  <c r="M8" i="15"/>
  <c r="F6" i="15"/>
  <c r="M9" i="15"/>
  <c r="J17" i="44"/>
  <c r="B10" i="67"/>
  <c r="F15" i="44"/>
  <c r="J4" i="65"/>
  <c r="J5" i="65"/>
  <c r="B11" i="67"/>
  <c r="E14" i="67"/>
  <c r="E11" i="67"/>
  <c r="F36" i="15"/>
  <c r="N6" i="65"/>
  <c r="M25" i="44"/>
  <c r="J7" i="65"/>
  <c r="I7" i="65"/>
  <c r="E13" i="67"/>
  <c r="J15" i="15"/>
  <c r="F16" i="15"/>
  <c r="J36" i="15"/>
  <c r="F14" i="67"/>
  <c r="B9" i="67"/>
  <c r="M23" i="15"/>
  <c r="F43" i="15"/>
  <c r="M6" i="15"/>
  <c r="B14" i="67"/>
  <c r="N5" i="65"/>
  <c r="L49" i="44"/>
  <c r="F12" i="67"/>
  <c r="M24" i="44"/>
  <c r="N7" i="65"/>
  <c r="M24" i="15"/>
  <c r="E12" i="67"/>
  <c r="M28" i="15"/>
  <c r="L48" i="44"/>
  <c r="B13" i="67"/>
  <c r="B8" i="67"/>
  <c r="F43" i="44"/>
  <c r="F10" i="67"/>
  <c r="I5" i="65"/>
  <c r="F38" i="15"/>
  <c r="F13" i="67"/>
  <c r="F18" i="44"/>
  <c r="F28" i="44"/>
  <c r="F45" i="44"/>
  <c r="E10" i="67"/>
  <c r="M26" i="15"/>
  <c r="E9" i="67"/>
  <c r="F10" i="44"/>
  <c r="F11" i="44"/>
  <c r="B12" i="67"/>
  <c r="F9" i="15"/>
  <c r="L48" i="15"/>
  <c r="F42" i="15"/>
  <c r="J3" i="65"/>
  <c r="I4" i="65"/>
  <c r="F8" i="44"/>
  <c r="I3" i="65"/>
  <c r="J6" i="65"/>
  <c r="F40" i="15"/>
  <c r="E8" i="67"/>
  <c r="D18" i="9" l="1"/>
  <c r="M44" i="9" s="1"/>
  <c r="M43" i="9"/>
  <c r="A30" i="51"/>
  <c r="B22" i="63" s="1"/>
  <c r="A30" i="64"/>
  <c r="J86" i="46"/>
  <c r="E80" i="46"/>
  <c r="B78" i="46" s="1"/>
  <c r="C24" i="46" s="1"/>
  <c r="E60" i="40"/>
  <c r="E53" i="40"/>
  <c r="F27" i="6"/>
  <c r="E58" i="39"/>
  <c r="E411" i="3"/>
  <c r="E250" i="3"/>
  <c r="E408" i="3"/>
  <c r="E44" i="3"/>
  <c r="E36" i="3"/>
  <c r="E428" i="3"/>
  <c r="E374" i="3"/>
  <c r="E205" i="3"/>
  <c r="E478" i="3"/>
  <c r="E357" i="3"/>
  <c r="E168" i="3"/>
  <c r="E34" i="3"/>
  <c r="E407"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71" i="3"/>
  <c r="E237" i="3"/>
  <c r="E223" i="3"/>
  <c r="E317" i="3"/>
  <c r="AS6" i="3"/>
  <c r="E383"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D21" i="12"/>
  <c r="C21" i="12" s="1"/>
  <c r="D12" i="11"/>
  <c r="C12" i="11" s="1"/>
  <c r="AY478" i="3"/>
  <c r="Q16" i="1"/>
  <c r="D10" i="11"/>
  <c r="C15" i="11" s="1"/>
  <c r="D46" i="9"/>
  <c r="AY134" i="3"/>
  <c r="AY446" i="3"/>
  <c r="H54" i="46"/>
  <c r="H51" i="46"/>
  <c r="H53" i="46"/>
  <c r="H52" i="46"/>
  <c r="H55" i="46"/>
  <c r="H50" i="46"/>
  <c r="AY165" i="3"/>
  <c r="AY212" i="3"/>
  <c r="AY287" i="3"/>
  <c r="AY378" i="3"/>
  <c r="E141" i="3"/>
  <c r="E28" i="3"/>
  <c r="E80" i="3"/>
  <c r="E415" i="3"/>
  <c r="E367" i="3"/>
  <c r="E441" i="3"/>
  <c r="E30" i="3"/>
  <c r="E404" i="3"/>
  <c r="E165" i="3"/>
  <c r="E304" i="3"/>
  <c r="E131" i="3"/>
  <c r="E202" i="3"/>
  <c r="E414" i="3"/>
  <c r="E92" i="3"/>
  <c r="E418" i="3"/>
  <c r="E41" i="3"/>
  <c r="F72" i="39"/>
  <c r="G70" i="39"/>
  <c r="F67" i="40"/>
  <c r="G65" i="40"/>
  <c r="C29" i="12"/>
  <c r="C28" i="15"/>
  <c r="C25" i="12"/>
  <c r="C27" i="43"/>
  <c r="C15" i="12"/>
  <c r="Y11" i="46"/>
  <c r="Y13" i="46" s="1"/>
  <c r="H101" i="46"/>
  <c r="G22" i="46"/>
  <c r="F101" i="46"/>
  <c r="D101" i="46"/>
  <c r="M101" i="46"/>
  <c r="AC11" i="46"/>
  <c r="AC13" i="46" s="1"/>
  <c r="AJ11" i="46"/>
  <c r="AJ13" i="46" s="1"/>
  <c r="C101" i="46"/>
  <c r="J101" i="46"/>
  <c r="N104" i="45"/>
  <c r="F22" i="46"/>
  <c r="Z7" i="46"/>
  <c r="E22" i="46"/>
  <c r="Z11" i="46"/>
  <c r="Z13" i="46" s="1"/>
  <c r="AA11" i="46"/>
  <c r="AA13" i="46" s="1"/>
  <c r="AF11" i="46"/>
  <c r="AF13" i="46" s="1"/>
  <c r="AB11" i="46"/>
  <c r="AB13" i="46" s="1"/>
  <c r="H22" i="46"/>
  <c r="J22" i="46"/>
  <c r="I101" i="46"/>
  <c r="N101" i="46"/>
  <c r="G101" i="46"/>
  <c r="G107" i="46" s="1"/>
  <c r="B113" i="46"/>
  <c r="L101" i="46"/>
  <c r="L104" i="46" s="1"/>
  <c r="K101" i="46"/>
  <c r="AG11" i="46"/>
  <c r="AG13" i="46" s="1"/>
  <c r="AI11" i="46"/>
  <c r="AI13" i="46" s="1"/>
  <c r="AE11" i="46"/>
  <c r="AE13" i="46" s="1"/>
  <c r="AD11" i="46"/>
  <c r="AD13" i="46" s="1"/>
  <c r="E101" i="46"/>
  <c r="E109" i="46" s="1"/>
  <c r="AH11" i="46"/>
  <c r="AH13" i="46" s="1"/>
  <c r="K16" i="1"/>
  <c r="C7" i="11"/>
  <c r="F1" i="46"/>
  <c r="D29" i="46"/>
  <c r="D1" i="46" s="1"/>
  <c r="AH6" i="1"/>
  <c r="C10" i="11"/>
  <c r="F80" i="46"/>
  <c r="F30" i="44"/>
  <c r="C30" i="44" s="1"/>
  <c r="M20" i="44"/>
  <c r="F70" i="9"/>
  <c r="F32" i="15"/>
  <c r="F59" i="15" s="1"/>
  <c r="F72" i="9"/>
  <c r="F66" i="9"/>
  <c r="P72" i="9" s="1"/>
  <c r="D23" i="15"/>
  <c r="K109"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K104" i="46"/>
  <c r="K102" i="46"/>
  <c r="N103" i="46"/>
  <c r="N109" i="46"/>
  <c r="N104" i="46"/>
  <c r="K27" i="6"/>
  <c r="H16" i="1"/>
  <c r="M104" i="46"/>
  <c r="M109" i="46"/>
  <c r="M103" i="46"/>
  <c r="O14" i="1"/>
  <c r="P14" i="1" s="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s="1"/>
  <c r="M16" i="1"/>
  <c r="N16" i="1" s="1"/>
  <c r="L27" i="6"/>
  <c r="C22" i="4"/>
  <c r="N5" i="54" s="1"/>
  <c r="B43" i="63" s="1"/>
  <c r="D19" i="6"/>
  <c r="D13" i="6"/>
  <c r="D23" i="6"/>
  <c r="D8" i="6"/>
  <c r="F44" i="9"/>
  <c r="D24" i="6"/>
  <c r="H20" i="6"/>
  <c r="D29" i="6"/>
  <c r="E44" i="9"/>
  <c r="D25" i="6"/>
  <c r="D28" i="6"/>
  <c r="K38" i="9"/>
  <c r="C14" i="66" s="1"/>
  <c r="B2" i="66" s="1"/>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s="1"/>
  <c r="D33" i="12" s="1"/>
  <c r="F18" i="11"/>
  <c r="D16" i="12"/>
  <c r="E6" i="6"/>
  <c r="D6" i="6" s="1"/>
  <c r="L38" i="9"/>
  <c r="B14" i="66" s="1"/>
  <c r="B1" i="66" s="1"/>
  <c r="D45" i="9"/>
  <c r="C21" i="4"/>
  <c r="O5" i="54" s="1"/>
  <c r="B45" i="63" s="1"/>
  <c r="E15" i="6"/>
  <c r="D15" i="6" s="1"/>
  <c r="E12" i="6"/>
  <c r="D12" i="6" s="1"/>
  <c r="E11" i="6"/>
  <c r="P13" i="1"/>
  <c r="O8" i="1"/>
  <c r="P12" i="1"/>
  <c r="A20" i="51"/>
  <c r="B15" i="63" s="1"/>
  <c r="F46" i="9"/>
  <c r="H26" i="6"/>
  <c r="H22" i="6"/>
  <c r="D5" i="6"/>
  <c r="H25" i="6"/>
  <c r="D22" i="6"/>
  <c r="D26" i="6"/>
  <c r="E68" i="39"/>
  <c r="F45" i="9"/>
  <c r="H23" i="6"/>
  <c r="D20" i="6"/>
  <c r="R20" i="6" s="1"/>
  <c r="D14" i="6"/>
  <c r="H21" i="6"/>
  <c r="D10" i="6"/>
  <c r="D21" i="6"/>
  <c r="R21" i="6" s="1"/>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s="1"/>
  <c r="G17" i="46"/>
  <c r="C16" i="46" s="1"/>
  <c r="D5" i="46" s="1"/>
  <c r="H73" i="46"/>
  <c r="H70" i="46"/>
  <c r="A25" i="51"/>
  <c r="B18" i="63" s="1"/>
  <c r="G6" i="1"/>
  <c r="G16" i="1" s="1"/>
  <c r="H12" i="40" s="1"/>
  <c r="AP16" i="1"/>
  <c r="M48" i="35"/>
  <c r="N48" i="35" s="1"/>
  <c r="O48" i="35" s="1"/>
  <c r="O52" i="37"/>
  <c r="J7" i="37"/>
  <c r="H7" i="37"/>
  <c r="F7" i="37"/>
  <c r="F7" i="34"/>
  <c r="G59" i="34"/>
  <c r="H59" i="34" s="1"/>
  <c r="I59" i="34" s="1"/>
  <c r="J59" i="34" s="1"/>
  <c r="K59" i="34" s="1"/>
  <c r="L59" i="34" s="1"/>
  <c r="M59" i="34" s="1"/>
  <c r="N59" i="34" s="1"/>
  <c r="O59" i="34" s="1"/>
  <c r="H7" i="34"/>
  <c r="I46" i="36"/>
  <c r="F7" i="33"/>
  <c r="G58" i="33"/>
  <c r="H58" i="33" s="1"/>
  <c r="I58" i="33" s="1"/>
  <c r="J58" i="33" s="1"/>
  <c r="K58" i="33" s="1"/>
  <c r="L58" i="33" s="1"/>
  <c r="M58" i="33" s="1"/>
  <c r="N58" i="33" s="1"/>
  <c r="O58" i="33" s="1"/>
  <c r="H7" i="33"/>
  <c r="F58" i="21"/>
  <c r="G58" i="21" s="1"/>
  <c r="H58" i="21" s="1"/>
  <c r="I58" i="21" s="1"/>
  <c r="J58" i="21" s="1"/>
  <c r="K58" i="21" s="1"/>
  <c r="L58" i="21" s="1"/>
  <c r="M58" i="21" s="1"/>
  <c r="N58" i="21" s="1"/>
  <c r="O58" i="21" s="1"/>
  <c r="J7" i="33"/>
  <c r="E6" i="59"/>
  <c r="E5" i="59" s="1"/>
  <c r="B6" i="59"/>
  <c r="B5" i="59" s="1"/>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D6" i="59"/>
  <c r="M20" i="46" s="1"/>
  <c r="Y6" i="59"/>
  <c r="Z6" i="59" s="1"/>
  <c r="P22" i="46"/>
  <c r="P24" i="46"/>
  <c r="B68" i="40" s="1"/>
  <c r="P23" i="46"/>
  <c r="P25" i="46"/>
  <c r="B73" i="39" s="1"/>
  <c r="P21" i="46"/>
  <c r="E20" i="46"/>
  <c r="Q73" i="44"/>
  <c r="F65" i="15"/>
  <c r="C29" i="44"/>
  <c r="F68" i="15"/>
  <c r="J1" i="65"/>
  <c r="F67" i="15"/>
  <c r="F50" i="15"/>
  <c r="C27" i="15"/>
  <c r="F64" i="15"/>
  <c r="I1" i="65"/>
  <c r="F70"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M19" i="44"/>
  <c r="M17" i="15"/>
  <c r="F33" i="44"/>
  <c r="F58" i="15"/>
  <c r="E3" i="65"/>
  <c r="E2" i="65"/>
  <c r="C29" i="43"/>
  <c r="D16" i="43"/>
  <c r="C19" i="44"/>
  <c r="F7" i="15"/>
  <c r="C18" i="44"/>
  <c r="C16" i="15"/>
  <c r="F24" i="43"/>
  <c r="C17" i="15"/>
  <c r="F9" i="44"/>
  <c r="R23" i="6" l="1"/>
  <c r="A6" i="51"/>
  <c r="B7" i="63" s="1"/>
  <c r="A6" i="64"/>
  <c r="E105" i="46"/>
  <c r="L107" i="46"/>
  <c r="D22" i="46"/>
  <c r="H65" i="40"/>
  <c r="G67" i="40"/>
  <c r="H70" i="39"/>
  <c r="G72" i="39"/>
  <c r="F49" i="15"/>
  <c r="C48" i="15" s="1"/>
  <c r="C6" i="15"/>
  <c r="C32" i="15" s="1"/>
  <c r="M7" i="15"/>
  <c r="J6" i="15" s="1"/>
  <c r="C8" i="44"/>
  <c r="C34" i="44" s="1"/>
  <c r="M9" i="44"/>
  <c r="J8" i="44" s="1"/>
  <c r="J20" i="44" s="1"/>
  <c r="C18" i="11"/>
  <c r="S16" i="1"/>
  <c r="E104" i="46"/>
  <c r="E106" i="46"/>
  <c r="E107" i="46"/>
  <c r="E103" i="46"/>
  <c r="L102" i="46"/>
  <c r="L106" i="46"/>
  <c r="L103" i="46"/>
  <c r="L105" i="46"/>
  <c r="G106" i="46"/>
  <c r="G102" i="46"/>
  <c r="G109" i="46"/>
  <c r="G103" i="46"/>
  <c r="G105" i="46"/>
  <c r="I102" i="46"/>
  <c r="I107" i="46"/>
  <c r="I109" i="46"/>
  <c r="C23" i="46" s="1"/>
  <c r="C21" i="46" s="1"/>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s="1"/>
  <c r="K116" i="46" s="1"/>
  <c r="L116" i="46" s="1"/>
  <c r="M116" i="46" s="1"/>
  <c r="B115" i="46"/>
  <c r="D118" i="46"/>
  <c r="E118" i="46" s="1"/>
  <c r="F118" i="46" s="1"/>
  <c r="B117" i="46"/>
  <c r="C117" i="46" s="1"/>
  <c r="I115" i="46"/>
  <c r="J115" i="46" s="1"/>
  <c r="K115" i="46" s="1"/>
  <c r="L115" i="46" s="1"/>
  <c r="M115" i="46" s="1"/>
  <c r="B116" i="46"/>
  <c r="C116" i="46" s="1"/>
  <c r="I117" i="46"/>
  <c r="J117" i="46" s="1"/>
  <c r="K117" i="46" s="1"/>
  <c r="L117" i="46" s="1"/>
  <c r="M117" i="46" s="1"/>
  <c r="N105" i="46"/>
  <c r="N107" i="46"/>
  <c r="N106" i="46"/>
  <c r="N102" i="46"/>
  <c r="C104" i="46"/>
  <c r="C103" i="46"/>
  <c r="D103" i="46"/>
  <c r="D105" i="46"/>
  <c r="D104" i="46"/>
  <c r="D106" i="46"/>
  <c r="D107" i="46"/>
  <c r="D102" i="46"/>
  <c r="S7" i="46" s="1"/>
  <c r="D109" i="46"/>
  <c r="C16" i="43"/>
  <c r="C26" i="43"/>
  <c r="D24" i="43" s="1"/>
  <c r="C5" i="46"/>
  <c r="H81" i="46"/>
  <c r="H82" i="46"/>
  <c r="H87" i="46"/>
  <c r="H83" i="46"/>
  <c r="H80" i="46"/>
  <c r="H84" i="46"/>
  <c r="H86" i="46"/>
  <c r="H85" i="46"/>
  <c r="R22" i="6"/>
  <c r="AC6" i="3"/>
  <c r="H6" i="3"/>
  <c r="O16" i="1"/>
  <c r="J12" i="39"/>
  <c r="W12" i="39" s="1"/>
  <c r="F12" i="39"/>
  <c r="S12" i="39" s="1"/>
  <c r="H12" i="39"/>
  <c r="AB12" i="39" s="1"/>
  <c r="R26" i="6"/>
  <c r="F12" i="40"/>
  <c r="AA12" i="40" s="1"/>
  <c r="J12" i="40"/>
  <c r="W12" i="40" s="1"/>
  <c r="D27" i="6"/>
  <c r="T11" i="1"/>
  <c r="E16" i="6"/>
  <c r="T6" i="1"/>
  <c r="L16" i="1"/>
  <c r="P8" i="1"/>
  <c r="P16" i="1" s="1"/>
  <c r="C13" i="12" s="1"/>
  <c r="E59" i="40"/>
  <c r="E64" i="39"/>
  <c r="C7" i="66"/>
  <c r="C6" i="66"/>
  <c r="C8" i="66"/>
  <c r="E58" i="40"/>
  <c r="E63" i="39"/>
  <c r="E62" i="40"/>
  <c r="E67" i="39"/>
  <c r="D22" i="12"/>
  <c r="C22" i="12" s="1"/>
  <c r="C20" i="12" s="1"/>
  <c r="D13" i="11"/>
  <c r="C13" i="11" s="1"/>
  <c r="D19" i="12"/>
  <c r="C19" i="12" s="1"/>
  <c r="C16" i="12"/>
  <c r="I19" i="6"/>
  <c r="M27" i="6"/>
  <c r="D11" i="6"/>
  <c r="D16" i="6" s="1"/>
  <c r="R24" i="6"/>
  <c r="C19" i="46"/>
  <c r="J7" i="21"/>
  <c r="H7" i="21"/>
  <c r="F7" i="21"/>
  <c r="S12" i="40"/>
  <c r="AB12" i="40"/>
  <c r="U12" i="40"/>
  <c r="J46" i="36"/>
  <c r="J7" i="34"/>
  <c r="AA7" i="37"/>
  <c r="R42" i="37" s="1"/>
  <c r="S7" i="37"/>
  <c r="AC7" i="37"/>
  <c r="V42" i="37" s="1"/>
  <c r="I42" i="37" s="1"/>
  <c r="W7" i="37"/>
  <c r="F7" i="35"/>
  <c r="H7" i="35"/>
  <c r="AC7" i="33"/>
  <c r="V48" i="33" s="1"/>
  <c r="I48" i="33" s="1"/>
  <c r="W7" i="33"/>
  <c r="AB7" i="33"/>
  <c r="T48" i="33" s="1"/>
  <c r="G48" i="33" s="1"/>
  <c r="U7" i="33"/>
  <c r="AA7" i="33"/>
  <c r="R48" i="33" s="1"/>
  <c r="S7" i="33"/>
  <c r="AC12" i="39"/>
  <c r="U12" i="39"/>
  <c r="AB7" i="34"/>
  <c r="T49" i="34" s="1"/>
  <c r="G49" i="34" s="1"/>
  <c r="U7" i="34"/>
  <c r="S7" i="34"/>
  <c r="AA7" i="34"/>
  <c r="R49" i="34" s="1"/>
  <c r="U7" i="37"/>
  <c r="AB7" i="37"/>
  <c r="T42" i="37" s="1"/>
  <c r="G42" i="37" s="1"/>
  <c r="J7" i="35"/>
  <c r="B40" i="1"/>
  <c r="F17" i="11"/>
  <c r="C17" i="11" s="1"/>
  <c r="C19" i="11" s="1"/>
  <c r="Q62" i="15"/>
  <c r="Q75" i="15"/>
  <c r="M13" i="44"/>
  <c r="J12" i="44" s="1"/>
  <c r="F11" i="15"/>
  <c r="M11" i="15"/>
  <c r="J10" i="15" s="1"/>
  <c r="F13" i="44"/>
  <c r="Q75" i="44"/>
  <c r="Q62" i="44"/>
  <c r="M28" i="46"/>
  <c r="P28" i="46"/>
  <c r="G20" i="46" s="1"/>
  <c r="O28" i="46"/>
  <c r="N28" i="46"/>
  <c r="F1" i="44"/>
  <c r="Q54" i="44"/>
  <c r="Q63" i="44"/>
  <c r="Q76" i="44"/>
  <c r="F1" i="15"/>
  <c r="Q53" i="15"/>
  <c r="Q61" i="15"/>
  <c r="Q74" i="15"/>
  <c r="C14" i="15"/>
  <c r="C13" i="43"/>
  <c r="C16" i="44"/>
  <c r="F46" i="44"/>
  <c r="AC12" i="40" l="1"/>
  <c r="I70" i="39"/>
  <c r="H72" i="39"/>
  <c r="H67" i="40"/>
  <c r="I65" i="40"/>
  <c r="C12" i="44"/>
  <c r="C7" i="44" s="1"/>
  <c r="C40" i="44" s="1"/>
  <c r="J7" i="44"/>
  <c r="J26" i="44" s="1"/>
  <c r="C15" i="15"/>
  <c r="C18" i="15"/>
  <c r="C20" i="44"/>
  <c r="C17" i="44"/>
  <c r="AA12" i="39"/>
  <c r="D31" i="6"/>
  <c r="E6" i="3"/>
  <c r="S4" i="46"/>
  <c r="T8" i="1"/>
  <c r="T13" i="1"/>
  <c r="T12" i="1"/>
  <c r="T10" i="1"/>
  <c r="T9" i="1"/>
  <c r="T7" i="1"/>
  <c r="S5" i="46"/>
  <c r="S6" i="46"/>
  <c r="C115" i="46"/>
  <c r="D113" i="46" s="1"/>
  <c r="S2" i="46"/>
  <c r="S3" i="46"/>
  <c r="E41" i="46"/>
  <c r="C41" i="46" s="1"/>
  <c r="C39" i="46" s="1"/>
  <c r="G39" i="46" s="1"/>
  <c r="I39" i="46" s="1"/>
  <c r="C20" i="46"/>
  <c r="T8" i="46" s="1"/>
  <c r="V8" i="46" s="1"/>
  <c r="I5" i="6"/>
  <c r="I6" i="6"/>
  <c r="C14" i="43"/>
  <c r="C17" i="43"/>
  <c r="I27" i="6"/>
  <c r="S19" i="6"/>
  <c r="S27" i="6" s="1"/>
  <c r="H19" i="6"/>
  <c r="C17" i="12"/>
  <c r="C14" i="12"/>
  <c r="G46" i="37"/>
  <c r="H46" i="37" s="1"/>
  <c r="G47" i="37"/>
  <c r="H47" i="37" s="1"/>
  <c r="AC7" i="35"/>
  <c r="V38" i="35" s="1"/>
  <c r="I38" i="35" s="1"/>
  <c r="W7" i="35"/>
  <c r="E49" i="34"/>
  <c r="R50" i="34"/>
  <c r="U7" i="35"/>
  <c r="AB7" i="35"/>
  <c r="T38" i="35" s="1"/>
  <c r="G38" i="35" s="1"/>
  <c r="W7" i="34"/>
  <c r="AC7" i="34"/>
  <c r="V49" i="34" s="1"/>
  <c r="I49" i="34" s="1"/>
  <c r="K46" i="36"/>
  <c r="U7" i="21"/>
  <c r="AB7" i="21"/>
  <c r="T48" i="21" s="1"/>
  <c r="G48" i="21" s="1"/>
  <c r="G54" i="34"/>
  <c r="H54" i="34" s="1"/>
  <c r="G53" i="34"/>
  <c r="H53" i="34" s="1"/>
  <c r="E48" i="33"/>
  <c r="R49" i="33"/>
  <c r="G52" i="33"/>
  <c r="H52" i="33" s="1"/>
  <c r="G53" i="33"/>
  <c r="H53" i="33" s="1"/>
  <c r="I52" i="33"/>
  <c r="J52" i="33" s="1"/>
  <c r="I53" i="33"/>
  <c r="J53" i="33" s="1"/>
  <c r="AA7" i="35"/>
  <c r="R38" i="35" s="1"/>
  <c r="S7" i="35"/>
  <c r="I46" i="37"/>
  <c r="J46" i="37" s="1"/>
  <c r="R43" i="37"/>
  <c r="E42" i="37"/>
  <c r="AA7" i="21"/>
  <c r="R48" i="21" s="1"/>
  <c r="S7" i="21"/>
  <c r="AC7" i="21"/>
  <c r="V48" i="21" s="1"/>
  <c r="I48" i="21" s="1"/>
  <c r="W7" i="21"/>
  <c r="J18" i="15"/>
  <c r="J5" i="15"/>
  <c r="C52" i="15"/>
  <c r="C47" i="15" s="1"/>
  <c r="C10" i="15"/>
  <c r="C5" i="15" s="1"/>
  <c r="C20" i="11"/>
  <c r="C21" i="11" s="1"/>
  <c r="C22" i="11" s="1"/>
  <c r="C23" i="11" s="1"/>
  <c r="B2" i="11" s="1"/>
  <c r="F21" i="43"/>
  <c r="C23" i="43" s="1"/>
  <c r="D21" i="43" s="1"/>
  <c r="F24" i="15"/>
  <c r="C24" i="15" s="1"/>
  <c r="F26" i="12"/>
  <c r="F26" i="44"/>
  <c r="C26" i="44" s="1"/>
  <c r="J28" i="44" l="1"/>
  <c r="J31" i="44" s="1"/>
  <c r="T16" i="1"/>
  <c r="J65" i="40"/>
  <c r="I67" i="40"/>
  <c r="I72" i="39"/>
  <c r="J70" i="39"/>
  <c r="C21" i="44"/>
  <c r="C22" i="44" s="1"/>
  <c r="C35" i="46"/>
  <c r="E35" i="46" s="1"/>
  <c r="C19" i="15"/>
  <c r="C20" i="15" s="1"/>
  <c r="T16" i="46"/>
  <c r="V16" i="46" s="1"/>
  <c r="T6" i="46"/>
  <c r="V6" i="46" s="1"/>
  <c r="T14" i="46"/>
  <c r="V14" i="46" s="1"/>
  <c r="C37" i="46"/>
  <c r="E37" i="46" s="1"/>
  <c r="C29" i="46"/>
  <c r="B5" i="70" s="1"/>
  <c r="T7" i="46"/>
  <c r="V7" i="46" s="1"/>
  <c r="T2" i="46"/>
  <c r="V2" i="46" s="1"/>
  <c r="T5" i="46"/>
  <c r="V5" i="46" s="1"/>
  <c r="C38" i="46"/>
  <c r="G38" i="46" s="1"/>
  <c r="I38" i="46" s="1"/>
  <c r="T10" i="46"/>
  <c r="V10" i="46" s="1"/>
  <c r="C33" i="46"/>
  <c r="T3" i="46"/>
  <c r="V3" i="46" s="1"/>
  <c r="C36" i="46"/>
  <c r="G36" i="46" s="1"/>
  <c r="I36" i="46" s="1"/>
  <c r="T4" i="46"/>
  <c r="V4" i="46" s="1"/>
  <c r="C34" i="46"/>
  <c r="G34" i="46" s="1"/>
  <c r="I34" i="46" s="1"/>
  <c r="T12" i="46"/>
  <c r="V12" i="46" s="1"/>
  <c r="T15" i="46"/>
  <c r="V15" i="46" s="1"/>
  <c r="T11" i="46"/>
  <c r="V11" i="46" s="1"/>
  <c r="T13" i="46"/>
  <c r="V13" i="46" s="1"/>
  <c r="T9" i="46"/>
  <c r="V9" i="46" s="1"/>
  <c r="E34" i="46"/>
  <c r="C18" i="43"/>
  <c r="C19" i="43" s="1"/>
  <c r="C25" i="43" s="1"/>
  <c r="C24" i="43" s="1"/>
  <c r="C18" i="12"/>
  <c r="C23" i="12" s="1"/>
  <c r="C35" i="12" s="1"/>
  <c r="C33" i="12" s="1"/>
  <c r="H27" i="6"/>
  <c r="R19" i="6"/>
  <c r="E39" i="46"/>
  <c r="I52" i="21"/>
  <c r="J52" i="21" s="1"/>
  <c r="R49" i="21"/>
  <c r="E48" i="21"/>
  <c r="C42" i="37"/>
  <c r="C43" i="37"/>
  <c r="B3" i="37" s="1"/>
  <c r="B2" i="37" s="1"/>
  <c r="R39" i="35"/>
  <c r="E38" i="35"/>
  <c r="E52" i="33"/>
  <c r="F52" i="33" s="1"/>
  <c r="E53" i="33"/>
  <c r="F53" i="33" s="1"/>
  <c r="I54" i="34"/>
  <c r="J54" i="34" s="1"/>
  <c r="I53" i="34"/>
  <c r="J53" i="34" s="1"/>
  <c r="G42" i="35"/>
  <c r="H42" i="35" s="1"/>
  <c r="G43" i="35"/>
  <c r="H43" i="35" s="1"/>
  <c r="C50" i="34"/>
  <c r="B3" i="34" s="1"/>
  <c r="B2" i="34" s="1"/>
  <c r="C49" i="34"/>
  <c r="E47" i="37"/>
  <c r="F47" i="37" s="1"/>
  <c r="E46" i="37"/>
  <c r="F46" i="37" s="1"/>
  <c r="I47" i="37"/>
  <c r="J47" i="37" s="1"/>
  <c r="C49" i="33"/>
  <c r="B3" i="33" s="1"/>
  <c r="B2" i="33" s="1"/>
  <c r="C48" i="33"/>
  <c r="G52" i="21"/>
  <c r="H52" i="21" s="1"/>
  <c r="G53" i="21"/>
  <c r="H53" i="21" s="1"/>
  <c r="L46" i="36"/>
  <c r="E54" i="34"/>
  <c r="F54" i="34" s="1"/>
  <c r="E53" i="34"/>
  <c r="F53" i="34" s="1"/>
  <c r="I43" i="35"/>
  <c r="J43" i="35" s="1"/>
  <c r="I42" i="35"/>
  <c r="J42" i="35" s="1"/>
  <c r="C25" i="44"/>
  <c r="C65" i="15"/>
  <c r="C59" i="15"/>
  <c r="B5" i="11"/>
  <c r="B3" i="11"/>
  <c r="B4" i="11"/>
  <c r="C27" i="12"/>
  <c r="D26" i="12" s="1"/>
  <c r="C32" i="12" s="1"/>
  <c r="D30" i="12" s="1"/>
  <c r="J26" i="15"/>
  <c r="J29" i="15" s="1"/>
  <c r="J24" i="15"/>
  <c r="C38" i="15"/>
  <c r="Q58" i="44"/>
  <c r="Q67" i="44"/>
  <c r="Q49" i="44"/>
  <c r="Q55" i="44" s="1"/>
  <c r="G8" i="69" l="1"/>
  <c r="G14" i="69" s="1"/>
  <c r="C5" i="70"/>
  <c r="G35" i="46"/>
  <c r="I35" i="46" s="1"/>
  <c r="K70" i="39"/>
  <c r="J72" i="39"/>
  <c r="J67" i="40"/>
  <c r="K65" i="40"/>
  <c r="C28" i="44"/>
  <c r="C31" i="44" s="1"/>
  <c r="C15" i="44" s="1"/>
  <c r="C26" i="15"/>
  <c r="C23" i="15"/>
  <c r="C30" i="46"/>
  <c r="E30" i="46" s="1"/>
  <c r="C6" i="69"/>
  <c r="G37" i="46"/>
  <c r="I37" i="46" s="1"/>
  <c r="E29" i="46"/>
  <c r="E38" i="46"/>
  <c r="E36" i="46"/>
  <c r="G33" i="46"/>
  <c r="I33" i="46" s="1"/>
  <c r="E33" i="46"/>
  <c r="C22" i="43"/>
  <c r="C21" i="43" s="1"/>
  <c r="C28" i="43" s="1"/>
  <c r="C30" i="43" s="1"/>
  <c r="C28" i="12"/>
  <c r="C26" i="12" s="1"/>
  <c r="C31" i="12" s="1"/>
  <c r="C30" i="12" s="1"/>
  <c r="C36" i="12" s="1"/>
  <c r="B2" i="12" s="1"/>
  <c r="B3" i="12" s="1"/>
  <c r="R27" i="6"/>
  <c r="R6" i="1"/>
  <c r="M46" i="36"/>
  <c r="E43" i="35"/>
  <c r="F43" i="35" s="1"/>
  <c r="E42" i="35"/>
  <c r="F42" i="35" s="1"/>
  <c r="E53" i="21"/>
  <c r="F53" i="21" s="1"/>
  <c r="E52" i="21"/>
  <c r="F52" i="21" s="1"/>
  <c r="I53" i="21"/>
  <c r="J53" i="21" s="1"/>
  <c r="C38" i="35"/>
  <c r="C39" i="35"/>
  <c r="B3" i="35" s="1"/>
  <c r="B2" i="35" s="1"/>
  <c r="C48" i="21"/>
  <c r="C49" i="21"/>
  <c r="B3" i="21" s="1"/>
  <c r="B2" i="21" s="1"/>
  <c r="F35" i="15"/>
  <c r="F37" i="44"/>
  <c r="M23" i="44"/>
  <c r="F7" i="67"/>
  <c r="M21" i="15"/>
  <c r="L70" i="39" l="1"/>
  <c r="K72" i="39"/>
  <c r="K67" i="40"/>
  <c r="L65" i="40"/>
  <c r="C29" i="15"/>
  <c r="Q50" i="15" s="1"/>
  <c r="C34" i="15"/>
  <c r="F62" i="15"/>
  <c r="C61" i="15" s="1"/>
  <c r="C36" i="44"/>
  <c r="J20" i="15"/>
  <c r="J22" i="44"/>
  <c r="R16" i="1"/>
  <c r="C27" i="46"/>
  <c r="E4" i="67"/>
  <c r="C26" i="46"/>
  <c r="N46" i="36"/>
  <c r="Q51" i="44"/>
  <c r="J21" i="44"/>
  <c r="J59" i="15"/>
  <c r="J60" i="15" s="1"/>
  <c r="Q49" i="15" s="1"/>
  <c r="B4" i="12"/>
  <c r="C35" i="44"/>
  <c r="C38" i="44"/>
  <c r="B5" i="12"/>
  <c r="J16" i="44"/>
  <c r="J24" i="44" s="1"/>
  <c r="C39" i="44"/>
  <c r="Q72" i="44"/>
  <c r="C43" i="44"/>
  <c r="E7" i="67"/>
  <c r="L72" i="39" l="1"/>
  <c r="M70" i="39"/>
  <c r="M65" i="40"/>
  <c r="L67" i="40"/>
  <c r="C36" i="15"/>
  <c r="J19" i="44"/>
  <c r="C13" i="15"/>
  <c r="C37" i="15" s="1"/>
  <c r="J19" i="15"/>
  <c r="J17" i="15" s="1"/>
  <c r="J14" i="15"/>
  <c r="J22" i="15" s="1"/>
  <c r="C56" i="15"/>
  <c r="C60" i="15" s="1"/>
  <c r="C58" i="15" s="1"/>
  <c r="C33" i="15"/>
  <c r="C31" i="15" s="1"/>
  <c r="C30" i="15" s="1"/>
  <c r="C39" i="15" s="1"/>
  <c r="C33" i="44"/>
  <c r="C32" i="44" s="1"/>
  <c r="C42" i="44" s="1"/>
  <c r="Q71" i="44" s="1"/>
  <c r="Q70" i="44" s="1"/>
  <c r="E3" i="67"/>
  <c r="B2" i="46"/>
  <c r="O46" i="36"/>
  <c r="F7" i="36"/>
  <c r="H7" i="36"/>
  <c r="J7" i="36"/>
  <c r="J15" i="44"/>
  <c r="J25" i="44" s="1"/>
  <c r="B7" i="67"/>
  <c r="D19" i="9"/>
  <c r="C19" i="9"/>
  <c r="C63" i="15" l="1"/>
  <c r="L44" i="9"/>
  <c r="G19" i="9"/>
  <c r="L43" i="9"/>
  <c r="D22" i="9"/>
  <c r="J18" i="44"/>
  <c r="J27" i="44" s="1"/>
  <c r="J35" i="15"/>
  <c r="N65" i="40"/>
  <c r="N67" i="40" s="1"/>
  <c r="M67" i="40"/>
  <c r="J9" i="40" s="1"/>
  <c r="N70" i="39"/>
  <c r="N72" i="39" s="1"/>
  <c r="M72" i="39"/>
  <c r="H9" i="39" s="1"/>
  <c r="H9" i="40"/>
  <c r="Q71" i="15"/>
  <c r="C55" i="15"/>
  <c r="C64" i="15" s="1"/>
  <c r="J13" i="15"/>
  <c r="J23" i="15" s="1"/>
  <c r="J16" i="15" s="1"/>
  <c r="J25" i="15" s="1"/>
  <c r="B2" i="67"/>
  <c r="B3" i="46"/>
  <c r="D4" i="46"/>
  <c r="B4" i="46"/>
  <c r="S7" i="36"/>
  <c r="AA7" i="36"/>
  <c r="R36" i="36" s="1"/>
  <c r="W7" i="36"/>
  <c r="AC7" i="36"/>
  <c r="V36" i="36" s="1"/>
  <c r="I36" i="36" s="1"/>
  <c r="AB7" i="36"/>
  <c r="T36" i="36" s="1"/>
  <c r="G36" i="36" s="1"/>
  <c r="U7" i="36"/>
  <c r="C40" i="15"/>
  <c r="Q70" i="15"/>
  <c r="Q69" i="15" s="1"/>
  <c r="C44" i="44"/>
  <c r="C45" i="44" s="1"/>
  <c r="J39" i="15"/>
  <c r="J40" i="15" s="1"/>
  <c r="D21" i="9"/>
  <c r="C21" i="9"/>
  <c r="D20" i="9"/>
  <c r="C20" i="9"/>
  <c r="L51" i="15"/>
  <c r="C57" i="15" l="1"/>
  <c r="C66" i="15" s="1"/>
  <c r="C67" i="15" s="1"/>
  <c r="C70" i="15" s="1"/>
  <c r="G21" i="9"/>
  <c r="G20" i="9"/>
  <c r="I20" i="9" s="1"/>
  <c r="G22" i="9"/>
  <c r="N43" i="9"/>
  <c r="C32" i="9"/>
  <c r="AC9" i="40"/>
  <c r="V44" i="40" s="1"/>
  <c r="I44" i="40" s="1"/>
  <c r="W9" i="40"/>
  <c r="U9" i="40"/>
  <c r="AB9" i="40"/>
  <c r="T44" i="40" s="1"/>
  <c r="G44" i="40" s="1"/>
  <c r="F9" i="39"/>
  <c r="F9" i="40"/>
  <c r="U9" i="39"/>
  <c r="AB9" i="39"/>
  <c r="T49" i="39" s="1"/>
  <c r="G49" i="39" s="1"/>
  <c r="J9" i="39"/>
  <c r="Q57" i="15"/>
  <c r="C10" i="43"/>
  <c r="C6" i="43" s="1"/>
  <c r="B3" i="67"/>
  <c r="B4" i="67"/>
  <c r="I40" i="36"/>
  <c r="J40" i="36" s="1"/>
  <c r="R37" i="36"/>
  <c r="E36" i="36"/>
  <c r="G41" i="36"/>
  <c r="H41" i="36" s="1"/>
  <c r="G40" i="36"/>
  <c r="H40" i="36" s="1"/>
  <c r="Q48" i="15"/>
  <c r="Q54" i="15" s="1"/>
  <c r="Q66" i="15"/>
  <c r="J42" i="15"/>
  <c r="J43" i="15" s="1"/>
  <c r="C43" i="15"/>
  <c r="C8" i="43" s="1"/>
  <c r="B2" i="44"/>
  <c r="B3" i="44" s="1"/>
  <c r="L52" i="44"/>
  <c r="Q68" i="15"/>
  <c r="L57" i="15"/>
  <c r="L60" i="15" s="1"/>
  <c r="C46" i="15"/>
  <c r="C42" i="9" l="1"/>
  <c r="C34" i="9"/>
  <c r="C33" i="9"/>
  <c r="O43" i="9"/>
  <c r="C35" i="9"/>
  <c r="F42" i="9" s="1"/>
  <c r="O38" i="9"/>
  <c r="W9" i="39"/>
  <c r="AC9" i="39"/>
  <c r="V49" i="39" s="1"/>
  <c r="I49" i="39" s="1"/>
  <c r="G53" i="39"/>
  <c r="H53" i="39" s="1"/>
  <c r="G54" i="39"/>
  <c r="H54" i="39" s="1"/>
  <c r="AA9" i="40"/>
  <c r="R44" i="40" s="1"/>
  <c r="S9" i="40"/>
  <c r="G49" i="40"/>
  <c r="H49" i="40" s="1"/>
  <c r="G48" i="40"/>
  <c r="H48" i="40" s="1"/>
  <c r="S9" i="39"/>
  <c r="AA9" i="39"/>
  <c r="R49" i="39" s="1"/>
  <c r="I48" i="40"/>
  <c r="J48" i="40" s="1"/>
  <c r="C31" i="43"/>
  <c r="C32" i="43" s="1"/>
  <c r="B2" i="43" s="1"/>
  <c r="Q67" i="15"/>
  <c r="Q76" i="15" s="1"/>
  <c r="L46" i="15"/>
  <c r="B2" i="15" s="1"/>
  <c r="B3" i="15" s="1"/>
  <c r="B4" i="44"/>
  <c r="C37" i="36"/>
  <c r="B3" i="36" s="1"/>
  <c r="B2" i="36" s="1"/>
  <c r="C36" i="36"/>
  <c r="E40" i="36"/>
  <c r="F40" i="36" s="1"/>
  <c r="E41" i="36"/>
  <c r="F41" i="36" s="1"/>
  <c r="I41" i="36"/>
  <c r="J41" i="36" s="1"/>
  <c r="B5" i="44"/>
  <c r="L58" i="44"/>
  <c r="L61" i="44" s="1"/>
  <c r="L47" i="44" s="1"/>
  <c r="Q69" i="44"/>
  <c r="Q58" i="15"/>
  <c r="Q63" i="15" s="1"/>
  <c r="B5" i="43"/>
  <c r="B3" i="43"/>
  <c r="D5" i="70" l="1"/>
  <c r="C7" i="70" s="1"/>
  <c r="K25" i="9"/>
  <c r="K26" i="9"/>
  <c r="M38" i="9"/>
  <c r="K27" i="9" s="1"/>
  <c r="E42" i="9"/>
  <c r="P5" i="54" s="1"/>
  <c r="B46" i="63" s="1"/>
  <c r="D42" i="9"/>
  <c r="Q5" i="54" s="1"/>
  <c r="B47" i="63" s="1"/>
  <c r="N38" i="9"/>
  <c r="K28" i="9" s="1"/>
  <c r="D63" i="9"/>
  <c r="R5" i="54"/>
  <c r="B48" i="63" s="1"/>
  <c r="N68" i="9"/>
  <c r="E49" i="39"/>
  <c r="R50" i="39"/>
  <c r="I53" i="39"/>
  <c r="J53" i="39" s="1"/>
  <c r="E44" i="40"/>
  <c r="R45" i="40"/>
  <c r="E6" i="69"/>
  <c r="Q68" i="44"/>
  <c r="Q77" i="44" s="1"/>
  <c r="Q59" i="44"/>
  <c r="Q64" i="44" s="1"/>
  <c r="B4" i="43"/>
  <c r="G6" i="69" l="1"/>
  <c r="J7" i="69" s="1"/>
  <c r="K7" i="69" s="1"/>
  <c r="G12" i="69"/>
  <c r="J11" i="69" s="1"/>
  <c r="K11" i="69" s="1"/>
  <c r="C96" i="9"/>
  <c r="C91" i="9" s="1"/>
  <c r="C111" i="9"/>
  <c r="C104" i="9" s="1"/>
  <c r="C82" i="9"/>
  <c r="C81" i="9" s="1"/>
  <c r="C85" i="9" s="1"/>
  <c r="C86" i="9" s="1"/>
  <c r="D72" i="9" s="1"/>
  <c r="D70" i="9"/>
  <c r="D77" i="9"/>
  <c r="N75" i="9" s="1"/>
  <c r="C103" i="9"/>
  <c r="C90" i="9"/>
  <c r="C97" i="9" s="1"/>
  <c r="D71" i="9"/>
  <c r="D66" i="9" s="1"/>
  <c r="N72" i="9" s="1"/>
  <c r="E48" i="40"/>
  <c r="F48" i="40" s="1"/>
  <c r="E49" i="40"/>
  <c r="F49" i="40" s="1"/>
  <c r="I49" i="40"/>
  <c r="J49" i="40" s="1"/>
  <c r="E54" i="39"/>
  <c r="F54" i="39" s="1"/>
  <c r="E53" i="39"/>
  <c r="F53" i="39" s="1"/>
  <c r="C44" i="40"/>
  <c r="C45" i="40"/>
  <c r="I54" i="39"/>
  <c r="J54" i="39" s="1"/>
  <c r="C49" i="39"/>
  <c r="C50" i="39"/>
  <c r="C113" i="9" l="1"/>
  <c r="C114" i="9" s="1"/>
  <c r="E114" i="9" s="1"/>
  <c r="E115" i="9" s="1"/>
  <c r="C98" i="9"/>
  <c r="E98" i="9" s="1"/>
  <c r="E99" i="9" s="1"/>
  <c r="B55" i="40"/>
  <c r="F55" i="40" s="1"/>
  <c r="B59" i="40"/>
  <c r="F59" i="40" s="1"/>
  <c r="B60" i="40"/>
  <c r="F60" i="40" s="1"/>
  <c r="B57" i="40"/>
  <c r="F57" i="40" s="1"/>
  <c r="B62" i="40"/>
  <c r="F62" i="40" s="1"/>
  <c r="B58" i="40"/>
  <c r="F58" i="40" s="1"/>
  <c r="B56" i="40"/>
  <c r="F56" i="40" s="1"/>
  <c r="B54" i="40"/>
  <c r="F54" i="40" s="1"/>
  <c r="B61" i="40"/>
  <c r="F61" i="40" s="1"/>
  <c r="B53" i="40"/>
  <c r="F53" i="40" s="1"/>
  <c r="F63" i="40"/>
  <c r="B2" i="40" s="1"/>
  <c r="B65" i="39"/>
  <c r="F65" i="39" s="1"/>
  <c r="B64" i="39"/>
  <c r="F64" i="39" s="1"/>
  <c r="B61" i="39"/>
  <c r="F61" i="39" s="1"/>
  <c r="B60" i="39"/>
  <c r="F60" i="39" s="1"/>
  <c r="F68" i="39"/>
  <c r="B2" i="39" s="1"/>
  <c r="B59" i="39"/>
  <c r="F59" i="39" s="1"/>
  <c r="B63" i="39"/>
  <c r="F63" i="39" s="1"/>
  <c r="B66" i="39"/>
  <c r="F66" i="39" s="1"/>
  <c r="B67" i="39"/>
  <c r="F67" i="39" s="1"/>
  <c r="B62" i="39"/>
  <c r="F62" i="39" s="1"/>
  <c r="B58" i="39"/>
  <c r="F58" i="39" s="1"/>
  <c r="C115" i="9" l="1"/>
  <c r="D76" i="9" s="1"/>
  <c r="D74" i="9" s="1"/>
  <c r="N74" i="9" s="1"/>
  <c r="O77" i="9" s="1"/>
  <c r="O79" i="9" s="1"/>
  <c r="C99" i="9"/>
  <c r="D14" i="66"/>
  <c r="B5" i="39"/>
  <c r="B4" i="39"/>
  <c r="B3" i="39"/>
  <c r="B3" i="40"/>
  <c r="B4" i="40"/>
  <c r="B5" i="40"/>
  <c r="O78" i="9" l="1"/>
  <c r="Q77" i="9"/>
  <c r="O81" i="9"/>
  <c r="O80" i="9"/>
  <c r="B5" i="66"/>
  <c r="F14" i="66"/>
  <c r="E14"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<sst xmlns="http://schemas.openxmlformats.org/spreadsheetml/2006/main" count="7139" uniqueCount="3197">
  <si>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</si>
  <si>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</si>
  <si>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</si>
  <si>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</si>
  <si>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</si>
  <si>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</si>
  <si>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</si>
  <si>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</si>
  <si>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</si>
  <si>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</si>
  <si>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</si>
  <si>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</si>
  <si>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</si>
  <si>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</si>
  <si>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</si>
  <si>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</si>
  <si>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</si>
  <si>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</si>
  <si>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</si>
  <si>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</si>
  <si>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</si>
  <si>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</si>
  <si>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</si>
  <si>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</si>
  <si>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</si>
  <si>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</si>
  <si>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</si>
  <si>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</si>
  <si>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</si>
  <si>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</si>
  <si>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</si>
  <si>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</si>
  <si>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</si>
  <si>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</si>
  <si>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</si>
  <si>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</si>
  <si>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</si>
  <si>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</si>
  <si>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</si>
  <si>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</si>
  <si>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</si>
  <si>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</si>
  <si>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</si>
  <si>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</si>
  <si>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</si>
  <si>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</si>
  <si>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</si>
  <si>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</si>
  <si>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</si>
  <si>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</si>
  <si>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</si>
  <si>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</si>
  <si>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</si>
  <si>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</si>
  <si>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</si>
  <si>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</si>
  <si>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</si>
  <si>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</si>
  <si>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</si>
  <si>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</si>
  <si>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</si>
  <si>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</si>
  <si>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</si>
  <si>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</si>
  <si>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</si>
  <si>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</si>
  <si>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</si>
  <si>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</si>
  <si>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</si>
  <si>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</si>
  <si>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</si>
  <si>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</si>
  <si>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</si>
  <si>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</si>
  <si>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</si>
  <si>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</si>
  <si>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</si>
  <si>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</si>
  <si>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</si>
  <si>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</si>
  <si>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</si>
  <si>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</si>
  <si>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</si>
  <si>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</si>
  <si>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</si>
  <si>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</si>
  <si>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</si>
  <si>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</si>
  <si>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</si>
  <si>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</si>
  <si>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</si>
  <si>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</si>
  <si>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</si>
  <si>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</si>
  <si>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</si>
  <si>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</si>
  <si>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</si>
  <si>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</si>
  <si>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</si>
  <si>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</si>
  <si>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</si>
  <si>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</si>
  <si>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</si>
  <si>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</si>
  <si>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</si>
  <si>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</si>
  <si>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</si>
  <si>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</si>
  <si>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</si>
  <si>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</si>
  <si>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</si>
  <si>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</si>
  <si>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</si>
  <si>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</si>
  <si>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</si>
  <si>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</si>
  <si>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</si>
  <si>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</si>
  <si>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</si>
  <si>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</si>
  <si>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</si>
  <si>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</si>
  <si>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</si>
  <si>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</si>
  <si>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</si>
  <si>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</si>
  <si>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</si>
  <si>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</si>
  <si>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</si>
  <si>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</si>
  <si>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</si>
  <si>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</si>
  <si>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</si>
  <si>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</si>
  <si>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</si>
  <si>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</si>
  <si>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</si>
  <si>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</si>
  <si>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</si>
  <si>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</si>
  <si>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</si>
  <si>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</si>
  <si>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</si>
  <si>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</si>
  <si>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</si>
  <si>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</si>
  <si>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</si>
  <si>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</si>
  <si>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</si>
  <si>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</si>
  <si>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</si>
  <si>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</si>
  <si>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</si>
  <si>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</si>
  <si>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</si>
  <si>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</si>
  <si>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</si>
  <si>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</si>
  <si>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</si>
  <si>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</si>
  <si>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</si>
  <si>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</si>
  <si>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</si>
  <si>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</si>
  <si>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</si>
  <si>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</si>
  <si>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</si>
  <si>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</si>
  <si>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</si>
  <si>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</si>
  <si>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</si>
  <si>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</si>
  <si>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</si>
  <si>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</si>
  <si>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</si>
  <si>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</si>
  <si>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</si>
  <si>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</si>
  <si>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</si>
  <si>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</si>
  <si>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</si>
  <si>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</si>
  <si>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</si>
  <si>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</si>
  <si>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</si>
  <si>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</si>
  <si>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</si>
  <si>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</si>
  <si>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</si>
  <si>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</si>
  <si>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</si>
  <si>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</si>
  <si>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</si>
  <si>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</si>
  <si>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</si>
  <si>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</si>
  <si>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</si>
  <si>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</si>
  <si>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</si>
  <si>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</si>
  <si>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</si>
  <si>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</si>
  <si>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</si>
  <si>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</si>
  <si>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</si>
  <si>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</si>
  <si>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</si>
  <si>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</si>
  <si>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</si>
  <si>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</si>
  <si>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</si>
  <si>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</si>
  <si>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</si>
  <si>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</si>
  <si>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</si>
  <si>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</si>
  <si>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</si>
  <si>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</si>
  <si>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</si>
  <si>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</si>
  <si>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</si>
  <si>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</si>
  <si>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</si>
  <si>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</si>
  <si>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</si>
  <si>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</si>
  <si>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</si>
  <si>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</si>
  <si>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</si>
  <si>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</si>
  <si>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</si>
  <si>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</si>
  <si>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</si>
  <si>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</si>
  <si>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</si>
  <si>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</si>
  <si>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</si>
  <si>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</si>
  <si>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</si>
  <si>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</si>
  <si>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</si>
  <si>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</si>
  <si>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</si>
  <si>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</si>
  <si>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</si>
  <si>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</si>
  <si>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</si>
  <si>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</si>
  <si>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</si>
  <si>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</si>
  <si>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</si>
  <si>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</si>
  <si>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</si>
  <si>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</si>
  <si>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</si>
  <si>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</si>
  <si>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</si>
  <si>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</si>
  <si>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</si>
  <si>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</si>
  <si>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</si>
  <si>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</si>
  <si>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</si>
  <si>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</si>
  <si>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</si>
  <si>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</si>
  <si>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</si>
  <si>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</si>
  <si>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</si>
  <si>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</si>
  <si>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</si>
  <si>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</si>
  <si>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</si>
  <si>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</si>
  <si>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</si>
  <si>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</si>
  <si>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</si>
  <si>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</si>
  <si>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</si>
  <si>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</si>
  <si>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</si>
  <si>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</si>
  <si>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</si>
  <si>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</si>
  <si>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</si>
  <si>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</si>
  <si>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</si>
  <si>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</si>
  <si>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</si>
  <si>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</si>
  <si>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</si>
  <si>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</si>
  <si>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</si>
  <si>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</si>
  <si>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</si>
  <si>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</si>
  <si>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</si>
  <si>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</si>
  <si>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</si>
  <si>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</si>
  <si>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</si>
  <si>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</si>
  <si>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</si>
  <si>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</si>
  <si>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</si>
  <si>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</si>
  <si>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</si>
  <si>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</si>
  <si>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</si>
  <si>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</si>
  <si>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</si>
  <si>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</si>
  <si>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</si>
  <si>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</si>
  <si>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</si>
  <si>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</si>
  <si>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</si>
  <si>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</si>
  <si>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</si>
  <si>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</si>
  <si>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</si>
  <si>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</si>
  <si>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</si>
  <si>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</si>
  <si>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</si>
  <si>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</si>
  <si>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</si>
  <si>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</si>
  <si>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</si>
  <si>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</si>
  <si>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</si>
  <si>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</si>
  <si>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</si>
  <si>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</si>
  <si>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</si>
  <si>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</si>
  <si>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</si>
  <si>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</si>
  <si>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</si>
  <si>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</si>
  <si>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</si>
  <si>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</si>
  <si>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</si>
  <si>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</si>
  <si>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</si>
  <si>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</si>
  <si>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</si>
  <si>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</si>
  <si>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</si>
  <si>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</si>
  <si>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</si>
  <si>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</si>
  <si>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</si>
  <si>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</si>
  <si>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</si>
  <si>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</si>
  <si>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</si>
  <si>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</si>
  <si>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</si>
  <si>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</si>
  <si>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</si>
  <si>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</si>
  <si>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</si>
  <si>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</si>
  <si>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</si>
  <si>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</si>
  <si>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</si>
  <si>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</si>
  <si>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</si>
  <si>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</si>
  <si>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</si>
  <si>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</si>
  <si>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</si>
  <si>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</si>
  <si>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</si>
  <si>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</si>
  <si>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</si>
  <si>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</si>
  <si>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</si>
  <si>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</si>
  <si>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</si>
  <si>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</si>
  <si>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</si>
  <si>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</si>
  <si>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</si>
  <si>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</si>
  <si>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</si>
  <si>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</si>
  <si>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</si>
  <si>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</si>
  <si>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</si>
  <si>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</si>
  <si>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</si>
  <si>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</si>
  <si>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</si>
  <si>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</si>
  <si>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</si>
  <si>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</si>
  <si>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</si>
  <si>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</si>
  <si>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</si>
  <si>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</si>
  <si>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</si>
  <si>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</si>
  <si>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</si>
  <si>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</si>
  <si>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</si>
  <si>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</si>
  <si>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</si>
  <si>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</si>
  <si>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</si>
  <si>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</si>
  <si>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</si>
  <si>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</si>
  <si>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</si>
  <si>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</si>
  <si>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</si>
  <si>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</si>
  <si>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</si>
  <si>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</si>
  <si>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</si>
  <si>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</si>
  <si>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</si>
  <si>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</si>
  <si>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</si>
  <si>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</si>
  <si>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</si>
  <si>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</si>
  <si>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</si>
  <si>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</si>
  <si>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</si>
  <si>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</si>
  <si>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</si>
  <si>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</si>
  <si>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</si>
  <si>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</si>
  <si>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</si>
  <si>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</si>
  <si>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</si>
  <si>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</si>
  <si>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</si>
  <si>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</si>
  <si>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</si>
  <si>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</si>
  <si>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</si>
  <si>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</si>
  <si>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</si>
  <si>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</si>
  <si>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</si>
  <si>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</si>
  <si>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</si>
  <si>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</si>
  <si>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</si>
  <si>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</si>
  <si>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</si>
  <si>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</si>
  <si>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</si>
  <si>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</si>
  <si>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</si>
  <si>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</si>
  <si>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</si>
  <si>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</si>
  <si>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</si>
  <si>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</si>
  <si>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</si>
  <si>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</si>
  <si>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</si>
  <si>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</si>
  <si>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</si>
  <si>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</si>
  <si>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</si>
  <si>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</si>
  <si>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</si>
  <si>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</si>
  <si>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</si>
  <si>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</si>
  <si>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</si>
  <si>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</si>
  <si>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</si>
  <si>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</si>
  <si>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</si>
  <si>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</si>
  <si>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</si>
  <si>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</si>
  <si>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</si>
  <si>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</si>
  <si>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</si>
  <si>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</si>
  <si>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</si>
  <si>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</si>
  <si>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</si>
  <si>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</si>
  <si>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</si>
  <si>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</si>
  <si>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</si>
  <si>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</si>
  <si>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</si>
  <si>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</si>
  <si>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</si>
  <si>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</si>
  <si>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</si>
  <si>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</si>
  <si>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</si>
  <si>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</si>
  <si>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</si>
  <si>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</si>
  <si>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</si>
  <si>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</si>
  <si>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</si>
  <si>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</si>
  <si>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</si>
  <si>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</si>
  <si>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</si>
  <si>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</si>
  <si>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</si>
  <si>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</si>
  <si>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</si>
  <si>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</si>
  <si>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</si>
  <si>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</si>
  <si>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</si>
  <si>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</si>
  <si>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</si>
  <si>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</si>
  <si>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</si>
  <si>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</si>
  <si>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</si>
  <si>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</si>
  <si>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</si>
  <si>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</si>
  <si>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</si>
  <si>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</si>
  <si>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</si>
  <si>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</si>
  <si>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</si>
  <si>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</si>
  <si>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</si>
  <si>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</si>
  <si>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</si>
  <si>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</si>
  <si>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</si>
  <si>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</si>
  <si>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</si>
  <si>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</si>
  <si>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</si>
  <si>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</si>
  <si>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</si>
  <si>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</si>
  <si>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</si>
  <si>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</si>
  <si>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</si>
  <si>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</si>
  <si>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</si>
  <si>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</si>
  <si>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</si>
  <si>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</si>
  <si>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</si>
  <si>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</si>
  <si>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</si>
  <si>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</si>
  <si>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</si>
  <si>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</si>
  <si>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</si>
  <si>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</si>
  <si>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</si>
  <si>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</si>
  <si>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</si>
  <si>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</si>
  <si>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</si>
  <si>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</si>
  <si>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</si>
  <si>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</si>
  <si>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</si>
  <si>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</si>
  <si>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</si>
  <si>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</si>
  <si>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</si>
  <si>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</si>
  <si>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</si>
  <si>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</si>
  <si>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</si>
  <si>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</si>
  <si>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</si>
  <si>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</si>
  <si>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</si>
  <si>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</si>
  <si>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</si>
  <si>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</si>
  <si>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</si>
  <si>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</si>
  <si>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</si>
  <si>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</si>
  <si>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</si>
  <si>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</si>
  <si>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</si>
  <si>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</si>
  <si>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</si>
  <si>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</si>
  <si>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</si>
  <si>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</si>
  <si>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</si>
  <si>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</si>
  <si>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</si>
  <si>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</si>
  <si>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</si>
  <si>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</si>
  <si>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</si>
  <si>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</si>
  <si>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</si>
  <si>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</si>
  <si>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</si>
  <si>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</si>
  <si>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</si>
  <si>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</si>
  <si>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</si>
  <si>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</si>
  <si>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</si>
  <si>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</si>
  <si>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</si>
  <si>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</si>
  <si>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</si>
  <si>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</si>
  <si>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</si>
  <si>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</si>
  <si>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</si>
  <si>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</si>
  <si>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</si>
  <si>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</si>
  <si>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</si>
  <si>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</si>
  <si>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</si>
  <si>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</si>
  <si>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</si>
  <si>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</si>
  <si>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</si>
  <si>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</si>
  <si>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</si>
  <si>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</si>
  <si>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</si>
  <si>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</si>
  <si>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</si>
  <si>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</si>
  <si>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</si>
  <si>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</si>
  <si>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</si>
  <si>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</si>
  <si>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</si>
  <si>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</si>
  <si>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</si>
  <si>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</si>
  <si>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</si>
  <si>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</si>
  <si>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</si>
  <si>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</si>
  <si>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</si>
  <si>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</si>
  <si>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</si>
  <si>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</si>
  <si>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</si>
  <si>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</si>
  <si>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</si>
  <si>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</si>
  <si>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</si>
  <si>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</si>
  <si>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</si>
  <si>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</si>
  <si>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</si>
  <si>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</si>
  <si>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</si>
  <si>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</si>
  <si>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</si>
  <si>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</si>
  <si>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</si>
  <si>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</si>
  <si>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</si>
  <si>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</si>
  <si>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</si>
  <si>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</si>
  <si>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</si>
  <si>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</si>
  <si>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</si>
  <si>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</si>
  <si>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</si>
  <si>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</si>
  <si>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</si>
  <si>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</si>
  <si>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</si>
  <si>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</si>
  <si>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</si>
  <si>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</si>
  <si>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</si>
  <si>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</si>
  <si>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</si>
  <si>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</si>
  <si>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</si>
  <si>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</si>
  <si>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</si>
  <si>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</si>
  <si>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</si>
  <si>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</si>
  <si>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</si>
  <si>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</si>
  <si>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</si>
  <si>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</si>
  <si>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</si>
  <si>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</si>
  <si>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</si>
  <si>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</si>
  <si>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</si>
  <si>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</si>
  <si>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</si>
  <si>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</si>
  <si>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</si>
  <si>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</si>
  <si>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</si>
  <si>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</si>
  <si>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</si>
  <si>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</si>
  <si>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</si>
  <si>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</si>
  <si>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</si>
  <si>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</si>
  <si>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</si>
  <si>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</si>
  <si>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</si>
  <si>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</si>
  <si>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</si>
  <si>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</si>
  <si>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</si>
  <si>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</si>
  <si>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</si>
  <si>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</si>
  <si>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</si>
  <si>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</si>
  <si>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</si>
  <si>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</si>
  <si>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</si>
  <si>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</si>
  <si>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</si>
  <si>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</si>
  <si>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</si>
  <si>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</si>
  <si>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</si>
  <si>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</si>
  <si>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</si>
  <si>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</si>
  <si>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</si>
  <si>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</si>
  <si>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</si>
  <si>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</si>
  <si>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</si>
  <si>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</si>
  <si>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</si>
  <si>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</si>
  <si>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</si>
  <si>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</si>
  <si>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</si>
  <si>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</si>
  <si>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</si>
  <si>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</si>
  <si>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</si>
  <si>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</si>
  <si>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</si>
  <si>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</si>
  <si>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</si>
  <si>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</si>
  <si>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</si>
  <si>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</si>
  <si>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</si>
  <si>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</si>
  <si>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</si>
  <si>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</si>
  <si>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</si>
  <si>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</si>
  <si>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</si>
  <si>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</si>
  <si>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</si>
  <si>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</si>
  <si>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</si>
  <si>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</si>
  <si>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</si>
  <si>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</si>
  <si>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</si>
  <si>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</si>
  <si>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</si>
  <si>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</si>
  <si>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</si>
  <si>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</si>
  <si>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</si>
  <si>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</si>
  <si>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</si>
  <si>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</si>
  <si>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</si>
  <si>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</si>
  <si>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</si>
  <si>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</si>
  <si>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</si>
  <si>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</si>
  <si>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</si>
  <si>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</si>
  <si>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</si>
  <si>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</si>
  <si>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</si>
  <si>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</si>
  <si>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</si>
  <si>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</si>
  <si>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</si>
  <si>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</si>
  <si>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</si>
  <si>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</si>
  <si>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</si>
  <si>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</si>
  <si>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</si>
  <si>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</si>
  <si>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</si>
  <si>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</si>
  <si>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</si>
  <si>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</si>
  <si>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</si>
  <si>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</si>
  <si>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</si>
  <si>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</si>
  <si>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</si>
  <si>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</si>
  <si>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</si>
  <si>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</si>
  <si>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</si>
  <si>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</si>
  <si>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</si>
  <si>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</si>
  <si>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</si>
  <si>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</si>
  <si>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</si>
  <si>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</si>
  <si>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</si>
  <si>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</si>
  <si>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</si>
  <si>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</si>
  <si>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</si>
  <si>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</si>
  <si>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</si>
  <si>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</si>
  <si>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</si>
  <si>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</si>
  <si>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</si>
  <si>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</si>
  <si>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</si>
  <si>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</si>
  <si>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</si>
  <si>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</si>
  <si>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</si>
  <si>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</si>
  <si>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</si>
  <si>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</si>
  <si>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</si>
  <si>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</si>
  <si>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</si>
  <si>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</si>
  <si>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</si>
  <si>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</si>
  <si>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</si>
  <si>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</si>
  <si>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</si>
  <si>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</si>
  <si>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</si>
  <si>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</si>
  <si>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</si>
  <si>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</si>
  <si>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</si>
  <si>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</si>
  <si>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</si>
  <si>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</si>
  <si>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</si>
  <si>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</si>
  <si>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</si>
  <si>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</si>
  <si>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</si>
  <si>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</si>
  <si>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</si>
  <si>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</si>
  <si>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</si>
  <si>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</si>
  <si>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</si>
  <si>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</si>
  <si>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</si>
  <si>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</si>
  <si>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</si>
  <si>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</si>
  <si>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</si>
  <si>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</si>
  <si>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</si>
  <si>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</si>
  <si>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</si>
  <si>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</si>
  <si>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</si>
  <si>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</si>
  <si>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</si>
  <si>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</si>
  <si>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</si>
  <si>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</si>
  <si>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</si>
  <si>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</si>
  <si>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</si>
  <si>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</si>
  <si>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</si>
  <si>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</si>
  <si>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</si>
  <si>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</si>
  <si>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</si>
  <si>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</si>
  <si>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</si>
  <si>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</si>
  <si>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</si>
  <si>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</si>
  <si>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</si>
  <si>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</si>
  <si>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</si>
  <si>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</si>
  <si>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</si>
  <si>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</si>
  <si>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</si>
  <si>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</si>
  <si>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</si>
  <si>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</si>
  <si>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</si>
  <si>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</si>
  <si>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</si>
  <si>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</si>
  <si>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</si>
  <si>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</si>
  <si>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</si>
  <si>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</si>
  <si>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</si>
  <si>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</si>
  <si>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</si>
  <si>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</si>
  <si>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</si>
  <si>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</si>
  <si>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</si>
  <si>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</si>
  <si>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</si>
  <si>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</si>
  <si>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</si>
  <si>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</si>
  <si>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</si>
  <si>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</si>
  <si>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</si>
  <si>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</si>
  <si>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</si>
  <si>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</si>
  <si>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</si>
  <si>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</si>
  <si>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</si>
  <si>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</si>
  <si>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</si>
  <si>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</si>
  <si>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</si>
  <si>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</si>
  <si>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</si>
  <si>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</si>
  <si>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</si>
  <si>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</si>
  <si>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</si>
  <si>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</si>
  <si>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</si>
  <si>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</si>
  <si>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</si>
  <si>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</si>
  <si>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</si>
  <si>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</si>
  <si>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</si>
  <si>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</si>
  <si>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</si>
  <si>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</si>
  <si>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</si>
  <si>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</si>
  <si>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</si>
  <si>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</si>
  <si>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</si>
  <si>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</si>
  <si>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</si>
  <si>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</si>
  <si>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</si>
  <si>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</si>
  <si>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</si>
  <si>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</si>
  <si>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</si>
  <si>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</si>
  <si>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</si>
  <si>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</si>
  <si>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</si>
  <si>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</si>
  <si>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</si>
  <si>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</si>
  <si>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</si>
  <si>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</si>
  <si>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</si>
  <si>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</si>
  <si>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</si>
  <si>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</si>
  <si>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</si>
  <si>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</si>
  <si>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</si>
  <si>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</si>
  <si>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</si>
  <si>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</si>
  <si>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</si>
  <si>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</si>
  <si>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</si>
  <si>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</si>
  <si>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</si>
  <si>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</si>
  <si>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</si>
  <si>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</si>
  <si>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</si>
  <si>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</si>
  <si>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</si>
  <si>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</si>
  <si>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</si>
  <si>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</si>
  <si>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</si>
  <si>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</si>
  <si>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</si>
  <si>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</si>
  <si>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</si>
  <si>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</si>
  <si>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</si>
  <si>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</si>
  <si>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</si>
  <si>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</si>
  <si>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</si>
  <si>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</si>
  <si>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</si>
  <si>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</si>
  <si>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</si>
  <si>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</si>
  <si>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</si>
  <si>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</si>
  <si>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</si>
  <si>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</si>
  <si>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</si>
  <si>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</si>
  <si>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</si>
  <si>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</si>
  <si>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</si>
  <si>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</si>
  <si>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</si>
  <si>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</si>
  <si>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</si>
  <si>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</si>
  <si>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</si>
  <si>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</si>
  <si>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</si>
  <si>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</si>
  <si>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</si>
  <si>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</si>
  <si>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</si>
  <si>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</si>
  <si>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</si>
  <si>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</si>
  <si>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</si>
  <si>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</si>
  <si>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</si>
  <si>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</si>
  <si>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</si>
  <si>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</si>
  <si>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</si>
  <si>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</si>
  <si>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</si>
  <si>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</si>
  <si>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</si>
  <si>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</si>
  <si>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</si>
  <si>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</si>
  <si>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</si>
  <si>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</si>
  <si>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</si>
  <si>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</si>
  <si>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</si>
  <si>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</si>
  <si>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</si>
  <si>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</si>
  <si>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</si>
  <si>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</si>
  <si>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</si>
  <si>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</si>
  <si>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</si>
  <si>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</si>
  <si>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</si>
  <si>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</si>
  <si>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</si>
  <si>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</si>
  <si>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</si>
  <si>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</si>
  <si>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</si>
  <si>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</si>
  <si>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</si>
  <si>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</si>
  <si>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</si>
  <si>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</si>
  <si>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</si>
  <si>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</si>
  <si>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</si>
  <si>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</si>
  <si>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</si>
  <si>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</si>
  <si>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</si>
  <si>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</si>
  <si>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</si>
  <si>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</si>
  <si>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</si>
  <si>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</si>
  <si>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</si>
  <si>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</si>
  <si>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</si>
  <si>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</si>
  <si>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</si>
  <si>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</si>
  <si>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</si>
  <si>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</si>
  <si>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</si>
  <si>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</si>
  <si>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</si>
  <si>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</si>
  <si>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</si>
  <si>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</si>
  <si>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</si>
  <si>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</si>
  <si>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</si>
  <si>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</si>
  <si>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</si>
  <si>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</si>
  <si>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</si>
  <si>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</si>
  <si>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</si>
  <si>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</si>
  <si>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</si>
  <si>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</si>
  <si>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</si>
  <si>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</si>
  <si>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</si>
  <si>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</si>
  <si>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</si>
  <si>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</si>
  <si>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</si>
  <si>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</si>
  <si>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</si>
  <si>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</si>
  <si>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</si>
  <si>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</si>
  <si>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</si>
  <si>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</si>
  <si>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</si>
  <si>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</si>
  <si>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</si>
  <si>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</si>
  <si>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</si>
  <si>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</si>
  <si>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</si>
  <si>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</si>
  <si>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</si>
  <si>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</si>
  <si>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</si>
  <si>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</si>
  <si>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</si>
  <si>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</si>
  <si>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</si>
  <si>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</si>
  <si>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</si>
  <si>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</si>
  <si>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</si>
  <si>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</si>
  <si>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</si>
  <si>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</si>
  <si>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</si>
  <si>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</si>
  <si>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</si>
  <si>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</si>
  <si>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</si>
  <si>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</si>
  <si>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</si>
  <si>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</si>
  <si>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</si>
  <si>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</si>
  <si>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</si>
  <si>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</si>
  <si>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</si>
  <si>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</si>
  <si>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</si>
  <si>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</si>
  <si>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</si>
  <si>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</si>
  <si>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</si>
  <si>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</si>
  <si>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</si>
  <si>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</si>
  <si>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</si>
  <si>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</si>
  <si>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</si>
  <si>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</si>
  <si>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</si>
  <si>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</si>
  <si>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</si>
  <si>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</si>
  <si>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</si>
  <si>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</si>
  <si>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</si>
  <si>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</si>
  <si>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</si>
  <si>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</si>
  <si>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</si>
  <si>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</si>
  <si>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</si>
  <si>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</si>
  <si>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</si>
  <si>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</si>
  <si>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</si>
  <si>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</si>
  <si>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</si>
  <si>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</si>
  <si>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</si>
  <si>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</si>
  <si>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</si>
  <si>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</si>
  <si>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</si>
  <si>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</si>
  <si>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</si>
  <si>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</si>
  <si>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</si>
  <si>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</si>
  <si>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</si>
  <si>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</si>
  <si>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</si>
  <si>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</si>
  <si>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</si>
  <si>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</si>
  <si>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</si>
  <si>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</si>
  <si>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</si>
  <si>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</si>
  <si>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</si>
  <si>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</si>
  <si>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</si>
  <si>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</si>
  <si>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</si>
  <si>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</si>
  <si>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</si>
  <si>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</si>
  <si>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</si>
  <si>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</si>
  <si>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</si>
  <si>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</si>
  <si>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</si>
  <si>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</si>
  <si>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</si>
  <si>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</si>
  <si>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</si>
  <si>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</si>
  <si>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</si>
  <si>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</si>
  <si>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</si>
  <si>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</si>
  <si>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</si>
  <si>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</si>
  <si>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</si>
  <si>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</si>
  <si>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</si>
  <si>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</si>
  <si>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</si>
  <si>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</si>
  <si>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</si>
  <si>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</si>
  <si>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</si>
  <si>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</si>
  <si>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</si>
  <si>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</si>
  <si>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</si>
  <si>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</si>
  <si>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</si>
  <si>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</si>
  <si>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</si>
  <si>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</si>
  <si>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</si>
  <si>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</si>
  <si>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</si>
  <si>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</si>
  <si>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</si>
  <si>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</si>
  <si>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</si>
  <si>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</si>
  <si>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</si>
  <si>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</si>
  <si>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</si>
  <si>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</si>
  <si>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</si>
  <si>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</si>
  <si>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</si>
  <si>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</si>
  <si>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</si>
  <si>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</si>
  <si>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</si>
  <si>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</si>
  <si>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</si>
  <si>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</si>
  <si>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</si>
  <si>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</si>
  <si>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</si>
  <si>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</si>
  <si>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</si>
  <si>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</si>
  <si>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</si>
  <si>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</si>
  <si>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</si>
  <si>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</si>
  <si>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</si>
  <si>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</si>
  <si>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</si>
  <si>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</si>
  <si>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</si>
  <si>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</si>
  <si>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</si>
  <si>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</si>
  <si>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</si>
  <si>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</si>
  <si>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</si>
  <si>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</si>
  <si>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</si>
  <si>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</si>
  <si>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</si>
  <si>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</si>
  <si>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</si>
  <si>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</si>
  <si>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</si>
  <si>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</si>
  <si>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</si>
  <si>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</si>
  <si>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</si>
  <si>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</si>
  <si>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</si>
  <si>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</si>
  <si>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</si>
  <si>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</si>
  <si>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</si>
  <si>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</si>
  <si>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</si>
  <si>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</si>
  <si>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</si>
  <si>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</si>
  <si>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</si>
  <si>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</si>
  <si>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</si>
  <si>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</si>
  <si>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</si>
  <si>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</si>
  <si>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</si>
  <si>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</si>
  <si>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</si>
  <si>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</si>
  <si>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</si>
  <si>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</si>
  <si>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</si>
  <si>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</si>
  <si>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</si>
  <si>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</si>
  <si>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</si>
  <si>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</si>
  <si>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</si>
  <si>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</si>
  <si>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</si>
  <si>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</si>
  <si>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</si>
  <si>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</si>
  <si>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</si>
  <si>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</si>
  <si>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</si>
  <si>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</si>
  <si>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</si>
  <si>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</si>
  <si>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</si>
  <si>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</si>
  <si>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</si>
  <si>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</si>
  <si>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</si>
  <si>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</si>
  <si>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</si>
  <si>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</si>
  <si>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</si>
  <si>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</si>
  <si>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</si>
  <si>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</si>
  <si>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</si>
  <si>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</si>
  <si>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</si>
  <si>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</si>
  <si>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</si>
  <si>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</si>
  <si>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</si>
  <si>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</si>
  <si>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</si>
  <si>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</si>
  <si>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</si>
  <si>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</si>
  <si>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</si>
  <si>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</si>
  <si>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</si>
  <si>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</si>
  <si>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</si>
  <si>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</si>
  <si>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</si>
  <si>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</si>
  <si>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</si>
  <si>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</si>
  <si>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</si>
  <si>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</si>
  <si>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</si>
  <si>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</si>
  <si>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</si>
  <si>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</si>
  <si>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</si>
  <si>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</si>
  <si>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</si>
  <si>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</si>
  <si>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</si>
  <si>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</si>
  <si>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</si>
  <si>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</si>
  <si>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</si>
  <si>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</si>
  <si>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</si>
  <si>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</si>
  <si>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</si>
  <si>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</si>
  <si>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</si>
  <si>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</si>
  <si>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</si>
  <si>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</si>
  <si>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</si>
  <si>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</si>
  <si>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</si>
  <si>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</si>
  <si>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</si>
  <si>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</si>
  <si>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</si>
  <si>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</si>
  <si>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</si>
  <si>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</si>
  <si>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</si>
  <si>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</si>
  <si>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</si>
  <si>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</si>
  <si>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</si>
  <si>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</si>
  <si>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</si>
  <si>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</si>
  <si>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</si>
  <si>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</si>
  <si>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</si>
  <si>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</si>
  <si>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</si>
  <si>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</si>
  <si>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</si>
  <si>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</si>
  <si>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</si>
  <si>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</si>
  <si>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</si>
  <si>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</si>
  <si>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</si>
  <si>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</si>
  <si>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</si>
  <si>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</si>
  <si>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</si>
  <si>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</si>
  <si>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</si>
  <si>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</si>
  <si>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</si>
  <si>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</si>
  <si>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</si>
  <si>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</si>
  <si>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</si>
  <si>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</si>
  <si>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</si>
  <si>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</si>
  <si>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</si>
  <si>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</si>
  <si>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</si>
  <si>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</si>
  <si>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</si>
  <si>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</si>
  <si>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</si>
  <si>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</si>
  <si>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</si>
  <si>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</si>
  <si>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</si>
  <si>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</si>
  <si>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</si>
  <si>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</si>
  <si>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</si>
  <si>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</si>
  <si>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</si>
  <si>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</si>
  <si>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</si>
  <si>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</si>
  <si>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</si>
  <si>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</si>
  <si>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</si>
  <si>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</si>
  <si>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</si>
  <si>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</si>
  <si>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</si>
  <si>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</si>
  <si>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</si>
  <si>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</si>
  <si>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</si>
  <si>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</si>
  <si>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</si>
  <si>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</si>
  <si>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</si>
  <si>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</si>
  <si>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</si>
  <si>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</si>
  <si>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</si>
  <si>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</si>
  <si>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</si>
  <si>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</si>
  <si>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</si>
  <si>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</si>
  <si>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</si>
  <si>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</si>
  <si>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</si>
  <si>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</si>
  <si>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</si>
  <si>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</si>
  <si>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</si>
  <si>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</si>
  <si>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</si>
  <si>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</si>
  <si>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</si>
  <si>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</si>
  <si>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</si>
  <si>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</si>
  <si>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</si>
  <si>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</si>
  <si>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</si>
  <si>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</si>
  <si>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</si>
  <si>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</si>
  <si>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</si>
  <si>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</si>
  <si>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</si>
  <si>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</si>
  <si>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</si>
  <si>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</si>
  <si>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</si>
  <si>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</si>
  <si>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</si>
  <si>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</si>
  <si>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</si>
  <si>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</si>
  <si>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</si>
  <si>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</si>
  <si>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</si>
  <si>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</si>
  <si>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</si>
  <si>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</si>
  <si>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</si>
  <si>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</si>
  <si>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</si>
  <si>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</si>
  <si>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</si>
  <si>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</si>
  <si>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</si>
  <si>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</si>
  <si>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</si>
  <si>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</si>
  <si>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</si>
  <si>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</si>
  <si>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</si>
  <si>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</si>
  <si>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</si>
  <si>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</si>
  <si>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</si>
  <si>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</si>
  <si>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</si>
  <si>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</si>
  <si>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</si>
  <si>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</si>
  <si>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</si>
  <si>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</si>
  <si>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</si>
  <si>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</si>
  <si>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</si>
  <si>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</si>
  <si>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</si>
  <si>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</si>
  <si>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</si>
  <si>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</si>
  <si>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</si>
  <si>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</si>
  <si>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</si>
  <si>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</si>
  <si>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</si>
  <si>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</si>
  <si>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</si>
  <si>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</si>
  <si>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</si>
  <si>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</si>
  <si>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</si>
  <si>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</si>
  <si>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</si>
  <si>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</si>
  <si>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</si>
  <si>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</si>
  <si>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</si>
  <si>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</si>
  <si>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</si>
  <si>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</si>
  <si>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</si>
  <si>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</si>
  <si>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</si>
  <si>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</si>
  <si>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</si>
  <si>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</si>
  <si>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</si>
  <si>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</si>
  <si>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</si>
  <si>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</si>
  <si>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</si>
  <si>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</si>
  <si>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</si>
  <si>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</si>
  <si>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</si>
  <si>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</si>
  <si>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</si>
  <si>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</si>
  <si>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</si>
  <si>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</si>
  <si>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</si>
  <si>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</si>
  <si>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</si>
  <si>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</si>
  <si>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</si>
  <si>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</si>
  <si>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</si>
  <si>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</si>
  <si>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</si>
  <si>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</si>
  <si>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</si>
  <si>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</si>
  <si>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</si>
  <si>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</si>
  <si>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</si>
  <si>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</si>
  <si>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</si>
  <si>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</si>
  <si>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</si>
  <si>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</si>
  <si>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</si>
  <si>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</si>
  <si>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</si>
  <si>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</si>
  <si>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</si>
  <si>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</si>
  <si>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</si>
  <si>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</si>
  <si>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</si>
  <si>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</si>
  <si>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</si>
  <si>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</si>
  <si>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</si>
  <si>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</si>
  <si>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</si>
  <si>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</si>
  <si>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</si>
  <si>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</si>
  <si>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</si>
  <si>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</si>
  <si>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</si>
  <si>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</si>
  <si>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</si>
  <si>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</si>
  <si>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</si>
  <si>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</si>
  <si>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</si>
  <si>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</si>
  <si>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</si>
  <si>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</si>
  <si>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</si>
  <si>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</si>
  <si>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</si>
  <si>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</si>
  <si>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</si>
  <si>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</si>
  <si>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</si>
  <si>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</si>
  <si>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</si>
  <si>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</si>
  <si>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</si>
  <si>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</si>
  <si>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</si>
  <si>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</si>
  <si>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</si>
  <si>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</si>
  <si>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</si>
  <si>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</si>
  <si>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</si>
  <si>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</si>
  <si>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</si>
  <si>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</si>
  <si>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</si>
  <si>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</si>
  <si>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</si>
  <si>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</si>
  <si>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</si>
  <si>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</si>
  <si>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</si>
  <si>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</si>
  <si>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</si>
  <si>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</si>
  <si>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</si>
  <si>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</si>
  <si>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</si>
  <si>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</si>
  <si>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</si>
  <si>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</si>
  <si>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</si>
  <si>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</si>
  <si>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</si>
  <si>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</si>
  <si>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</si>
  <si>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</si>
  <si>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</si>
  <si>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</si>
  <si>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</si>
  <si>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</si>
  <si>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</si>
  <si>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</si>
  <si>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</si>
  <si>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</si>
  <si>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</si>
  <si>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</si>
  <si>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</si>
  <si>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</si>
  <si>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</si>
  <si>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</si>
  <si>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</si>
  <si>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</si>
  <si>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</si>
  <si>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</si>
  <si>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</si>
  <si>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</si>
  <si>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</si>
  <si>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</si>
  <si>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</si>
  <si>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</si>
  <si>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</si>
  <si>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</si>
  <si>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</si>
  <si>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</si>
  <si>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</si>
  <si>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</si>
  <si>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</si>
  <si>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</si>
  <si>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</si>
  <si>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</si>
  <si>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</si>
  <si>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</si>
  <si>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</si>
  <si>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</si>
  <si>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</si>
  <si>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</si>
  <si>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</si>
  <si>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</si>
  <si>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</si>
  <si>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</si>
  <si>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</si>
  <si>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</si>
  <si>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</si>
  <si>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</si>
  <si>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</si>
  <si>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</si>
  <si>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</si>
  <si>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</si>
  <si>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</si>
  <si>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</si>
  <si>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</si>
  <si>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</si>
  <si>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</si>
  <si>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</si>
  <si>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</si>
  <si>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</si>
  <si>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</si>
  <si>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</si>
  <si>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</si>
  <si>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</si>
  <si>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</si>
  <si>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</si>
  <si>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</si>
  <si>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</si>
  <si>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</si>
  <si>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</si>
  <si>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</si>
  <si>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</si>
  <si>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</si>
  <si>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</si>
  <si>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</si>
  <si>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</si>
  <si>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</si>
  <si>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</si>
  <si>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</si>
  <si>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</si>
  <si>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</si>
  <si>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</si>
  <si>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</si>
  <si>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</si>
  <si>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</si>
  <si>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</si>
  <si>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</si>
  <si>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</si>
  <si>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</si>
  <si>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</si>
  <si>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</si>
  <si>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</si>
  <si>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</si>
  <si>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</si>
  <si>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</si>
  <si>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</si>
  <si>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</si>
  <si>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</si>
  <si>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</si>
  <si>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</si>
  <si>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</si>
  <si>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</si>
  <si>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</si>
  <si>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</si>
  <si>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</si>
  <si>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</si>
  <si>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</si>
  <si>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</si>
  <si>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</si>
  <si>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</si>
  <si>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</si>
  <si>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</si>
  <si>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</si>
  <si>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</si>
  <si>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</si>
  <si>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</si>
  <si>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</si>
  <si>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</si>
  <si>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</si>
  <si>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</si>
  <si>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</si>
  <si>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</si>
  <si>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</si>
  <si>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</si>
  <si>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</si>
  <si>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</si>
  <si>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</si>
  <si>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</si>
  <si>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</si>
  <si>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</si>
  <si>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</si>
  <si>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</si>
  <si>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</si>
  <si>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</si>
  <si>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</si>
  <si>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</si>
  <si>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</si>
  <si>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</si>
  <si>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</si>
  <si>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</si>
  <si>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</si>
  <si>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</si>
  <si>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</si>
  <si>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</si>
  <si>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</si>
  <si>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</si>
  <si>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</si>
  <si>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</si>
  <si>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</si>
  <si>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</si>
  <si>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</si>
  <si>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</si>
  <si>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</si>
  <si>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</si>
  <si>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</si>
  <si>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</si>
  <si>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</si>
  <si>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</si>
  <si>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</si>
  <si>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</si>
  <si>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</si>
  <si>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</si>
  <si>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</si>
  <si>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</si>
  <si>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</si>
  <si>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</si>
  <si>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</si>
  <si>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</si>
  <si>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</si>
  <si>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</si>
  <si>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</si>
  <si>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</si>
  <si>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</si>
  <si>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</si>
  <si>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</si>
  <si>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</si>
  <si>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</si>
  <si>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</si>
  <si>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</si>
  <si>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</si>
  <si>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</si>
  <si>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</si>
  <si>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</si>
  <si>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</si>
  <si>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</si>
  <si>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</si>
  <si>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</si>
  <si>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</si>
  <si>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</si>
  <si>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</si>
  <si>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</si>
  <si>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</si>
  <si>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</si>
  <si>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</si>
  <si>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</si>
  <si>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</si>
  <si>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</si>
  <si>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</si>
  <si>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</si>
  <si>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</si>
  <si>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</si>
  <si>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</si>
  <si>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</si>
  <si>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</si>
  <si>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</si>
  <si>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</si>
  <si>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</si>
  <si>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</si>
  <si>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</si>
  <si>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</si>
  <si>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</si>
  <si>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</si>
  <si>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</si>
  <si>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</si>
  <si>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</si>
  <si>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</si>
  <si>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</si>
  <si>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</si>
  <si>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</si>
  <si>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</si>
  <si>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</si>
  <si>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</si>
  <si>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</si>
  <si>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</si>
  <si>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</si>
  <si>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</si>
  <si>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</si>
  <si>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</si>
  <si>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</si>
  <si>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</si>
  <si>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</si>
  <si>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</si>
  <si>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</si>
  <si>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</si>
  <si>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</si>
  <si>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</si>
  <si>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</si>
  <si>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</si>
  <si>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</si>
  <si>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</si>
  <si>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</si>
  <si>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</si>
  <si>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</si>
  <si>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</si>
  <si>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</si>
  <si>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</si>
  <si>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</si>
  <si>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</si>
  <si>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</si>
  <si>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</si>
  <si>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</si>
  <si>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</si>
  <si>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</si>
  <si>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</si>
  <si>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</si>
  <si>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</si>
  <si>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</si>
  <si>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</si>
  <si>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</si>
  <si>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</si>
  <si>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</si>
  <si>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</si>
  <si>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</si>
  <si>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</si>
  <si>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</si>
  <si>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</si>
  <si>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</si>
  <si>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</si>
  <si>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</si>
  <si>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</si>
  <si>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</si>
  <si>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</si>
  <si>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</si>
  <si>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</si>
  <si>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</si>
  <si>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</si>
  <si>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</si>
  <si>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</si>
  <si>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</si>
  <si>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</si>
  <si>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</si>
  <si>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</si>
  <si>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</si>
  <si>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</si>
  <si>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</si>
  <si>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</si>
  <si>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</si>
  <si>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</si>
  <si>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</si>
  <si>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</si>
  <si>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</si>
  <si>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</si>
  <si>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</si>
  <si>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</si>
  <si>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</si>
  <si>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</si>
  <si>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</si>
  <si>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</si>
  <si>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</si>
  <si>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</si>
  <si>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</si>
  <si>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</si>
  <si>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</si>
  <si>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</si>
  <si>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</si>
  <si>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</si>
  <si>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</si>
  <si>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</si>
  <si>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</si>
  <si>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</si>
  <si>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</si>
  <si>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</si>
  <si>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</si>
  <si>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</si>
  <si>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</si>
  <si>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</si>
  <si>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</si>
  <si>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</si>
  <si>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</si>
  <si>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</si>
  <si>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</si>
  <si>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</si>
  <si>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</si>
  <si>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</si>
  <si>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</si>
  <si>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</si>
  <si>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</si>
  <si>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</si>
  <si>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</si>
  <si>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</si>
  <si>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</si>
  <si>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</si>
  <si>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</si>
  <si>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</si>
  <si>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</si>
  <si>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</si>
  <si>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</si>
  <si>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</si>
  <si>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</si>
  <si>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</si>
  <si>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</si>
  <si>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</si>
  <si>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</si>
  <si>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</si>
  <si>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</si>
  <si>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</si>
  <si>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</si>
  <si>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</si>
  <si>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</si>
  <si>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</si>
  <si>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</si>
  <si>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</si>
  <si>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</si>
  <si>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</si>
  <si>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</si>
  <si>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</si>
  <si>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</si>
  <si>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</si>
  <si>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</si>
  <si>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</si>
  <si>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</si>
  <si>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</si>
  <si>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</si>
  <si>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</si>
  <si>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</si>
  <si>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</si>
  <si>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</si>
  <si>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</si>
  <si>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</si>
  <si>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</si>
  <si>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</si>
  <si>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</si>
  <si>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</si>
  <si>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</si>
  <si>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</si>
  <si>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</si>
  <si>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</si>
  <si>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</si>
  <si>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</si>
  <si>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</si>
  <si>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</si>
  <si>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</si>
  <si>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</si>
  <si>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</si>
  <si>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</si>
  <si>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</si>
  <si>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</si>
  <si>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</si>
  <si>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</si>
  <si>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</si>
  <si>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</si>
  <si>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</si>
  <si>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</si>
  <si>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</si>
  <si>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</si>
  <si>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</si>
  <si>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</si>
  <si>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</si>
  <si>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</si>
  <si>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</si>
  <si>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</si>
  <si>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</si>
  <si>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</si>
  <si>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</si>
  <si>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</si>
  <si>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</si>
  <si>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</si>
  <si>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</si>
  <si>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</si>
  <si>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</si>
  <si>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</si>
  <si>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</si>
  <si>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</si>
  <si>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</si>
  <si>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</si>
  <si>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</si>
  <si>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</si>
  <si>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</si>
  <si>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</si>
  <si>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</si>
  <si>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</si>
  <si>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</si>
  <si>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</si>
  <si>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</si>
  <si>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</si>
  <si>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</si>
  <si>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</si>
  <si>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</si>
  <si>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</si>
  <si>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</si>
  <si>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</si>
  <si>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</si>
  <si>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</si>
  <si>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</si>
  <si>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</si>
  <si>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</si>
  <si>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</si>
  <si>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</si>
  <si>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</si>
  <si>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</si>
  <si>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</si>
  <si>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</si>
  <si>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</si>
  <si>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</si>
  <si>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</si>
  <si>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</si>
  <si>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</si>
  <si>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</si>
  <si>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</si>
  <si>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</si>
  <si>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</si>
  <si>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</si>
  <si>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</si>
  <si>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</si>
  <si>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</si>
  <si>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</si>
  <si>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</si>
  <si>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</si>
  <si>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</si>
  <si>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</si>
  <si>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</si>
  <si>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</si>
  <si>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</si>
  <si>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</si>
  <si>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</si>
  <si>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</si>
  <si>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</si>
  <si>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</si>
  <si>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</si>
  <si>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</si>
  <si>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</si>
  <si>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</si>
  <si>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</si>
  <si>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</si>
  <si>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</si>
  <si>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</si>
  <si>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</si>
  <si>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</si>
  <si>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</si>
  <si>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</si>
  <si>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</si>
  <si>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</si>
  <si>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</si>
  <si>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</si>
  <si>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</si>
  <si>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</si>
  <si>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</si>
  <si>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</si>
  <si>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</si>
  <si>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</si>
  <si>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</si>
  <si>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</si>
  <si>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</si>
  <si>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</si>
  <si>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</si>
  <si>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</si>
  <si>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</si>
  <si>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</si>
  <si>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</si>
  <si>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</si>
  <si>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</si>
  <si>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</si>
  <si>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</si>
  <si>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</si>
  <si>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</si>
  <si>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</si>
  <si>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</si>
  <si>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</si>
  <si>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</si>
  <si>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</si>
  <si>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</si>
  <si>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</si>
  <si>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</si>
  <si>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</si>
  <si>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</si>
  <si>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</si>
  <si>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</si>
  <si>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</si>
  <si>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</si>
  <si>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</si>
  <si>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</si>
  <si>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</si>
  <si>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</si>
  <si>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</si>
  <si>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</si>
  <si>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</si>
  <si>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</si>
  <si>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</si>
  <si>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</si>
  <si>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</si>
  <si>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</si>
  <si>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</si>
  <si>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</si>
  <si>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</si>
  <si>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</si>
  <si>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</si>
  <si>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</si>
  <si>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</si>
  <si>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</si>
  <si>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</si>
  <si>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</si>
  <si>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</si>
  <si>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</si>
  <si>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</si>
  <si>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</si>
  <si>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</si>
  <si>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</si>
  <si>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</si>
  <si>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</si>
  <si>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</si>
  <si>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</si>
  <si>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</si>
  <si>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</si>
  <si>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</si>
  <si>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</si>
  <si>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</si>
  <si>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</si>
  <si>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</si>
  <si>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</si>
  <si>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</si>
  <si>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</si>
  <si>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</si>
  <si>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</si>
  <si>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</si>
  <si>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</si>
  <si>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</si>
  <si>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</si>
  <si>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</si>
  <si>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</si>
  <si>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</si>
  <si>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</si>
  <si>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</si>
  <si>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</si>
  <si>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</si>
  <si>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</si>
  <si>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</si>
  <si>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</si>
  <si>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</si>
  <si>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</si>
  <si>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</si>
  <si>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</si>
  <si>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</si>
  <si>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</si>
  <si>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</si>
  <si>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</si>
  <si>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</si>
  <si>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</si>
  <si>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</si>
  <si>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</si>
  <si>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</si>
  <si>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</si>
  <si>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</si>
  <si>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</si>
  <si>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</si>
  <si>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</si>
  <si>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</si>
  <si>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</si>
  <si>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</si>
  <si>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</si>
  <si>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</si>
  <si>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</si>
  <si>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</si>
  <si>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</si>
  <si>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</si>
  <si>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</si>
  <si>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</si>
  <si>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</si>
  <si>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</si>
  <si>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</si>
  <si>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</si>
  <si>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</si>
  <si>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</si>
  <si>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</si>
  <si>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</si>
  <si>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</si>
  <si>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</si>
  <si>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</si>
  <si>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</si>
  <si>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</si>
  <si>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</si>
  <si>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</si>
  <si>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</si>
  <si>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</si>
  <si>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</si>
  <si>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</si>
  <si>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</si>
  <si>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</si>
  <si>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</si>
  <si>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</si>
  <si>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</si>
  <si>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</si>
  <si>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</si>
  <si>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</si>
  <si>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</si>
  <si>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</si>
  <si>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</si>
  <si>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</si>
  <si>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</si>
  <si>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</si>
  <si>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</si>
  <si>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</si>
  <si>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</si>
  <si>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</si>
  <si>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</si>
  <si>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</si>
  <si>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</si>
  <si>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</si>
  <si>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</si>
  <si>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</si>
  <si>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</si>
  <si>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</si>
  <si>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</si>
  <si>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</si>
  <si>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</si>
  <si>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</si>
  <si>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</si>
  <si>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</si>
  <si>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</si>
  <si>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</si>
  <si>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</si>
  <si>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</si>
  <si>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</si>
  <si>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</si>
  <si>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</si>
  <si>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</si>
  <si>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</si>
  <si>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</si>
  <si>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</si>
  <si>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</si>
  <si>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</si>
  <si>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</si>
  <si>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</si>
  <si>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</si>
  <si>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</si>
  <si>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</si>
  <si>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</si>
  <si>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</si>
  <si>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</si>
  <si>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</si>
  <si>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</si>
  <si>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</si>
  <si>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</si>
  <si>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</si>
  <si>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</si>
  <si>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</si>
  <si>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</si>
  <si>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</si>
  <si>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</si>
  <si>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</si>
  <si>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</si>
  <si>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</si>
  <si>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</si>
  <si>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</si>
  <si>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</si>
  <si>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</si>
  <si>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</si>
  <si>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</si>
  <si>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</si>
  <si>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</si>
  <si>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</si>
  <si>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</si>
  <si>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</si>
  <si>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</si>
  <si>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</si>
  <si>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</si>
  <si>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</si>
  <si>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</si>
  <si>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</si>
  <si>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</si>
  <si>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</si>
  <si>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</si>
  <si>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</si>
  <si>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</si>
  <si>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</si>
  <si>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</si>
  <si>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</si>
  <si>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</si>
  <si>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</si>
  <si>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</si>
  <si>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</si>
  <si>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</si>
  <si>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</si>
  <si>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</si>
  <si>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</si>
  <si>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</si>
  <si>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</si>
  <si>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</si>
  <si>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</si>
  <si>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</si>
  <si>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</si>
  <si>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</si>
  <si>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</si>
  <si>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</si>
  <si>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</si>
  <si>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</si>
  <si>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</si>
  <si>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</si>
  <si>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</si>
  <si>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</si>
  <si>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</si>
  <si>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</si>
  <si>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</si>
  <si>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</si>
  <si>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</si>
  <si>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</si>
  <si>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</si>
  <si>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</si>
  <si>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</si>
  <si>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</si>
  <si>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</si>
  <si>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</si>
  <si>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</si>
  <si>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</si>
  <si>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</si>
  <si>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</si>
  <si>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</si>
  <si>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</si>
  <si>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</si>
  <si>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</si>
  <si>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</si>
  <si>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</si>
  <si>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</si>
  <si>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</si>
  <si>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</si>
  <si>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</si>
  <si>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</si>
  <si>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</si>
  <si>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</si>
  <si>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</si>
  <si>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</si>
  <si>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</si>
  <si>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</si>
  <si>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</si>
  <si>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</si>
  <si>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</si>
  <si>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</si>
  <si>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</si>
  <si>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</si>
  <si>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</si>
  <si>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</si>
  <si>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</si>
  <si>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</si>
  <si>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</si>
  <si>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</si>
  <si>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</si>
  <si>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</si>
  <si>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</si>
  <si>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</si>
  <si>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</si>
  <si>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</si>
  <si>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</si>
  <si>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</si>
  <si>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</si>
  <si>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</si>
  <si>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</si>
  <si>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</si>
  <si>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</si>
  <si>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</si>
  <si>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</si>
  <si>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</si>
  <si>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</si>
  <si>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</si>
  <si>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</si>
  <si>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</si>
  <si>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</si>
  <si>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</si>
  <si>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</si>
  <si>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</si>
  <si>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</si>
  <si>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</si>
  <si>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</si>
  <si>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</si>
  <si>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</si>
  <si>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</si>
  <si>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</si>
  <si>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</si>
  <si>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</si>
  <si>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</si>
  <si>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</si>
  <si>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</si>
  <si>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</si>
  <si>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</si>
  <si>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</si>
  <si>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</si>
  <si>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</si>
  <si>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</si>
  <si>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</si>
  <si>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</si>
  <si>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</si>
  <si>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</si>
  <si>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</si>
  <si>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</si>
  <si>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</si>
  <si>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</si>
  <si>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</si>
  <si>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</si>
  <si>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</si>
  <si>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</si>
  <si>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</si>
  <si>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</si>
  <si>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</si>
  <si>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</si>
  <si>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</si>
  <si>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</si>
  <si>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</si>
  <si>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</si>
  <si>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</si>
  <si>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</si>
  <si>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</si>
  <si>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</si>
  <si>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</si>
  <si>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</si>
  <si>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</si>
  <si>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</si>
  <si>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</si>
  <si>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</si>
  <si>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</si>
  <si>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</si>
  <si>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</si>
  <si>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</si>
  <si>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</si>
  <si>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</si>
  <si>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</si>
  <si>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</si>
  <si>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</si>
  <si>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</si>
  <si>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</si>
  <si>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</si>
  <si>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</si>
  <si>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</si>
  <si>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</si>
  <si>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</si>
  <si>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</si>
  <si>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</si>
  <si>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</si>
  <si>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</si>
  <si>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</si>
  <si>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</si>
  <si>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</si>
  <si>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</si>
  <si>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</si>
  <si>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</si>
  <si>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</si>
  <si>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</si>
  <si>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</si>
  <si>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</si>
  <si>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</si>
  <si>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</si>
  <si>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</si>
  <si>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</si>
  <si>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</si>
  <si>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</si>
  <si>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</si>
  <si>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</si>
  <si>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</si>
  <si>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</si>
  <si>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</si>
  <si>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</si>
  <si>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</si>
  <si>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</si>
  <si>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</si>
  <si>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</si>
  <si>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</si>
  <si>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</si>
  <si>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</si>
  <si>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</si>
  <si>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</si>
  <si>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</si>
  <si>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</si>
  <si>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</si>
  <si>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</si>
  <si>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</si>
  <si>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</si>
  <si>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</si>
  <si>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</si>
  <si>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</si>
  <si>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</si>
  <si>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</si>
  <si>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</si>
  <si>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</si>
  <si>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</si>
  <si>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</si>
  <si>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</si>
  <si>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</si>
  <si>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</si>
  <si>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</si>
  <si>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</si>
  <si>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</si>
  <si>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</si>
  <si>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</si>
  <si>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</si>
  <si>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</si>
  <si>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</si>
  <si>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</si>
  <si>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</si>
  <si>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</si>
  <si>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</si>
  <si>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</si>
  <si>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</si>
  <si>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</si>
  <si>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</si>
  <si>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</si>
  <si>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</si>
  <si>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</si>
  <si>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</si>
  <si>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</si>
  <si>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</si>
  <si>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</si>
  <si>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</si>
  <si>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</si>
  <si>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</si>
  <si>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</si>
  <si>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</si>
  <si>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</si>
  <si>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</si>
  <si>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</si>
  <si>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</si>
  <si>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</si>
  <si>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</si>
  <si>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</si>
  <si>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</si>
  <si>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</si>
  <si>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</si>
  <si>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</si>
  <si>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</si>
  <si>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</si>
  <si>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</si>
  <si>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</si>
  <si>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</si>
  <si>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</si>
  <si>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</si>
  <si>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</si>
  <si>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</si>
  <si>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</si>
  <si>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</si>
  <si>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</si>
  <si>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</si>
  <si>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</si>
  <si>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</si>
  <si>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</si>
  <si>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</si>
  <si>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</si>
  <si>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</si>
  <si>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</si>
  <si>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</si>
  <si>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</si>
  <si>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</si>
  <si>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</si>
  <si>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</si>
  <si>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</si>
  <si>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</si>
  <si>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</si>
  <si>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</si>
  <si>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</si>
  <si>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</si>
  <si>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</si>
  <si>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</si>
  <si>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</si>
  <si>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</si>
  <si>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</si>
  <si>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</si>
  <si>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</si>
  <si>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</si>
  <si>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</si>
  <si>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</si>
  <si>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</si>
  <si>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</si>
  <si>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</si>
  <si>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</si>
  <si>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</si>
  <si>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</si>
  <si>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</si>
  <si>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</si>
  <si>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</si>
  <si>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</si>
  <si>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</si>
  <si>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</si>
  <si>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</si>
  <si>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</si>
  <si>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</si>
  <si>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</si>
  <si>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</si>
  <si>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</si>
  <si>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</si>
  <si>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</si>
  <si>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</si>
  <si>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</si>
  <si>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</si>
  <si>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</si>
  <si>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</si>
  <si>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</si>
  <si>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</si>
  <si>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</si>
  <si>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</si>
  <si>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</si>
  <si>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</si>
  <si>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</si>
  <si>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</si>
  <si>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</si>
  <si>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</si>
  <si>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</si>
  <si>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</si>
  <si>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</si>
  <si>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</si>
  <si>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</si>
  <si>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</si>
  <si>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</si>
  <si>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</si>
  <si>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</si>
  <si>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</si>
  <si>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</si>
  <si>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</si>
  <si>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</si>
  <si>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</si>
  <si>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</si>
  <si>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</si>
  <si>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</si>
  <si>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</si>
  <si>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</si>
  <si>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</si>
  <si>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</si>
  <si>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</si>
  <si>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</si>
  <si>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</si>
  <si>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</si>
  <si>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</si>
  <si>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</si>
  <si>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</si>
  <si>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</si>
  <si>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</si>
  <si>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</si>
  <si>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</si>
  <si>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</si>
  <si>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</si>
  <si>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</si>
  <si>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</si>
  <si>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</si>
  <si>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</si>
  <si>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</si>
  <si>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</si>
  <si>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</si>
  <si>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</si>
  <si>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</si>
  <si>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</si>
  <si>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</si>
  <si>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</si>
  <si>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</si>
  <si>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</si>
  <si>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</si>
  <si>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</si>
  <si>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</si>
  <si>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</si>
  <si>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</si>
  <si>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</si>
  <si>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</si>
  <si>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</si>
  <si>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</si>
  <si>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</si>
  <si>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</si>
  <si>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</si>
  <si>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</si>
  <si>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</si>
  <si>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</si>
  <si>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</si>
  <si>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</si>
  <si>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</si>
  <si>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</si>
  <si>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</si>
  <si>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</si>
  <si>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</si>
  <si>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</si>
  <si>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</si>
  <si>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</si>
  <si>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</si>
  <si>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</si>
  <si>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</si>
  <si>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</si>
  <si>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</si>
  <si>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</si>
  <si>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</si>
  <si>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</si>
  <si>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</si>
  <si>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</si>
  <si>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</si>
  <si>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</si>
  <si>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</si>
  <si>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</si>
  <si>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</si>
  <si>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</si>
  <si>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</si>
  <si>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</si>
  <si>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</si>
  <si>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</si>
  <si>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</si>
  <si>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</si>
  <si>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</si>
  <si>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</si>
  <si>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</si>
  <si>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</si>
  <si>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</si>
  <si>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</si>
  <si>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</si>
  <si>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</si>
  <si>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</si>
  <si>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</si>
  <si>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</si>
  <si>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</si>
  <si>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</si>
  <si>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</si>
  <si>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</si>
  <si>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</si>
  <si>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</si>
  <si>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</si>
  <si>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</si>
  <si>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</si>
  <si>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</si>
  <si>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</si>
  <si>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</si>
  <si>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</si>
  <si>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</si>
  <si>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</si>
  <si>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</si>
  <si>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</si>
  <si>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</si>
  <si>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</si>
  <si>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</si>
  <si>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</si>
  <si>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</si>
  <si>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</si>
  <si>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</si>
  <si>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</si>
  <si>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</si>
  <si>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</si>
  <si>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</si>
  <si>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</si>
  <si>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</si>
  <si>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</si>
  <si>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</si>
  <si>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</si>
  <si>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</si>
  <si>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</si>
  <si>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</si>
  <si>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</si>
  <si>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</si>
  <si>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</si>
  <si>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</si>
  <si>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</si>
  <si>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</si>
  <si>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</si>
  <si>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</si>
  <si>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</si>
  <si>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</si>
  <si>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</si>
  <si>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</si>
  <si>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</si>
  <si>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</si>
  <si>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</si>
  <si>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</si>
  <si>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</si>
  <si>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</si>
  <si>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</si>
  <si>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</si>
  <si>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</si>
  <si>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</si>
  <si>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</si>
  <si>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</si>
  <si>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</si>
  <si>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</si>
  <si>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</si>
  <si>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</si>
  <si>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</si>
  <si>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</si>
  <si>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</si>
  <si>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</si>
  <si>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</si>
  <si>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</si>
  <si>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</si>
  <si>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</si>
  <si>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</si>
  <si>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</si>
  <si>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</si>
  <si>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</si>
  <si>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</si>
  <si>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</si>
  <si>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</si>
  <si>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</si>
  <si>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</si>
  <si>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</si>
  <si>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</si>
  <si>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</si>
  <si>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</si>
  <si>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</si>
  <si>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</si>
  <si>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</si>
  <si>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</si>
  <si>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</si>
  <si>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</si>
  <si>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</si>
  <si>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</si>
  <si>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</si>
  <si>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</si>
  <si>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</si>
  <si>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</si>
  <si>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</si>
  <si>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</si>
  <si>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</si>
  <si>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</si>
  <si>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</si>
  <si>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</si>
  <si>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</si>
  <si>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</si>
  <si>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</si>
  <si>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</si>
  <si>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</si>
  <si>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</si>
  <si>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</si>
  <si>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</si>
  <si>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</si>
  <si>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</si>
  <si>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</si>
  <si>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</si>
  <si>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</si>
  <si>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</si>
  <si>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</si>
  <si>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</si>
  <si>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</si>
  <si>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</si>
  <si>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</si>
  <si>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</si>
  <si>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</si>
  <si>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</si>
  <si>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</si>
  <si>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</si>
  <si>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</si>
  <si>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</si>
  <si>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</si>
  <si>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</si>
  <si>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</si>
  <si>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</si>
  <si>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</si>
  <si>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</si>
  <si>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</si>
  <si>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</si>
  <si>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</si>
  <si>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</si>
  <si>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</si>
  <si>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</si>
  <si>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</si>
  <si>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</si>
  <si>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</si>
  <si>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</si>
  <si>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</si>
  <si>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</si>
  <si>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</si>
  <si>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</si>
  <si>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</si>
  <si>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</si>
  <si>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</si>
  <si>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</si>
  <si>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</si>
  <si>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</si>
  <si>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</si>
  <si>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</si>
  <si>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</si>
  <si>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</si>
  <si>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</si>
  <si>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</si>
  <si>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</si>
  <si>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</si>
  <si>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</si>
  <si>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</si>
  <si>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</si>
  <si>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</si>
  <si>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</si>
  <si>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</si>
  <si>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</si>
  <si>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</si>
  <si>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</si>
  <si>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</si>
  <si>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</si>
  <si>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</si>
  <si>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</si>
  <si>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</si>
  <si>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</si>
  <si>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</si>
  <si>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</si>
  <si>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</si>
  <si>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</si>
  <si>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</si>
  <si>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</si>
  <si>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</si>
  <si>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</si>
  <si>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</si>
  <si>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</si>
  <si>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</si>
  <si>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</si>
  <si>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</si>
  <si>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</si>
  <si>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</si>
  <si>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</si>
  <si>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</si>
  <si>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</si>
  <si>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</si>
  <si>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</si>
  <si>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</si>
  <si>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</si>
  <si>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</si>
  <si>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</si>
  <si>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</si>
  <si>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</si>
  <si>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</si>
  <si>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</si>
  <si>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</si>
  <si>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</si>
  <si>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</si>
  <si>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</si>
  <si>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</si>
  <si>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</si>
  <si>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</si>
  <si>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</si>
  <si>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</si>
  <si>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</si>
  <si>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</si>
  <si>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</si>
  <si>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</si>
  <si>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</si>
  <si>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</si>
  <si>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</si>
  <si>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</si>
  <si>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</si>
  <si>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</si>
  <si>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</si>
  <si>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</si>
  <si>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</si>
  <si>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</si>
  <si>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</si>
  <si>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</si>
  <si>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</si>
  <si>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</si>
  <si>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</si>
  <si>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</si>
  <si>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</si>
  <si>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</si>
  <si>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</si>
  <si>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</si>
  <si>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</si>
  <si>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</si>
  <si>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</si>
  <si>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</si>
  <si>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</si>
  <si>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</si>
  <si>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</si>
  <si>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</si>
  <si>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</si>
  <si>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</si>
  <si>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</si>
  <si>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</si>
  <si>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</si>
  <si>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</si>
  <si>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</si>
  <si>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</si>
  <si>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</si>
  <si>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</si>
  <si>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</si>
  <si>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</si>
  <si>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</si>
  <si>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</si>
  <si>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</si>
  <si>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</si>
  <si>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</si>
  <si>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</si>
  <si>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</si>
  <si>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</si>
  <si>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</si>
  <si>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</si>
  <si>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</si>
  <si>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</si>
  <si>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</si>
  <si>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</si>
  <si>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</si>
  <si>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</si>
  <si>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</si>
  <si>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</si>
  <si>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</si>
  <si>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</si>
  <si>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</si>
  <si>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</si>
  <si>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</si>
  <si>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</si>
  <si>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</si>
  <si>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</si>
  <si>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</si>
  <si>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</si>
  <si>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</si>
  <si>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</si>
  <si>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</si>
  <si>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</si>
  <si>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</si>
  <si>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</si>
  <si>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</si>
  <si>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</si>
  <si>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</si>
  <si>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</si>
  <si>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</si>
  <si>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</si>
  <si>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</si>
  <si>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</si>
  <si>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</si>
  <si>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</si>
  <si>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</si>
  <si>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</si>
  <si>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</si>
  <si>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</si>
  <si>
    <t>选取案例平均值</t>
    <phoneticPr fontId="229" type="noConversion"/>
  </si>
  <si>
    <t>区域平均值</t>
    <phoneticPr fontId="229" type="noConversion"/>
  </si>
  <si>
    <t>一般</t>
  </si>
  <si>
    <t>较好</t>
  </si>
  <si>
    <t>成本逼近法</t>
  </si>
  <si>
    <t>项目全部</t>
  </si>
  <si>
    <t>土地</t>
  </si>
  <si>
    <t>成本逼近</t>
    <phoneticPr fontId="229" type="noConversion"/>
  </si>
  <si>
    <t>剩余法</t>
    <phoneticPr fontId="229" type="noConversion"/>
  </si>
  <si>
    <t>单价（元/平方米）</t>
    <phoneticPr fontId="229" type="noConversion"/>
  </si>
  <si>
    <t>基准地价</t>
    <phoneticPr fontId="229" type="noConversion"/>
  </si>
  <si>
    <t>权重</t>
    <phoneticPr fontId="229" type="noConversion"/>
  </si>
  <si>
    <t>权重后单价</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</si>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</sst>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280" fillId="6" borderId="0" xfId="17" applyFont="1" applyFill="1" applyBorder="1">
      <alignment vertical="center"/>
    </xf>
    <xf numFmtId="0" fontId="280" fillId="8" borderId="0" xfId="17" applyFont="1" applyFill="1" applyBorder="1">
      <alignment vertical="center"/>
    </xf>
    <xf numFmtId="180" fontId="72" fillId="5" borderId="11" xfId="0" applyNumberFormat="1" applyFont="1" applyFill="1" applyBorder="1" applyAlignment="1" applyProtection="1">
      <alignment horizontal="center" vertical="center"/>
    </xf>
    <xf numFmtId="0" fontId="0" fillId="0" borderId="0" xfId="0" applyAlignment="1">
      <alignment horizontal="center" vertical="center"/>
    </xf>
    <xf numFmtId="0" fontId="146" fillId="0" borderId="0" xfId="0" applyFont="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0" fillId="6" borderId="2" xfId="0" applyFill="1" applyBorder="1" applyAlignment="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2020年6月28日（评估专业人员勘察现场之日）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根据《国有土地使用证》[]，估价对象（分摊）出让国有建设用地使用权面积为63755.58平方米。根据《建设工程规划许可证》[]、《出让合同》[]，估价对象规划建筑面积为63755.58平方米。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11月7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估价期日：2020年6月28日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63755.58</v>
      </c>
    </row>
    <row r="44" spans="1:2">
      <c r="A44" s="2831" t="s">
        <v>2734</v>
      </c>
      <c r="B44" s="2832" t="str">
        <f>'预评函-2'!O3</f>
        <v>规划建筑面积/㎡</v>
      </c>
    </row>
    <row r="45" spans="1:2">
      <c r="A45" s="2831" t="s">
        <v>2716</v>
      </c>
      <c r="B45" s="2832">
        <f>'预评函-2'!O5</f>
        <v>63755.58</v>
      </c>
    </row>
    <row r="46" spans="1:2">
      <c r="A46" s="2831" t="s">
        <v>2717</v>
      </c>
      <c r="B46" s="2832">
        <f ca="1">'预评函-2'!P5</f>
        <v>2253</v>
      </c>
    </row>
    <row r="47" spans="1:2">
      <c r="A47" s="2831" t="s">
        <v>2718</v>
      </c>
      <c r="B47" s="2832">
        <f ca="1">'预评函-2'!Q5</f>
        <v>2253</v>
      </c>
    </row>
    <row r="48" spans="1:2">
      <c r="A48" s="2831" t="s">
        <v>2719</v>
      </c>
      <c r="B48" s="2832">
        <f ca="1">'预评函-2'!R5</f>
        <v>14362</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I23" sqref="I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80" t="str">
        <f>IF(B10="北京市","北京市",C10)&amp;F10&amp;B16&amp;"国有建设用地使用权"&amp;B9&amp;"预评估"</f>
        <v>北京市出让国有建设用地使用权市场价格预评估</v>
      </c>
      <c r="C1" s="3281"/>
      <c r="D1" s="3281"/>
      <c r="E1" s="3281"/>
      <c r="F1" s="3281"/>
      <c r="G1" s="3281"/>
      <c r="H1" s="3281"/>
      <c r="I1" s="3282"/>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44010</v>
      </c>
      <c r="C3" s="1645" t="s">
        <v>1991</v>
      </c>
      <c r="D3" s="1644">
        <f>B3</f>
        <v>44010</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2995</v>
      </c>
      <c r="C8" s="1653"/>
      <c r="D8" s="3286"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87"/>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83"/>
      <c r="C12" s="3284"/>
      <c r="D12" s="3285"/>
      <c r="E12" s="1681" t="s">
        <v>2057</v>
      </c>
      <c r="F12" s="3301" t="s">
        <v>2882</v>
      </c>
      <c r="G12" s="3302"/>
      <c r="H12" s="3302"/>
      <c r="I12" s="3303"/>
      <c r="J12" s="1676"/>
      <c r="K12" s="1756"/>
      <c r="L12" s="1705"/>
      <c r="M12" s="1705"/>
      <c r="N12" s="1676"/>
      <c r="O12" s="1677"/>
      <c r="P12" s="1676"/>
      <c r="Q12" s="1676"/>
      <c r="R12" s="1676"/>
      <c r="S12" s="1676"/>
      <c r="T12" s="1676"/>
      <c r="U12" s="1676"/>
    </row>
    <row r="13" spans="1:21">
      <c r="A13" s="1669" t="s">
        <v>2055</v>
      </c>
      <c r="B13" s="3283"/>
      <c r="C13" s="3284"/>
      <c r="D13" s="3285"/>
      <c r="E13" s="1681" t="s">
        <v>2057</v>
      </c>
      <c r="F13" s="3301" t="s">
        <v>2883</v>
      </c>
      <c r="G13" s="3302"/>
      <c r="H13" s="3302"/>
      <c r="I13" s="3303"/>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工业2044年11月7日</v>
      </c>
    </row>
    <row r="17" spans="1:21">
      <c r="A17" s="1745"/>
      <c r="B17" s="1664"/>
      <c r="C17" s="1665" t="s">
        <v>1951</v>
      </c>
      <c r="D17" s="1682"/>
      <c r="E17" s="1682"/>
      <c r="F17" s="1682"/>
      <c r="G17" s="1682"/>
      <c r="H17" s="1682"/>
      <c r="I17" s="1682">
        <v>52908</v>
      </c>
      <c r="J17" s="1676"/>
      <c r="K17" s="2417" t="str">
        <f>CONCATENATE(K16,L16,M16,N16,O16,P16,Q16,R16,S16,T16,,U16)</f>
        <v>工业2044年11月7日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24.37</v>
      </c>
      <c r="J19" s="1676"/>
      <c r="K19" s="1756"/>
      <c r="L19" s="1705"/>
      <c r="M19" s="1705"/>
      <c r="N19" s="1676"/>
      <c r="O19" s="1677"/>
      <c r="P19" s="1676"/>
      <c r="Q19" s="1676"/>
      <c r="R19" s="1676"/>
      <c r="S19" s="1676"/>
      <c r="T19" s="1676"/>
      <c r="U19" s="1676"/>
    </row>
    <row r="20" spans="1:21">
      <c r="A20" s="1768"/>
      <c r="B20" s="1769"/>
      <c r="C20" s="1770" t="s">
        <v>2056</v>
      </c>
      <c r="D20" s="3298"/>
      <c r="E20" s="3299"/>
      <c r="F20" s="3299"/>
      <c r="G20" s="3299"/>
      <c r="H20" s="3299"/>
      <c r="I20" s="3300"/>
      <c r="J20" s="1676"/>
      <c r="K20" s="1756"/>
      <c r="L20" s="1705"/>
      <c r="M20" s="1705"/>
      <c r="N20" s="1676"/>
      <c r="O20" s="1677"/>
      <c r="P20" s="1676"/>
      <c r="Q20" s="1676"/>
      <c r="R20" s="1676"/>
      <c r="S20" s="1676"/>
      <c r="T20" s="1676"/>
      <c r="U20" s="1676"/>
    </row>
    <row r="21" spans="1:21">
      <c r="A21" s="1745" t="s">
        <v>1954</v>
      </c>
      <c r="B21" s="1746" t="s">
        <v>1955</v>
      </c>
      <c r="C21" s="1741">
        <f>'数据-汇总表'!E3</f>
        <v>63755.58</v>
      </c>
      <c r="D21" s="1742" t="s">
        <v>1956</v>
      </c>
      <c r="E21" s="3288" t="s">
        <v>1994</v>
      </c>
      <c r="F21" s="3289"/>
      <c r="G21" s="3289"/>
      <c r="H21" s="3289"/>
      <c r="I21" s="3290"/>
      <c r="J21" s="1676"/>
      <c r="K21" s="1756"/>
      <c r="L21" s="1705"/>
      <c r="M21" s="1705"/>
      <c r="N21" s="1676"/>
      <c r="O21" s="1677"/>
      <c r="P21" s="1676"/>
      <c r="Q21" s="1676"/>
      <c r="R21" s="1676"/>
      <c r="S21" s="1676"/>
      <c r="T21" s="1676"/>
      <c r="U21" s="1676"/>
    </row>
    <row r="22" spans="1:21">
      <c r="A22" s="3089" t="s">
        <v>950</v>
      </c>
      <c r="B22" s="1643" t="s">
        <v>1957</v>
      </c>
      <c r="C22" s="1668">
        <f>'数据-汇总表'!D3</f>
        <v>63755.58</v>
      </c>
      <c r="D22" s="1669" t="s">
        <v>1956</v>
      </c>
      <c r="E22" s="3288" t="s">
        <v>2884</v>
      </c>
      <c r="F22" s="3289"/>
      <c r="G22" s="3289"/>
      <c r="H22" s="3289"/>
      <c r="I22" s="3290"/>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91" t="s">
        <v>1962</v>
      </c>
      <c r="C24" s="3292"/>
      <c r="D24" s="3293" t="s">
        <v>1963</v>
      </c>
      <c r="E24" s="3294"/>
      <c r="F24" s="1690" t="s">
        <v>1964</v>
      </c>
      <c r="G24" s="1676"/>
      <c r="H24" s="1676"/>
      <c r="I24" s="1689"/>
      <c r="J24" s="1676"/>
      <c r="K24" s="3279"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7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7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306" t="s">
        <v>1997</v>
      </c>
      <c r="B31" s="1746" t="s">
        <v>1998</v>
      </c>
      <c r="C31" s="3304"/>
      <c r="D31" s="3305"/>
      <c r="E31" s="1676"/>
      <c r="F31" s="1676"/>
      <c r="G31" s="1676"/>
      <c r="H31" s="1676"/>
      <c r="I31" s="1689"/>
      <c r="J31" s="1676"/>
      <c r="K31" s="2420"/>
      <c r="L31" s="1676"/>
      <c r="M31" s="1676"/>
      <c r="N31" s="1676"/>
      <c r="O31" s="1676"/>
      <c r="P31" s="1676"/>
      <c r="Q31" s="1676"/>
      <c r="R31" s="1676"/>
      <c r="S31" s="1676"/>
      <c r="T31" s="1676"/>
      <c r="U31" s="1676"/>
    </row>
    <row r="32" spans="1:21">
      <c r="A32" s="3306"/>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06"/>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07"/>
      <c r="B34" s="1643" t="s">
        <v>2001</v>
      </c>
      <c r="C34" s="3308"/>
      <c r="D34" s="3309"/>
      <c r="E34" s="1676"/>
      <c r="F34" s="1676"/>
      <c r="G34" s="1676"/>
      <c r="H34" s="1676"/>
      <c r="I34" s="1689"/>
      <c r="J34" s="1676"/>
      <c r="K34" s="2420"/>
      <c r="L34" s="1676"/>
      <c r="M34" s="1676"/>
      <c r="N34" s="1676"/>
      <c r="O34" s="1676"/>
      <c r="P34" s="1676"/>
      <c r="Q34" s="1676"/>
      <c r="R34" s="1676"/>
      <c r="S34" s="1676"/>
      <c r="T34" s="1676"/>
      <c r="U34" s="1676"/>
    </row>
    <row r="35" spans="1:21">
      <c r="A35" s="3310" t="s">
        <v>845</v>
      </c>
      <c r="B35" s="1704"/>
      <c r="C35" s="1758" t="str">
        <f>IF(B35="场地平整","——","具体情况：")</f>
        <v>具体情况：</v>
      </c>
      <c r="D35" s="3312"/>
      <c r="E35" s="3313"/>
      <c r="F35" s="3313"/>
      <c r="G35" s="3313"/>
      <c r="H35" s="3313"/>
      <c r="I35" s="3314"/>
      <c r="J35" s="1676"/>
      <c r="K35" s="1757"/>
      <c r="L35" s="1705"/>
      <c r="M35" s="1705"/>
      <c r="N35" s="1676"/>
      <c r="O35" s="1677"/>
      <c r="P35" s="1676"/>
      <c r="Q35" s="1676"/>
      <c r="R35" s="1676"/>
      <c r="S35" s="1676"/>
      <c r="T35" s="1676"/>
      <c r="U35" s="1676"/>
    </row>
    <row r="36" spans="1:21">
      <c r="A36" s="3306"/>
      <c r="B36" s="3315" t="s">
        <v>2050</v>
      </c>
      <c r="C36" s="3316"/>
      <c r="D36" s="1774"/>
      <c r="E36" s="3317"/>
      <c r="F36" s="3317"/>
      <c r="G36" s="1669" t="str">
        <f>IF(B35="场地未平整","估价结果处理","")</f>
        <v/>
      </c>
      <c r="H36" s="3318"/>
      <c r="I36" s="3318"/>
      <c r="J36" s="1676"/>
      <c r="K36" s="1757"/>
      <c r="L36" s="1705"/>
      <c r="M36" s="1705"/>
      <c r="N36" s="1676"/>
      <c r="O36" s="1677"/>
      <c r="P36" s="1676"/>
      <c r="Q36" s="1676"/>
      <c r="R36" s="1676"/>
      <c r="S36" s="1676"/>
      <c r="T36" s="1676"/>
      <c r="U36" s="1676"/>
    </row>
    <row r="37" spans="1:21" ht="28.5">
      <c r="A37" s="3306"/>
      <c r="B37" s="3295"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306"/>
      <c r="B38" s="3296"/>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307"/>
      <c r="B39" s="329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78" t="s">
        <v>1981</v>
      </c>
      <c r="T40" s="1713" t="str">
        <f>NUMBERSTRING(7-K40,1)&amp;"通"</f>
        <v>七通</v>
      </c>
      <c r="U40" s="1676"/>
    </row>
    <row r="41" spans="1:21">
      <c r="A41" s="1645"/>
      <c r="B41" s="3311" t="s">
        <v>1719</v>
      </c>
      <c r="C41" s="3311"/>
      <c r="D41" s="3311"/>
      <c r="E41" s="3311"/>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8"/>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1411</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1102</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49755.58+14000</f>
        <v>63755.58</v>
      </c>
      <c r="B3" s="22">
        <f>IF(C3="否",G5-AT5,G5)</f>
        <v>63755.58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63755.58</v>
      </c>
      <c r="H5" s="27">
        <f t="shared" ref="H5:AT5" si="0">SUM(H13:H641)</f>
        <v>63755.58</v>
      </c>
      <c r="I5" s="27">
        <f t="shared" si="0"/>
        <v>63755.58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63755.58</v>
      </c>
      <c r="BA5" s="29">
        <f t="shared" si="1"/>
        <v>63755.58</v>
      </c>
      <c r="BB5" s="29">
        <f t="shared" si="1"/>
        <v>63755.58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63755.58</v>
      </c>
      <c r="F6" s="27" t="s">
        <v>1</v>
      </c>
      <c r="G6" s="27" t="s">
        <v>2</v>
      </c>
      <c r="H6" s="33">
        <f>SUMIF(I$12:AB$12,"总值",I6:AB6)</f>
        <v>63755.58</v>
      </c>
      <c r="I6" s="27">
        <f t="shared" ref="I6:AB6" si="2">ROUND($A$3*I5/$B$3,2)</f>
        <v>63755.58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63755.58</v>
      </c>
      <c r="AZ6" s="27" t="s">
        <v>3</v>
      </c>
      <c r="BA6" s="27">
        <f>ROUND($AY$6*BA5/$AZ$5,2)</f>
        <v>63755.58</v>
      </c>
      <c r="BB6" s="27">
        <f>ROUND($AY$6*BB5/$AZ$5,2)</f>
        <v>63755.58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63755.58</v>
      </c>
      <c r="F13" s="81"/>
      <c r="G13" s="82">
        <f t="shared" ref="G13:G20" si="7">H13+AC13+AT13</f>
        <v>63755.58</v>
      </c>
      <c r="H13" s="33">
        <f t="shared" ref="H13:H20" si="8">SUMIF(I$12:AB$12,"总值",I13:AB13)</f>
        <v>63755.58</v>
      </c>
      <c r="I13" s="2968">
        <f>A3</f>
        <v>63755.58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63755.58</v>
      </c>
      <c r="AZ13" s="27">
        <f t="shared" ref="AZ13:AZ20" si="12">BA13+BL13</f>
        <v>63755.58</v>
      </c>
      <c r="BA13" s="27">
        <f t="shared" ref="BA13:BA20" si="13">SUM(BB13:BK13)</f>
        <v>63755.58</v>
      </c>
      <c r="BB13" s="27">
        <f t="shared" ref="BB13:BB20" si="14">IF($D13="是",I13-J13,0)</f>
        <v>63755.58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30" t="s">
        <v>203</v>
      </c>
      <c r="B2" s="3330"/>
      <c r="C2" s="3330"/>
      <c r="D2" s="1958" t="s">
        <v>204</v>
      </c>
      <c r="E2" s="106" t="s">
        <v>205</v>
      </c>
      <c r="F2" s="1967"/>
      <c r="G2" s="1192"/>
      <c r="H2" s="1193"/>
      <c r="I2" s="1194" t="s">
        <v>855</v>
      </c>
      <c r="J2" s="1967"/>
      <c r="K2" s="1967"/>
      <c r="L2" s="1967"/>
    </row>
    <row r="3" spans="1:16" ht="15.75" thickBot="1">
      <c r="A3" s="3331" t="s">
        <v>206</v>
      </c>
      <c r="B3" s="3331"/>
      <c r="C3" s="3331"/>
      <c r="D3" s="107">
        <f>'数据-基础表'!AY6</f>
        <v>63755.58</v>
      </c>
      <c r="E3" s="107">
        <f>'数据-基础表'!AZ5</f>
        <v>63755.58</v>
      </c>
      <c r="F3" s="1967"/>
      <c r="G3" s="280" t="s">
        <v>856</v>
      </c>
      <c r="H3" s="275" t="s">
        <v>857</v>
      </c>
      <c r="I3" s="1959">
        <f>ROUND('数据-基础表'!B3/'数据-基础表'!A3,2)</f>
        <v>1</v>
      </c>
      <c r="J3" s="1967"/>
      <c r="K3" s="1967"/>
      <c r="L3" s="1967"/>
    </row>
    <row r="4" spans="1:16" ht="15">
      <c r="A4" s="3332"/>
      <c r="B4" s="3333"/>
      <c r="C4" s="3334"/>
      <c r="D4" s="108" t="s">
        <v>204</v>
      </c>
      <c r="E4" s="109" t="s">
        <v>205</v>
      </c>
      <c r="F4" s="1967"/>
      <c r="G4" s="1195"/>
      <c r="H4" s="275" t="s">
        <v>858</v>
      </c>
      <c r="I4" s="1959">
        <f>ROUND(SUMIF('数据-基础表'!I9:AS9,"地上",'数据-基础表'!I5:AS5)/'数据-基础表'!A3,2)</f>
        <v>1</v>
      </c>
      <c r="J4" s="1967"/>
      <c r="K4" s="1967"/>
      <c r="L4" s="1967"/>
    </row>
    <row r="5" spans="1:16">
      <c r="A5" s="110" t="s">
        <v>207</v>
      </c>
      <c r="B5" s="3335" t="s">
        <v>230</v>
      </c>
      <c r="C5" s="3335"/>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35" t="s">
        <v>208</v>
      </c>
      <c r="C6" s="3335"/>
      <c r="D6" s="111">
        <f>ROUND($D$3*E6/$E$3,2)</f>
        <v>63755.58</v>
      </c>
      <c r="E6" s="112">
        <f>E3-E5</f>
        <v>63755.58</v>
      </c>
      <c r="F6" s="1967"/>
      <c r="G6" s="1195"/>
      <c r="H6" s="275" t="s">
        <v>858</v>
      </c>
      <c r="I6" s="1959">
        <f>ROUND(F31/D31,2)</f>
        <v>1</v>
      </c>
      <c r="J6" s="1967"/>
      <c r="K6" s="1967"/>
      <c r="L6" s="1967"/>
    </row>
    <row r="7" spans="1:16" ht="15">
      <c r="A7" s="3327"/>
      <c r="B7" s="3328"/>
      <c r="C7" s="3329"/>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63755.58</v>
      </c>
      <c r="E8" s="116">
        <f>SUMIF('数据-基础表'!BB10:BK10,"地上",'数据-基础表'!BB5:BK5)</f>
        <v>63755.58</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63755.58</v>
      </c>
      <c r="E16" s="120">
        <f>SUM(E8:E15)</f>
        <v>63755.58</v>
      </c>
      <c r="F16" s="1967"/>
      <c r="G16" s="1969"/>
      <c r="H16" s="966" t="s">
        <v>219</v>
      </c>
      <c r="I16" s="967"/>
      <c r="J16" s="1967"/>
      <c r="K16" s="3321" t="s">
        <v>2561</v>
      </c>
      <c r="L16" s="3322"/>
      <c r="M16" s="3322"/>
      <c r="N16" s="3322"/>
      <c r="O16" s="3322"/>
      <c r="P16" s="3323"/>
    </row>
    <row r="17" spans="1:19" ht="15">
      <c r="A17" s="121" t="s">
        <v>216</v>
      </c>
      <c r="B17" s="122" t="s">
        <v>217</v>
      </c>
      <c r="C17" s="2281" t="s">
        <v>2308</v>
      </c>
      <c r="D17" s="108" t="s">
        <v>204</v>
      </c>
      <c r="E17" s="124" t="s">
        <v>205</v>
      </c>
      <c r="F17" s="125"/>
      <c r="G17" s="1360"/>
      <c r="H17" s="968" t="s">
        <v>218</v>
      </c>
      <c r="I17" s="969" t="s">
        <v>2307</v>
      </c>
      <c r="J17" s="1967"/>
      <c r="K17" s="3324" t="s">
        <v>2562</v>
      </c>
      <c r="L17" s="3325"/>
      <c r="M17" s="3326"/>
      <c r="N17" s="3324" t="s">
        <v>2563</v>
      </c>
      <c r="O17" s="3325"/>
      <c r="P17" s="3326"/>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2998</v>
      </c>
      <c r="D19" s="111">
        <f t="shared" ref="D19:D26" si="1">ROUND($D$3*E19/$E$3,2)</f>
        <v>63755.58</v>
      </c>
      <c r="E19" s="134">
        <f t="shared" ref="E19:E26" si="2">SUM(F19:G19)</f>
        <v>63755.58</v>
      </c>
      <c r="F19" s="135">
        <f>'数据-基础表'!I13</f>
        <v>63755.58</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63755.58</v>
      </c>
      <c r="S19" s="2284">
        <f t="shared" si="5"/>
        <v>63755.58</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63755.58</v>
      </c>
      <c r="E27" s="143">
        <f>IF(SUM(E19:E26)='数据-基础表'!BA5,SUM(E19:E26),IF(F27="地上面积有误","面积有误","地下面积有误"))</f>
        <v>63755.58</v>
      </c>
      <c r="F27" s="134">
        <f>IF(SUM(F19:F26)=E8,SUM(F19:F26),"地上面积有误")</f>
        <v>63755.58</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63755.58</v>
      </c>
      <c r="S27" s="275">
        <f>IF(SUM(S19:S26)=$E$3,SUM(S19:S26),SUM(S19:S26)&amp;"误差"&amp;ROUND(SUM(S19:S26)-E3,2))</f>
        <v>63755.58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63755.58</v>
      </c>
      <c r="E31" s="1366">
        <f>E27+E30</f>
        <v>63755.58</v>
      </c>
      <c r="F31" s="1367">
        <f>F27+F30</f>
        <v>63755.58</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U14" sqref="U1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13.75" style="198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3000</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52908</v>
      </c>
      <c r="F6" s="174">
        <f>SUMIF(项目基本情况!D$15:I$15,C6,项目基本情况!D$19:I$19)</f>
        <v>24.37</v>
      </c>
      <c r="G6" s="175">
        <f>IF(ISERROR(ROUND(POWER(1+H6,D6-F6)*(POWER(1+H6,F6)-1)/(POWER(1+H6,D6)-1),3)),0,ROUND(POWER(1+H6,D6-F6)*(POWER(1+H6,F6)-1)/(POWER(1+H6,D6)-1),3))</f>
        <v>0.69099999999999995</v>
      </c>
      <c r="H6" s="2976">
        <v>3.5000000000000003E-2</v>
      </c>
      <c r="I6" s="2976">
        <v>0.04</v>
      </c>
      <c r="J6" s="176">
        <v>0.08</v>
      </c>
      <c r="K6" s="179">
        <f>SUMIF('数据-汇总表'!C$19:C$33,'数据-取费表'!A6,'数据-汇总表'!E$19:E$33)</f>
        <v>63755.58</v>
      </c>
      <c r="L6" s="2977">
        <v>1500</v>
      </c>
      <c r="M6" s="177">
        <f t="shared" ref="M6:M14" si="0">ROUND(K6*L6/10000,0)</f>
        <v>9563</v>
      </c>
      <c r="N6" s="2978">
        <v>1</v>
      </c>
      <c r="O6" s="177" t="str">
        <f>IF($N$5="成新度","——",ROUND(M6*N6,0))</f>
        <v>——</v>
      </c>
      <c r="P6" s="178" t="str">
        <f>IF($N$5="成新度","——",M6-O6)</f>
        <v>——</v>
      </c>
      <c r="Q6" s="2979">
        <v>0.1</v>
      </c>
      <c r="R6" s="179">
        <f>SUMIF('数据-汇总表'!C$19:C$33,A6,'数据-汇总表'!R$19:R$33)</f>
        <v>63755.58</v>
      </c>
      <c r="S6" s="132">
        <f>IF('数据-汇总表'!$I$17="按面积比例",SUMIF('数据-汇总表'!C$19:C$33,A6,'数据-汇总表'!K$19:K$33),SUMIF('数据-汇总表'!C$19:C$33,A6,'数据-汇总表'!N$19:N$33))</f>
        <v>0</v>
      </c>
      <c r="T6" s="2217" t="str">
        <f>IF($T$4="按面积比例",IF(ISERROR(ROUND($M$14*S6/S$16,0)),"0",ROUND($M$14*S6/S$16,0)),"需自行计算录入")</f>
        <v>0</v>
      </c>
      <c r="U6" s="180">
        <v>1</v>
      </c>
      <c r="V6" s="181">
        <v>0.02</v>
      </c>
      <c r="W6" s="181">
        <v>0.1</v>
      </c>
      <c r="X6" s="2304"/>
      <c r="Y6" s="182">
        <v>1</v>
      </c>
      <c r="Z6" s="183"/>
      <c r="AA6" s="176"/>
      <c r="AB6" s="176"/>
      <c r="AC6" s="2307"/>
      <c r="AD6" s="184"/>
      <c r="AE6" s="3244">
        <f>F6</f>
        <v>24.37</v>
      </c>
      <c r="AF6" s="141"/>
      <c r="AG6" s="1207">
        <f>IF(AF6="",0,AE6-AF6)</f>
        <v>0</v>
      </c>
      <c r="AH6" s="141">
        <f>'数据-汇总表'!E3</f>
        <v>63755.58</v>
      </c>
      <c r="AI6" s="187">
        <v>365</v>
      </c>
      <c r="AJ6" s="188"/>
      <c r="AK6" s="189">
        <v>0.02</v>
      </c>
      <c r="AL6" s="190">
        <v>2E-3</v>
      </c>
      <c r="AM6" s="2990">
        <v>0.02</v>
      </c>
      <c r="AN6" s="2354" t="s">
        <v>3172</v>
      </c>
      <c r="AO6" s="1983"/>
      <c r="AP6" s="1198">
        <f>ROUND(1-1/(1+H6)^F6,3)</f>
        <v>0.56799999999999995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0.69099999999999995</v>
      </c>
      <c r="H16" s="203">
        <f>ROUND(SUMPRODUCT(H6:H13,K6:K13)/SUMPRODUCT((H6:H13&gt;0)*(K6:K13)),3)</f>
        <v>3.5000000000000003E-2</v>
      </c>
      <c r="I16" s="204"/>
      <c r="J16" s="204"/>
      <c r="K16" s="205">
        <f>SUM(K6:K15)</f>
        <v>63755.58</v>
      </c>
      <c r="L16" s="206">
        <f>ROUND(M16*10000/SUM(K6:K14),0)</f>
        <v>1500</v>
      </c>
      <c r="M16" s="206">
        <f>SUM(M6:M14)</f>
        <v>9563</v>
      </c>
      <c r="N16" s="207">
        <f>ROUND(SUMPRODUCT(M6:M14,N6:N14)/M16,3)</f>
        <v>1</v>
      </c>
      <c r="O16" s="206">
        <f>SUM(O6:O14)</f>
        <v>0</v>
      </c>
      <c r="P16" s="206">
        <f>SUM(P6:P14)</f>
        <v>0</v>
      </c>
      <c r="Q16" s="208">
        <f>ROUND(SUMPRODUCT(Q6:Q13,K6:K13)/SUMPRODUCT((Q6:Q13&gt;0)*(K6:K13)),2)</f>
        <v>0.1</v>
      </c>
      <c r="R16" s="2294">
        <f>SUM(R6:R13)</f>
        <v>63755.58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0.56799999999999995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6" t="s">
        <v>1661</v>
      </c>
      <c r="B1" s="3337"/>
      <c r="C1" s="3337"/>
      <c r="D1" s="3337"/>
      <c r="E1" s="3337"/>
      <c r="F1" s="3337"/>
      <c r="G1" s="3337"/>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3" sqref="E13"/>
    </sheetView>
  </sheetViews>
  <sheetFormatPr defaultColWidth="14.625" defaultRowHeight="13.5"/>
  <cols>
    <col min="1" max="1" width="24.375" style="3178" customWidth="1"/>
    <col min="2" max="16384" width="14.625" style="3178"/>
  </cols>
  <sheetData>
    <row r="1" spans="1:9" ht="16.5">
      <c r="A1" s="3179" t="s">
        <v>2836</v>
      </c>
      <c r="B1" s="3179">
        <f>SUM(B14:B23)</f>
        <v>63755.58</v>
      </c>
      <c r="C1" s="3177"/>
      <c r="D1" s="3177"/>
      <c r="E1" s="3177"/>
      <c r="F1" s="3177"/>
    </row>
    <row r="2" spans="1:9" ht="16.5">
      <c r="A2" s="3179" t="s">
        <v>2837</v>
      </c>
      <c r="B2" s="3179">
        <f>SUM(C14:C23)</f>
        <v>63755.58</v>
      </c>
      <c r="C2" s="3177"/>
      <c r="D2" s="3177"/>
      <c r="E2" s="3177"/>
      <c r="F2" s="3177"/>
    </row>
    <row r="3" spans="1:9" ht="16.5">
      <c r="A3" s="3179" t="s">
        <v>2838</v>
      </c>
      <c r="B3" s="3180">
        <f>项目基本情况!D3</f>
        <v>44010</v>
      </c>
      <c r="C3" s="3177"/>
      <c r="D3" s="3177"/>
      <c r="E3" s="3177"/>
      <c r="F3" s="3177"/>
    </row>
    <row r="4" spans="1:9" ht="33">
      <c r="A4" s="3179" t="s">
        <v>2839</v>
      </c>
      <c r="B4" s="3179" t="s">
        <v>2840</v>
      </c>
      <c r="C4" s="3179" t="s">
        <v>2841</v>
      </c>
      <c r="D4" s="3179" t="s">
        <v>2842</v>
      </c>
      <c r="E4" s="3177"/>
      <c r="F4" s="3177"/>
    </row>
    <row r="5" spans="1:9" ht="16.5">
      <c r="A5" s="3179" t="s">
        <v>2843</v>
      </c>
      <c r="B5" s="3179">
        <f ca="1">SUM(D14:D23)</f>
        <v>2306</v>
      </c>
      <c r="C5" s="3179">
        <f ca="1">ROUND(B5*10000/$B$1,0)</f>
        <v>362</v>
      </c>
      <c r="D5" s="3179">
        <f ca="1">ROUND(B5*10000/$B$2,0)</f>
        <v>362</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63755.58</v>
      </c>
      <c r="C14" s="3184">
        <f>结果表!K38</f>
        <v>63755.58</v>
      </c>
      <c r="D14" s="3184">
        <f ca="1">结果!J7</f>
        <v>2306</v>
      </c>
      <c r="E14" s="3182">
        <f ca="1">ROUND(D14*10000/B14,0)</f>
        <v>362</v>
      </c>
      <c r="F14" s="3182">
        <f ca="1">ROUND(D14*10000/C14,0)</f>
        <v>362</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t="s">
        <v>3188</v>
      </c>
      <c r="E1" s="1788" t="s">
        <v>2053</v>
      </c>
      <c r="F1" s="1790" t="s">
        <v>3189</v>
      </c>
      <c r="G1" s="311"/>
      <c r="H1" s="311"/>
      <c r="I1" s="311"/>
      <c r="J1" s="2012"/>
      <c r="K1" s="2012"/>
      <c r="L1" s="2012"/>
      <c r="M1" s="2012"/>
      <c r="N1" s="2012"/>
      <c r="O1" s="2012"/>
      <c r="P1" s="2012"/>
      <c r="Q1" s="2012"/>
      <c r="R1" s="2012"/>
      <c r="S1" s="2012"/>
      <c r="T1" s="2012"/>
      <c r="U1" s="2012"/>
      <c r="V1" s="2012"/>
    </row>
    <row r="2" spans="1:22" ht="21.75" customHeight="1" thickBot="1">
      <c r="A2" s="3382" t="str">
        <f>项目基本情况!K2</f>
        <v>北京市出让国有建设用地使用权</v>
      </c>
      <c r="B2" s="3383"/>
      <c r="C2" s="3384"/>
      <c r="D2" s="3384"/>
      <c r="E2" s="3384"/>
      <c r="F2" s="3384"/>
      <c r="G2" s="3383"/>
      <c r="H2" s="3383"/>
      <c r="I2" s="3385"/>
      <c r="J2" s="2013"/>
      <c r="K2" s="2012"/>
      <c r="L2" s="2012"/>
      <c r="M2" s="2012"/>
      <c r="N2" s="2012"/>
      <c r="O2" s="2012"/>
      <c r="P2" s="2012"/>
      <c r="Q2" s="2012"/>
      <c r="R2" s="2012"/>
      <c r="S2" s="2012"/>
      <c r="T2" s="2012"/>
      <c r="U2" s="2012"/>
      <c r="V2" s="2012"/>
    </row>
    <row r="3" spans="1:22" ht="14.25">
      <c r="A3" s="3393" t="s">
        <v>298</v>
      </c>
      <c r="B3" s="3394"/>
      <c r="C3" s="3394"/>
      <c r="D3" s="3394"/>
      <c r="E3" s="3394"/>
      <c r="F3" s="3394"/>
      <c r="G3" s="3394"/>
      <c r="H3" s="3394"/>
      <c r="I3" s="3394"/>
      <c r="J3" s="2013"/>
      <c r="K3" s="2012"/>
      <c r="L3" s="2012"/>
      <c r="M3" s="2012"/>
      <c r="N3" s="2012"/>
      <c r="O3" s="2012"/>
      <c r="P3" s="2012"/>
      <c r="Q3" s="2012"/>
      <c r="R3" s="2012"/>
      <c r="S3" s="2012"/>
      <c r="T3" s="2012"/>
      <c r="U3" s="2012"/>
      <c r="V3" s="2012"/>
    </row>
    <row r="4" spans="1:22" ht="14.25">
      <c r="A4" s="258" t="s">
        <v>299</v>
      </c>
      <c r="B4" s="259" t="s">
        <v>300</v>
      </c>
      <c r="C4" s="260" t="s">
        <v>2944</v>
      </c>
      <c r="D4" s="260" t="s">
        <v>3187</v>
      </c>
      <c r="E4" s="3357" t="s">
        <v>301</v>
      </c>
      <c r="F4" s="3399"/>
      <c r="G4" s="3399"/>
      <c r="H4" s="3399"/>
      <c r="I4" s="3358"/>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86" t="s">
        <v>302</v>
      </c>
      <c r="B5" s="3387">
        <v>25</v>
      </c>
      <c r="C5" s="3395">
        <v>40</v>
      </c>
      <c r="D5" s="3398">
        <f>100-C5</f>
        <v>60</v>
      </c>
      <c r="E5" s="261" t="s">
        <v>303</v>
      </c>
      <c r="F5" s="262"/>
      <c r="G5" s="262"/>
      <c r="H5" s="262"/>
      <c r="I5" s="263"/>
      <c r="J5" s="2013"/>
      <c r="K5" s="2012"/>
      <c r="L5" s="2012"/>
      <c r="M5" s="2012"/>
      <c r="N5" s="2012"/>
      <c r="O5" s="2012"/>
      <c r="P5" s="2012"/>
      <c r="Q5" s="2012"/>
      <c r="R5" s="2012"/>
      <c r="S5" s="2012"/>
      <c r="T5" s="2012"/>
      <c r="U5" s="2012"/>
      <c r="V5" s="2012"/>
    </row>
    <row r="6" spans="1:22" ht="14.25">
      <c r="A6" s="3386"/>
      <c r="B6" s="3387"/>
      <c r="C6" s="3396"/>
      <c r="D6" s="3398"/>
      <c r="E6" s="261" t="s">
        <v>304</v>
      </c>
      <c r="F6" s="262"/>
      <c r="G6" s="262"/>
      <c r="H6" s="262"/>
      <c r="I6" s="263"/>
      <c r="J6" s="2013"/>
      <c r="K6" s="2012"/>
      <c r="L6" s="2012"/>
      <c r="M6" s="2012"/>
      <c r="N6" s="2012"/>
      <c r="O6" s="2012"/>
      <c r="P6" s="2012"/>
      <c r="Q6" s="2012"/>
      <c r="R6" s="2012"/>
      <c r="S6" s="2012"/>
      <c r="T6" s="2012"/>
      <c r="U6" s="2012"/>
      <c r="V6" s="2012"/>
    </row>
    <row r="7" spans="1:22" ht="14.25">
      <c r="A7" s="3386"/>
      <c r="B7" s="3387"/>
      <c r="C7" s="3397"/>
      <c r="D7" s="3398"/>
      <c r="E7" s="261" t="s">
        <v>305</v>
      </c>
      <c r="F7" s="262"/>
      <c r="G7" s="262"/>
      <c r="H7" s="262"/>
      <c r="I7" s="263"/>
      <c r="J7" s="2013"/>
      <c r="K7" s="2012"/>
      <c r="L7" s="2012"/>
      <c r="M7" s="2012"/>
      <c r="N7" s="2012"/>
      <c r="O7" s="2012"/>
      <c r="P7" s="2012"/>
      <c r="Q7" s="2012"/>
      <c r="R7" s="2012"/>
      <c r="S7" s="2012"/>
      <c r="T7" s="2012"/>
      <c r="U7" s="2012"/>
      <c r="V7" s="2012"/>
    </row>
    <row r="8" spans="1:22" ht="14.25">
      <c r="A8" s="3386" t="s">
        <v>306</v>
      </c>
      <c r="B8" s="3387">
        <v>15</v>
      </c>
      <c r="C8" s="3395"/>
      <c r="D8" s="3398"/>
      <c r="E8" s="261" t="s">
        <v>307</v>
      </c>
      <c r="F8" s="262"/>
      <c r="G8" s="262"/>
      <c r="H8" s="262"/>
      <c r="I8" s="263"/>
      <c r="J8" s="2013"/>
      <c r="K8" s="2012"/>
      <c r="L8" s="2012"/>
      <c r="M8" s="2012"/>
      <c r="N8" s="2012"/>
      <c r="O8" s="2012"/>
      <c r="P8" s="2012"/>
      <c r="Q8" s="2012"/>
      <c r="R8" s="2012"/>
      <c r="S8" s="2012"/>
      <c r="T8" s="2012"/>
      <c r="U8" s="2012"/>
      <c r="V8" s="2012"/>
    </row>
    <row r="9" spans="1:22" ht="14.25">
      <c r="A9" s="3386"/>
      <c r="B9" s="3387"/>
      <c r="C9" s="3397"/>
      <c r="D9" s="3398"/>
      <c r="E9" s="261" t="s">
        <v>308</v>
      </c>
      <c r="F9" s="262"/>
      <c r="G9" s="262"/>
      <c r="H9" s="262"/>
      <c r="I9" s="263"/>
      <c r="J9" s="2013"/>
      <c r="K9" s="2012"/>
      <c r="L9" s="2012"/>
      <c r="M9" s="2012"/>
      <c r="N9" s="2012"/>
      <c r="O9" s="2012"/>
      <c r="P9" s="2012"/>
      <c r="Q9" s="2012"/>
      <c r="R9" s="2012"/>
      <c r="S9" s="2012"/>
      <c r="T9" s="2012"/>
      <c r="U9" s="2012"/>
      <c r="V9" s="2012"/>
    </row>
    <row r="10" spans="1:22" ht="14.25">
      <c r="A10" s="3386" t="s">
        <v>309</v>
      </c>
      <c r="B10" s="3387">
        <v>15</v>
      </c>
      <c r="C10" s="3395"/>
      <c r="D10" s="3398"/>
      <c r="E10" s="261" t="s">
        <v>310</v>
      </c>
      <c r="F10" s="262"/>
      <c r="G10" s="262"/>
      <c r="H10" s="262"/>
      <c r="I10" s="263"/>
      <c r="J10" s="2013"/>
      <c r="K10" s="2012"/>
      <c r="L10" s="2012"/>
      <c r="M10" s="2012"/>
      <c r="N10" s="2012"/>
      <c r="O10" s="2012"/>
      <c r="P10" s="2012"/>
      <c r="Q10" s="2012"/>
      <c r="R10" s="2012"/>
      <c r="S10" s="2012"/>
      <c r="T10" s="2012"/>
      <c r="U10" s="2012"/>
      <c r="V10" s="2012"/>
    </row>
    <row r="11" spans="1:22" ht="14.25">
      <c r="A11" s="3386"/>
      <c r="B11" s="3387"/>
      <c r="C11" s="3397"/>
      <c r="D11" s="3398"/>
      <c r="E11" s="261" t="s">
        <v>311</v>
      </c>
      <c r="F11" s="262"/>
      <c r="G11" s="262"/>
      <c r="H11" s="262"/>
      <c r="I11" s="263"/>
      <c r="J11" s="2013"/>
      <c r="K11" s="2012"/>
      <c r="L11" s="2012"/>
      <c r="M11" s="2012"/>
      <c r="N11" s="2012"/>
      <c r="O11" s="2012"/>
      <c r="P11" s="2012"/>
      <c r="Q11" s="2012"/>
      <c r="R11" s="2012"/>
      <c r="S11" s="2012"/>
      <c r="T11" s="2012"/>
      <c r="U11" s="2012"/>
      <c r="V11" s="2012"/>
    </row>
    <row r="12" spans="1:22" ht="14.25">
      <c r="A12" s="3386" t="s">
        <v>312</v>
      </c>
      <c r="B12" s="3387">
        <v>15</v>
      </c>
      <c r="C12" s="3395"/>
      <c r="D12" s="3398"/>
      <c r="E12" s="261" t="s">
        <v>313</v>
      </c>
      <c r="F12" s="262"/>
      <c r="G12" s="262"/>
      <c r="H12" s="262"/>
      <c r="I12" s="263"/>
      <c r="J12" s="2013"/>
      <c r="K12" s="2012"/>
      <c r="L12" s="2012"/>
      <c r="M12" s="2012"/>
      <c r="N12" s="2012"/>
      <c r="O12" s="2012"/>
      <c r="P12" s="2012"/>
      <c r="Q12" s="2012"/>
      <c r="R12" s="2012"/>
      <c r="S12" s="2012"/>
      <c r="T12" s="2012"/>
      <c r="U12" s="2012"/>
      <c r="V12" s="2012"/>
    </row>
    <row r="13" spans="1:22" ht="14.25">
      <c r="A13" s="3386"/>
      <c r="B13" s="3387"/>
      <c r="C13" s="3397"/>
      <c r="D13" s="3398"/>
      <c r="E13" s="261" t="s">
        <v>314</v>
      </c>
      <c r="F13" s="262"/>
      <c r="G13" s="262"/>
      <c r="H13" s="262"/>
      <c r="I13" s="263"/>
      <c r="J13" s="2013"/>
      <c r="K13" s="2012"/>
      <c r="L13" s="2012"/>
      <c r="M13" s="2012"/>
      <c r="N13" s="2012"/>
      <c r="O13" s="2012"/>
      <c r="P13" s="2012"/>
      <c r="Q13" s="2012"/>
      <c r="R13" s="2012"/>
      <c r="S13" s="2012"/>
      <c r="T13" s="2012"/>
      <c r="U13" s="2012"/>
      <c r="V13" s="2012"/>
    </row>
    <row r="14" spans="1:22" ht="14.25">
      <c r="A14" s="3386" t="s">
        <v>315</v>
      </c>
      <c r="B14" s="3387">
        <v>30</v>
      </c>
      <c r="C14" s="3395"/>
      <c r="D14" s="3398"/>
      <c r="E14" s="261" t="s">
        <v>316</v>
      </c>
      <c r="F14" s="262"/>
      <c r="G14" s="262"/>
      <c r="H14" s="262"/>
      <c r="I14" s="263"/>
      <c r="J14" s="2013"/>
      <c r="K14" s="2012"/>
      <c r="L14" s="2012"/>
      <c r="M14" s="2012"/>
      <c r="N14" s="2012"/>
      <c r="O14" s="2012"/>
      <c r="P14" s="2012"/>
      <c r="Q14" s="2012"/>
      <c r="R14" s="2012"/>
      <c r="S14" s="2012"/>
      <c r="T14" s="2012"/>
      <c r="U14" s="2012"/>
      <c r="V14" s="2012"/>
    </row>
    <row r="15" spans="1:22" ht="14.25">
      <c r="A15" s="3386"/>
      <c r="B15" s="3387"/>
      <c r="C15" s="3396"/>
      <c r="D15" s="3398"/>
      <c r="E15" s="261" t="s">
        <v>317</v>
      </c>
      <c r="F15" s="262"/>
      <c r="G15" s="262"/>
      <c r="H15" s="262"/>
      <c r="I15" s="263"/>
      <c r="J15" s="2013"/>
      <c r="K15" s="2012"/>
      <c r="L15" s="2012"/>
      <c r="M15" s="2012"/>
      <c r="N15" s="2012"/>
      <c r="O15" s="2012"/>
      <c r="P15" s="2012"/>
      <c r="Q15" s="2012"/>
      <c r="R15" s="2012"/>
      <c r="S15" s="2012"/>
      <c r="T15" s="2012"/>
      <c r="U15" s="2012"/>
      <c r="V15" s="2012"/>
    </row>
    <row r="16" spans="1:22" ht="14.25">
      <c r="A16" s="3386"/>
      <c r="B16" s="3387"/>
      <c r="C16" s="3397"/>
      <c r="D16" s="3398"/>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40</v>
      </c>
      <c r="D17" s="265">
        <f>SUM(D5:D16)</f>
        <v>60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6669</v>
      </c>
      <c r="D19" s="271">
        <f ca="1">SUMIF(INDIRECT("'"&amp;D4&amp;"'"&amp;"!A:A"),结果表!B19,INDIRECT("'"&amp;D4&amp;"'"&amp;"!B:B"))</f>
        <v>19490</v>
      </c>
      <c r="E19" s="268" t="s">
        <v>323</v>
      </c>
      <c r="F19" s="269" t="s">
        <v>322</v>
      </c>
      <c r="G19" s="272">
        <f ca="1">ROUND(C19*$C$18+D19*$D$18,0)</f>
        <v>14362</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1046</v>
      </c>
      <c r="D20" s="277">
        <f ca="1">SUMIF(INDIRECT("'"&amp;D4&amp;"'"&amp;"!A:A"),结果表!B20,INDIRECT("'"&amp;D4&amp;"'"&amp;"!B:B"))</f>
        <v>3057</v>
      </c>
      <c r="E20" s="274"/>
      <c r="F20" s="275" t="s">
        <v>325</v>
      </c>
      <c r="G20" s="278">
        <f ca="1">ROUND(C20*$C$18+D20*$D$18,0)</f>
        <v>2253</v>
      </c>
      <c r="H20" s="279" t="s">
        <v>326</v>
      </c>
      <c r="I20" s="311">
        <f ca="1">G20*667/10000</f>
        <v>150.27510000000001</v>
      </c>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1046</v>
      </c>
      <c r="D21" s="151">
        <f ca="1">SUMIF(INDIRECT("'"&amp;D4&amp;"'"&amp;"!A:A"),结果表!B21,INDIRECT("'"&amp;D4&amp;"'"&amp;"!B:B"))</f>
        <v>3057</v>
      </c>
      <c r="E21" s="274"/>
      <c r="F21" s="280" t="s">
        <v>327</v>
      </c>
      <c r="G21" s="282">
        <f ca="1">ROUND(C21*$C$18+D21*$D$18,0)</f>
        <v>2253</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1.9224771330034489</v>
      </c>
      <c r="E22" s="284"/>
      <c r="F22" s="285"/>
      <c r="G22" s="286">
        <f ca="1">ROUND(G19/('数据-汇总表'!D3/666.67),0)</f>
        <v>150</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59"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03"/>
      <c r="B25" s="1315" t="s">
        <v>331</v>
      </c>
      <c r="C25" s="290">
        <f>IF(B30=0,0,C30)</f>
        <v>0</v>
      </c>
      <c r="D25" s="291"/>
      <c r="E25" s="311"/>
      <c r="F25" s="311"/>
      <c r="G25" s="311"/>
      <c r="H25" s="311"/>
      <c r="I25" s="311"/>
      <c r="J25" s="2012"/>
      <c r="K25" s="1249" t="str">
        <f ca="1">项目基本情况!B16&amp;"国有建设用地使用权价格："&amp;O38&amp;"万元"</f>
        <v>出让国有建设用地使用权价格：14362万元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大写金额：人民币壹亿肆仟叁佰陆拾贰万元整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单位面积地价：2253元/平方米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楼面地价：2253元/平方米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f ca="1">G19-C24</f>
        <v>14362</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f ca="1">ROUND(C32*10000/'数据-汇总表'!E3,0)</f>
        <v>2253</v>
      </c>
      <c r="D33" s="1380" t="s">
        <v>1689</v>
      </c>
      <c r="E33" s="3359"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2253</v>
      </c>
      <c r="D34" s="1382" t="s">
        <v>1689</v>
      </c>
      <c r="E34" s="3360"/>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150</v>
      </c>
      <c r="D35" s="1385" t="s">
        <v>1691</v>
      </c>
      <c r="E35" s="3361"/>
      <c r="F35" s="301" t="s">
        <v>342</v>
      </c>
      <c r="G35" s="980"/>
      <c r="H35" s="979" t="s">
        <v>343</v>
      </c>
      <c r="I35" s="311"/>
      <c r="J35" s="2012"/>
      <c r="K35" s="3365" t="s">
        <v>350</v>
      </c>
      <c r="L35" s="3365" t="s">
        <v>351</v>
      </c>
      <c r="M35" s="1258" t="s">
        <v>352</v>
      </c>
      <c r="N35" s="3365" t="s">
        <v>353</v>
      </c>
      <c r="O35" s="3365" t="s">
        <v>354</v>
      </c>
      <c r="P35" s="2012"/>
      <c r="V35" s="2012"/>
    </row>
    <row r="36" spans="1:26" ht="16.5" customHeight="1">
      <c r="A36" s="303" t="s">
        <v>344</v>
      </c>
      <c r="B36" s="304" t="s">
        <v>333</v>
      </c>
      <c r="C36" s="305" t="s">
        <v>345</v>
      </c>
      <c r="D36" s="305" t="s">
        <v>346</v>
      </c>
      <c r="E36" s="306" t="s">
        <v>347</v>
      </c>
      <c r="F36" s="311"/>
      <c r="G36" s="311"/>
      <c r="H36" s="311"/>
      <c r="I36" s="311"/>
      <c r="J36" s="2014"/>
      <c r="K36" s="3366"/>
      <c r="L36" s="3366"/>
      <c r="M36" s="1260" t="s">
        <v>355</v>
      </c>
      <c r="N36" s="3366"/>
      <c r="O36" s="3366"/>
      <c r="P36" s="2012"/>
      <c r="V36" s="2012"/>
    </row>
    <row r="37" spans="1:26" ht="16.5" customHeight="1" thickBot="1">
      <c r="A37" s="1254" t="s">
        <v>348</v>
      </c>
      <c r="B37" s="307"/>
      <c r="C37" s="294"/>
      <c r="D37" s="294"/>
      <c r="E37" s="295"/>
      <c r="F37" s="311"/>
      <c r="G37" s="311"/>
      <c r="H37" s="311"/>
      <c r="I37" s="311"/>
      <c r="J37" s="2014"/>
      <c r="K37" s="3367"/>
      <c r="L37" s="3367"/>
      <c r="M37" s="1261"/>
      <c r="N37" s="3367"/>
      <c r="O37" s="3367"/>
      <c r="P37" s="2012"/>
      <c r="V37" s="2012"/>
    </row>
    <row r="38" spans="1:26" ht="16.5" customHeight="1" thickBot="1">
      <c r="A38" s="1254" t="s">
        <v>349</v>
      </c>
      <c r="B38" s="307"/>
      <c r="C38" s="294"/>
      <c r="D38" s="294"/>
      <c r="E38" s="295"/>
      <c r="F38" s="311"/>
      <c r="G38" s="311"/>
      <c r="H38" s="311"/>
      <c r="I38" s="311"/>
      <c r="J38" s="2014"/>
      <c r="K38" s="1262">
        <f>'数据-汇总表'!D3</f>
        <v>63755.58</v>
      </c>
      <c r="L38" s="1263">
        <f>'数据-汇总表'!E3</f>
        <v>63755.58</v>
      </c>
      <c r="M38" s="1263">
        <f ca="1">C34</f>
        <v>2253</v>
      </c>
      <c r="N38" s="1263">
        <f ca="1">C33</f>
        <v>2253</v>
      </c>
      <c r="O38" s="1264">
        <f ca="1">C32</f>
        <v>14362</v>
      </c>
      <c r="P38" s="2012"/>
      <c r="V38" s="2012"/>
    </row>
    <row r="39" spans="1:26" ht="16.5" customHeight="1" thickBot="1">
      <c r="A39" s="1259"/>
      <c r="B39" s="308"/>
      <c r="C39" s="309"/>
      <c r="D39" s="309"/>
      <c r="E39" s="310"/>
      <c r="F39" s="311"/>
      <c r="G39" s="311"/>
      <c r="H39" s="311"/>
      <c r="I39" s="311"/>
      <c r="J39" s="2014"/>
      <c r="K39" s="3378" t="str">
        <f>MID(A44,3,LEN(A44)-2)</f>
        <v/>
      </c>
      <c r="L39" s="3379"/>
      <c r="M39" s="3379"/>
      <c r="N39" s="3380"/>
      <c r="O39" s="1387" t="str">
        <f>C44</f>
        <v>——</v>
      </c>
      <c r="P39" s="2012"/>
      <c r="V39" s="2012"/>
    </row>
    <row r="40" spans="1:26" ht="19.5" thickBot="1">
      <c r="A40" s="104" t="s">
        <v>871</v>
      </c>
      <c r="B40" s="311"/>
      <c r="C40" s="311"/>
      <c r="D40" s="311"/>
      <c r="E40" s="311"/>
      <c r="F40" s="311"/>
      <c r="G40" s="311"/>
      <c r="H40" s="311"/>
      <c r="I40" s="311"/>
      <c r="J40" s="2014"/>
      <c r="K40" s="3378" t="str">
        <f t="shared" ref="K40:K41" si="0">MID(A45,3,LEN(A45)-2)</f>
        <v/>
      </c>
      <c r="L40" s="3379"/>
      <c r="M40" s="3379"/>
      <c r="N40" s="3380"/>
      <c r="O40" s="1387" t="str">
        <f>C45</f>
        <v>——</v>
      </c>
      <c r="P40" s="2012"/>
      <c r="V40" s="2012"/>
    </row>
    <row r="41" spans="1:26" ht="16.5" thickBot="1">
      <c r="A41" s="312" t="s">
        <v>356</v>
      </c>
      <c r="B41" s="313"/>
      <c r="C41" s="314" t="s">
        <v>357</v>
      </c>
      <c r="D41" s="315" t="s">
        <v>358</v>
      </c>
      <c r="E41" s="315" t="s">
        <v>359</v>
      </c>
      <c r="F41" s="316" t="s">
        <v>360</v>
      </c>
      <c r="G41" s="311"/>
      <c r="H41" s="311"/>
      <c r="I41" s="311"/>
      <c r="J41" s="2014"/>
      <c r="K41" s="3378" t="str">
        <f t="shared" si="0"/>
        <v/>
      </c>
      <c r="L41" s="3379"/>
      <c r="M41" s="3379"/>
      <c r="N41" s="3380"/>
      <c r="O41" s="1387" t="str">
        <f>C46</f>
        <v>——</v>
      </c>
      <c r="P41" s="2012"/>
      <c r="V41" s="2012"/>
    </row>
    <row r="42" spans="1:26" ht="29.25">
      <c r="A42" s="3404" t="s">
        <v>2063</v>
      </c>
      <c r="B42" s="3405"/>
      <c r="C42" s="264">
        <f ca="1">C32</f>
        <v>14362</v>
      </c>
      <c r="D42" s="317">
        <f ca="1">C33</f>
        <v>2253</v>
      </c>
      <c r="E42" s="317">
        <f ca="1">C34</f>
        <v>2253</v>
      </c>
      <c r="F42" s="318">
        <f ca="1">C35</f>
        <v>150</v>
      </c>
      <c r="G42" s="311"/>
      <c r="H42" s="311"/>
      <c r="I42" s="319"/>
      <c r="J42" s="2014"/>
      <c r="K42" s="1265" t="s">
        <v>361</v>
      </c>
      <c r="L42" s="2031" t="s">
        <v>362</v>
      </c>
      <c r="M42" s="1266" t="s">
        <v>363</v>
      </c>
      <c r="N42" s="2032" t="s">
        <v>364</v>
      </c>
      <c r="O42" s="2033" t="s">
        <v>365</v>
      </c>
      <c r="P42" s="2012"/>
      <c r="V42" s="2012"/>
    </row>
    <row r="43" spans="1:26" ht="18">
      <c r="A43" s="3414" t="s">
        <v>2724</v>
      </c>
      <c r="B43" s="3415"/>
      <c r="C43" s="264">
        <f>IF(H33="正常操作",G33+G34+G35,G34+G35)</f>
        <v>0</v>
      </c>
      <c r="D43" s="317" t="s">
        <v>43</v>
      </c>
      <c r="E43" s="317" t="s">
        <v>44</v>
      </c>
      <c r="F43" s="318" t="s">
        <v>44</v>
      </c>
      <c r="G43" s="2820" t="s">
        <v>950</v>
      </c>
      <c r="H43" s="311"/>
      <c r="I43" s="319"/>
      <c r="J43" s="2014"/>
      <c r="K43" s="1267" t="str">
        <f>C4</f>
        <v>基准地价</v>
      </c>
      <c r="L43" s="1268">
        <f ca="1">IF(L42="估价结果/万元",C19,C20)</f>
        <v>6669</v>
      </c>
      <c r="M43" s="1269">
        <f>C18</f>
        <v>0.4</v>
      </c>
      <c r="N43" s="1270">
        <f ca="1">IF(N42="测算结果/万元",G19,G20)</f>
        <v>14362</v>
      </c>
      <c r="O43" s="1271">
        <f ca="1">IF(O42="最终结果/万元",C32,C33)</f>
        <v>14362</v>
      </c>
      <c r="P43" s="2012"/>
      <c r="V43" s="2012"/>
    </row>
    <row r="44" spans="1:26" ht="18.75" thickBot="1">
      <c r="A44" s="3404" t="str">
        <f>IF(OR(项目基本情况!E8="抵押价格",项目基本情况!E8="已注销及未注销"),"3.抵押价格","——")</f>
        <v>——</v>
      </c>
      <c r="B44" s="3405"/>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成本逼近法</v>
      </c>
      <c r="L44" s="1273">
        <f ca="1">IF(L42="估价结果/万元",D19,D20)</f>
        <v>19490</v>
      </c>
      <c r="M44" s="1274">
        <f>D18</f>
        <v>0.6</v>
      </c>
      <c r="N44" s="1275"/>
      <c r="O44" s="1276"/>
      <c r="P44" s="2012"/>
      <c r="V44" s="2012"/>
    </row>
    <row r="45" spans="1:26" ht="15">
      <c r="A45" s="3409" t="str">
        <f>IF(项目基本情况!E8="已注销及未注销","4.抵押担保权已注销时的抵押价格",IF(项目基本情况!E8="已注销","3.抵押担保权已注销时的抵押价格","——"))</f>
        <v>——</v>
      </c>
      <c r="B45" s="341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6" t="str">
        <f>IF(项目基本情况!E9="抵押净值",IF(A45="——","4.抵押净值","5.抵押净值"),"——")</f>
        <v>——</v>
      </c>
      <c r="B46" s="3407"/>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0" t="s">
        <v>374</v>
      </c>
      <c r="B63" s="3371"/>
      <c r="C63" s="3372"/>
      <c r="D63" s="341">
        <f ca="1">ROUND(C42*F63,0)</f>
        <v>8617</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11" t="s">
        <v>378</v>
      </c>
      <c r="B64" s="3412"/>
      <c r="C64" s="3412"/>
      <c r="D64" s="3412"/>
      <c r="E64" s="3412"/>
      <c r="F64" s="3412"/>
      <c r="G64" s="3413"/>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408" t="s">
        <v>386</v>
      </c>
      <c r="B66" s="3377"/>
      <c r="C66" s="3377"/>
      <c r="D66" s="261">
        <f ca="1">IF(H66="情况1",0,IF(H66="情况2",D70,IF(H66="情况3",D71,IF(H66="情况4",D72))))</f>
        <v>451</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338" t="s">
        <v>385</v>
      </c>
      <c r="M66" s="3339"/>
      <c r="N66" s="2421"/>
      <c r="O66" s="2422"/>
      <c r="P66" s="2423"/>
      <c r="Q66" s="2012"/>
      <c r="R66" s="2012"/>
      <c r="S66" s="2012"/>
      <c r="T66" s="2012"/>
      <c r="U66" s="2012"/>
      <c r="V66" s="2012"/>
    </row>
    <row r="67" spans="1:22" ht="25.5" customHeight="1">
      <c r="A67" s="352" t="s">
        <v>390</v>
      </c>
      <c r="B67" s="3389" t="s">
        <v>391</v>
      </c>
      <c r="C67" s="3389"/>
      <c r="D67" s="353">
        <v>0</v>
      </c>
      <c r="E67" s="41" t="s">
        <v>392</v>
      </c>
      <c r="F67" s="62" t="s">
        <v>21</v>
      </c>
      <c r="G67" s="3373"/>
      <c r="H67" s="311"/>
      <c r="I67" s="1286"/>
      <c r="J67" s="2019"/>
      <c r="K67" s="1960">
        <v>2</v>
      </c>
      <c r="L67" s="3343" t="s">
        <v>389</v>
      </c>
      <c r="M67" s="3343"/>
      <c r="N67" s="1319">
        <f>'数据-取费表'!B2</f>
        <v>44010</v>
      </c>
      <c r="O67" s="1319"/>
      <c r="P67" s="1319"/>
      <c r="Q67" s="2012"/>
      <c r="R67" s="2012"/>
      <c r="S67" s="2012"/>
      <c r="T67" s="2012"/>
      <c r="U67" s="2012"/>
      <c r="V67" s="2012"/>
    </row>
    <row r="68" spans="1:22" ht="25.5" customHeight="1">
      <c r="A68" s="354"/>
      <c r="B68" s="3389" t="s">
        <v>394</v>
      </c>
      <c r="C68" s="3389"/>
      <c r="D68" s="355"/>
      <c r="E68" s="77"/>
      <c r="F68" s="356"/>
      <c r="G68" s="3374"/>
      <c r="H68" s="311"/>
      <c r="I68" s="1286"/>
      <c r="J68" s="2019"/>
      <c r="K68" s="1960">
        <v>3</v>
      </c>
      <c r="L68" s="3343" t="s">
        <v>393</v>
      </c>
      <c r="M68" s="3343"/>
      <c r="N68" s="1287">
        <f ca="1">C42</f>
        <v>14362</v>
      </c>
      <c r="O68" s="1287"/>
      <c r="P68" s="1287"/>
      <c r="Q68" s="2012"/>
      <c r="R68" s="2012"/>
      <c r="S68" s="2012"/>
      <c r="T68" s="2012"/>
      <c r="U68" s="2012"/>
      <c r="V68" s="2012"/>
    </row>
    <row r="69" spans="1:22" ht="12" customHeight="1">
      <c r="A69" s="357"/>
      <c r="B69" s="3389" t="s">
        <v>395</v>
      </c>
      <c r="C69" s="3389"/>
      <c r="D69" s="358"/>
      <c r="E69" s="73"/>
      <c r="F69" s="356"/>
      <c r="G69" s="3375"/>
      <c r="H69" s="311"/>
      <c r="I69" s="1286"/>
      <c r="J69" s="2019"/>
      <c r="K69" s="1288">
        <v>4</v>
      </c>
      <c r="L69" s="3344" t="s">
        <v>2875</v>
      </c>
      <c r="M69" s="3345"/>
      <c r="N69" s="1289" t="str">
        <f>C44</f>
        <v>——</v>
      </c>
      <c r="O69" s="1289"/>
      <c r="P69" s="1289"/>
      <c r="Q69" s="2012"/>
      <c r="R69" s="2012"/>
      <c r="S69" s="2012"/>
      <c r="T69" s="2012"/>
      <c r="U69" s="2012"/>
      <c r="V69" s="2012"/>
    </row>
    <row r="70" spans="1:22" ht="24" customHeight="1">
      <c r="A70" s="359" t="s">
        <v>396</v>
      </c>
      <c r="B70" s="3389" t="s">
        <v>397</v>
      </c>
      <c r="C70" s="3389"/>
      <c r="D70" s="358">
        <f ca="1">ROUND(D63*'数据-取费表'!B41/(1+'数据-取费表'!C42),0)</f>
        <v>451</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88" t="s">
        <v>405</v>
      </c>
      <c r="C71" s="3402"/>
      <c r="D71" s="358">
        <f ca="1">ROUND(D63*'数据-取费表'!B41/(1+'数据-取费表'!C42),0)</f>
        <v>451</v>
      </c>
      <c r="E71" s="17" t="s">
        <v>398</v>
      </c>
      <c r="F71" s="360">
        <f>'数据-取费表'!B41</f>
        <v>5.5000000000000007E-2</v>
      </c>
      <c r="G71" s="361"/>
      <c r="H71" s="311"/>
      <c r="I71" s="1286"/>
      <c r="J71" s="2019"/>
      <c r="K71" s="3005" t="s">
        <v>399</v>
      </c>
      <c r="L71" s="3346" t="s">
        <v>400</v>
      </c>
      <c r="M71" s="3346"/>
      <c r="N71" s="3005" t="s">
        <v>401</v>
      </c>
      <c r="O71" s="3005" t="s">
        <v>402</v>
      </c>
      <c r="P71" s="3005" t="s">
        <v>403</v>
      </c>
      <c r="Q71" s="2012"/>
      <c r="R71" s="2012"/>
      <c r="S71" s="2012"/>
      <c r="T71" s="2012"/>
      <c r="U71" s="2012"/>
      <c r="V71" s="2012"/>
    </row>
    <row r="72" spans="1:22" ht="12" customHeight="1">
      <c r="A72" s="359" t="s">
        <v>407</v>
      </c>
      <c r="B72" s="3388" t="s">
        <v>408</v>
      </c>
      <c r="C72" s="3402"/>
      <c r="D72" s="358">
        <f ca="1">C86</f>
        <v>341</v>
      </c>
      <c r="E72" s="73" t="s">
        <v>409</v>
      </c>
      <c r="F72" s="360">
        <f>'数据-取费表'!B41</f>
        <v>5.5000000000000007E-2</v>
      </c>
      <c r="G72" s="361"/>
      <c r="H72" s="1292"/>
      <c r="I72" s="1286"/>
      <c r="J72" s="2019"/>
      <c r="K72" s="1960">
        <v>1</v>
      </c>
      <c r="L72" s="3342" t="s">
        <v>406</v>
      </c>
      <c r="M72" s="3342"/>
      <c r="N72" s="1290">
        <f ca="1">D66</f>
        <v>451</v>
      </c>
      <c r="O72" s="1843" t="str">
        <f>E66</f>
        <v>销售额×税（费）率</v>
      </c>
      <c r="P72" s="1291">
        <f>F66</f>
        <v>5.5000000000000007E-2</v>
      </c>
      <c r="Q72" s="2012"/>
      <c r="R72" s="2012"/>
      <c r="S72" s="2012"/>
      <c r="T72" s="2012"/>
      <c r="U72" s="2012"/>
      <c r="V72" s="2012"/>
    </row>
    <row r="73" spans="1:22" ht="24" customHeight="1">
      <c r="A73" s="3376" t="s">
        <v>411</v>
      </c>
      <c r="B73" s="3377"/>
      <c r="C73" s="3377"/>
      <c r="D73" s="362">
        <f>IF(H73="个人住宅",0,ROUND(D63*I73,0))</f>
        <v>0</v>
      </c>
      <c r="E73" s="17" t="s">
        <v>412</v>
      </c>
      <c r="F73" s="360" t="str">
        <f>IF(H73="正常",I73,"免征")</f>
        <v>免征</v>
      </c>
      <c r="G73" s="361"/>
      <c r="H73" s="191" t="s">
        <v>2450</v>
      </c>
      <c r="I73" s="360">
        <f>'数据-取费表'!B49</f>
        <v>5.0000000000000001E-4</v>
      </c>
      <c r="J73" s="2019"/>
      <c r="K73" s="1960">
        <v>2</v>
      </c>
      <c r="L73" s="3342" t="s">
        <v>410</v>
      </c>
      <c r="M73" s="3342"/>
      <c r="N73" s="1290">
        <f t="shared" ref="N73:P74" si="1">D73</f>
        <v>0</v>
      </c>
      <c r="O73" s="1843" t="str">
        <f t="shared" si="1"/>
        <v>销售额×税（费）率</v>
      </c>
      <c r="P73" s="1291" t="str">
        <f t="shared" si="1"/>
        <v>免征</v>
      </c>
      <c r="Q73" s="2012"/>
      <c r="R73" s="2012"/>
      <c r="S73" s="2012"/>
      <c r="T73" s="2012"/>
      <c r="U73" s="2012"/>
      <c r="V73" s="2012"/>
    </row>
    <row r="74" spans="1:22" ht="24.75">
      <c r="A74" s="3376" t="s">
        <v>415</v>
      </c>
      <c r="B74" s="3377"/>
      <c r="C74" s="3377"/>
      <c r="D74" s="362">
        <f ca="1">IF(H74="个人住宅",D75,D76)</f>
        <v>4288</v>
      </c>
      <c r="E74" s="17" t="s">
        <v>416</v>
      </c>
      <c r="F74" s="360" t="str">
        <f>IF(H74="正常",F76,"免征")</f>
        <v>——</v>
      </c>
      <c r="G74" s="981" t="s">
        <v>417</v>
      </c>
      <c r="H74" s="363" t="s">
        <v>413</v>
      </c>
      <c r="I74" s="42"/>
      <c r="J74" s="2019"/>
      <c r="K74" s="1960">
        <v>3</v>
      </c>
      <c r="L74" s="3342" t="s">
        <v>414</v>
      </c>
      <c r="M74" s="3342"/>
      <c r="N74" s="1290">
        <f t="shared" ca="1" si="1"/>
        <v>4288</v>
      </c>
      <c r="O74" s="1843" t="str">
        <f t="shared" si="1"/>
        <v>增值额×税（费）率</v>
      </c>
      <c r="P74" s="1293" t="str">
        <f t="shared" si="1"/>
        <v>——</v>
      </c>
      <c r="Q74" s="2012"/>
      <c r="R74" s="2012"/>
      <c r="S74" s="2012"/>
      <c r="T74" s="2012"/>
      <c r="U74" s="2012"/>
      <c r="V74" s="2012"/>
    </row>
    <row r="75" spans="1:22" ht="24">
      <c r="A75" s="359" t="s">
        <v>418</v>
      </c>
      <c r="B75" s="3357" t="s">
        <v>419</v>
      </c>
      <c r="C75" s="3358"/>
      <c r="D75" s="364">
        <v>0</v>
      </c>
      <c r="E75" s="41" t="s">
        <v>420</v>
      </c>
      <c r="F75" s="365"/>
      <c r="G75" s="361"/>
      <c r="H75" s="42"/>
      <c r="I75" s="42"/>
      <c r="J75" s="2019"/>
      <c r="K75" s="2998">
        <f>IF(H77="非个人房产","",4)</f>
        <v>4</v>
      </c>
      <c r="L75" s="3342" t="str">
        <f>IF(H77="非个人房产","——","个人所得税")</f>
        <v>个人所得税</v>
      </c>
      <c r="M75" s="3342"/>
      <c r="N75" s="1294">
        <f ca="1">D77</f>
        <v>86</v>
      </c>
      <c r="O75" s="1856" t="str">
        <f>E77</f>
        <v>销售额×税（费）率</v>
      </c>
      <c r="P75" s="1295">
        <f>F77</f>
        <v>0.01</v>
      </c>
      <c r="Q75" s="2012"/>
      <c r="R75" s="2012"/>
      <c r="S75" s="2012"/>
      <c r="T75" s="2012"/>
      <c r="U75" s="2012"/>
      <c r="V75" s="2012"/>
    </row>
    <row r="76" spans="1:22" ht="24.75">
      <c r="A76" s="359" t="s">
        <v>396</v>
      </c>
      <c r="B76" s="3357" t="s">
        <v>422</v>
      </c>
      <c r="C76" s="3399"/>
      <c r="D76" s="362">
        <f ca="1">IF(H76="转让取得",C99,C115)</f>
        <v>4288</v>
      </c>
      <c r="E76" s="17" t="s">
        <v>423</v>
      </c>
      <c r="F76" s="53" t="s">
        <v>21</v>
      </c>
      <c r="G76" s="361"/>
      <c r="H76" s="363" t="s">
        <v>424</v>
      </c>
      <c r="I76" s="42"/>
      <c r="J76" s="2019"/>
      <c r="K76" s="2998" t="str">
        <f>IF(项目基本情况!K6="上海银行",IF(K75="",4,K75+1),"")</f>
        <v/>
      </c>
      <c r="L76" s="3353" t="str">
        <f>IF(项目基本情况!K6="上海银行","其他处置费用","")</f>
        <v/>
      </c>
      <c r="M76" s="3354"/>
      <c r="N76" s="1290" t="str">
        <f>IF(项目基本情况!K6="上海银行",N89,"")</f>
        <v/>
      </c>
      <c r="O76" s="3355" t="str">
        <f>IF(项目基本情况!K6="上海银行","包含处置中涉及的律师、诉讼、拍卖、评估等费用","")</f>
        <v/>
      </c>
      <c r="P76" s="3356"/>
      <c r="Q76" s="2012"/>
      <c r="R76" s="2012"/>
      <c r="S76" s="2012"/>
      <c r="T76" s="2012"/>
      <c r="U76" s="2012"/>
      <c r="V76" s="2012"/>
    </row>
    <row r="77" spans="1:22" ht="26.25" thickBot="1">
      <c r="A77" s="3368" t="s">
        <v>426</v>
      </c>
      <c r="B77" s="3369"/>
      <c r="C77" s="3369"/>
      <c r="D77" s="366">
        <f ca="1">IF(H77="非个人房产","——",IF(H77="个人住宅",0,ROUND(D63*I77,0)))</f>
        <v>86</v>
      </c>
      <c r="E77" s="367" t="str">
        <f>IF(H77="非个人房产","——","销售额×税（费）率")</f>
        <v>销售额×税（费）率</v>
      </c>
      <c r="F77" s="368">
        <f>IF(H77="非个人房产","——",IF(H77="个人住宅","免征",I77))</f>
        <v>0.01</v>
      </c>
      <c r="G77" s="982" t="s">
        <v>417</v>
      </c>
      <c r="H77" s="363" t="s">
        <v>2876</v>
      </c>
      <c r="I77" s="369">
        <v>0.01</v>
      </c>
      <c r="J77" s="2019"/>
      <c r="K77" s="3364">
        <f>IF(AND(K75="",K76=""),4,IF(项目基本情况!K6="上海银行",K76+1,K75+1))</f>
        <v>5</v>
      </c>
      <c r="L77" s="3342" t="s">
        <v>2877</v>
      </c>
      <c r="M77" s="3004" t="s">
        <v>421</v>
      </c>
      <c r="N77" s="1296"/>
      <c r="O77" s="1297">
        <f ca="1">SUMIF(N72:N76,"&lt;9e307")</f>
        <v>4825</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64"/>
      <c r="L78" s="3342"/>
      <c r="M78" s="3004" t="s">
        <v>425</v>
      </c>
      <c r="N78" s="1296"/>
      <c r="O78" s="1297" t="str">
        <f ca="1">NUMBERSTRING(INT(O77*10000),2)&amp;"元整"</f>
        <v>肆仟捌佰贰拾伍万元整</v>
      </c>
      <c r="P78" s="1298"/>
      <c r="Q78" s="2012"/>
      <c r="R78" s="2012"/>
      <c r="S78" s="2012"/>
      <c r="T78" s="2012"/>
      <c r="U78" s="2012"/>
      <c r="V78" s="2012"/>
    </row>
    <row r="79" spans="1:22" ht="13.5" thickBot="1">
      <c r="A79" s="3416" t="s">
        <v>427</v>
      </c>
      <c r="B79" s="3416"/>
      <c r="C79" s="3416"/>
      <c r="D79" s="3416"/>
      <c r="E79" s="3416"/>
      <c r="F79" s="42"/>
      <c r="G79" s="42"/>
      <c r="H79" s="1001"/>
      <c r="I79" s="311"/>
      <c r="J79" s="2019"/>
      <c r="K79" s="3340">
        <f>K77+1</f>
        <v>6</v>
      </c>
      <c r="L79" s="3342" t="s">
        <v>2878</v>
      </c>
      <c r="M79" s="3004" t="s">
        <v>421</v>
      </c>
      <c r="N79" s="1296"/>
      <c r="O79" s="1297" t="e">
        <f ca="1">N69-O77</f>
        <v>#VALUE!</v>
      </c>
      <c r="P79" s="1298"/>
      <c r="Q79" s="2012"/>
      <c r="R79" s="2012"/>
      <c r="S79" s="2012"/>
      <c r="T79" s="2012"/>
      <c r="U79" s="2012"/>
      <c r="V79" s="2012"/>
    </row>
    <row r="80" spans="1:22" ht="12.75">
      <c r="A80" s="3350" t="s">
        <v>428</v>
      </c>
      <c r="B80" s="3351"/>
      <c r="C80" s="992"/>
      <c r="D80" s="992" t="s">
        <v>429</v>
      </c>
      <c r="E80" s="370" t="s">
        <v>430</v>
      </c>
      <c r="F80" s="42"/>
      <c r="G80" s="42"/>
      <c r="H80" s="1001"/>
      <c r="I80" s="311"/>
      <c r="J80" s="2012"/>
      <c r="K80" s="3341"/>
      <c r="L80" s="3342"/>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8207</v>
      </c>
      <c r="D81" s="373"/>
      <c r="E81" s="374"/>
      <c r="F81" s="42"/>
      <c r="G81" s="42"/>
      <c r="H81" s="1001"/>
      <c r="I81" s="311"/>
      <c r="J81" s="2012"/>
      <c r="K81" s="2998">
        <f>K79+1</f>
        <v>7</v>
      </c>
      <c r="L81" s="3362" t="s">
        <v>2879</v>
      </c>
      <c r="M81" s="3363"/>
      <c r="N81" s="1300"/>
      <c r="O81" s="1301" t="e">
        <f ca="1">ROUND(O79*10000/'数据-汇总表'!E3,0)</f>
        <v>#VALUE!</v>
      </c>
      <c r="P81" s="1302"/>
      <c r="Q81" s="2012"/>
      <c r="R81" s="2012"/>
      <c r="S81" s="2012"/>
      <c r="T81" s="2012"/>
      <c r="U81" s="2012"/>
      <c r="V81" s="2012"/>
    </row>
    <row r="82" spans="1:26" ht="13.5" thickTop="1">
      <c r="A82" s="375" t="s">
        <v>1822</v>
      </c>
      <c r="B82" s="376" t="s">
        <v>432</v>
      </c>
      <c r="C82" s="377">
        <f ca="1">D63</f>
        <v>8617</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52"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52"/>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f ca="1">C81-C84</f>
        <v>6207</v>
      </c>
      <c r="D85" s="378" t="s">
        <v>19</v>
      </c>
      <c r="E85" s="379"/>
      <c r="F85" s="42"/>
      <c r="G85" s="42"/>
      <c r="H85" s="1001"/>
      <c r="I85" s="311"/>
      <c r="J85" s="2012"/>
      <c r="K85" s="3352"/>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f ca="1">IF(C85&lt;=0,0,ROUND(C85*D86,0))</f>
        <v>341</v>
      </c>
      <c r="D86" s="389">
        <f>'数据-取费表'!B41</f>
        <v>5.5000000000000007E-2</v>
      </c>
      <c r="E86" s="390"/>
      <c r="F86" s="42"/>
      <c r="G86" s="42"/>
      <c r="H86" s="1001"/>
      <c r="I86" s="311"/>
      <c r="J86" s="2012"/>
      <c r="K86" s="3352"/>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52"/>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91" t="s">
        <v>437</v>
      </c>
      <c r="B88" s="3392"/>
      <c r="C88" s="3392"/>
      <c r="D88" s="3392"/>
      <c r="E88" s="3392"/>
      <c r="F88" s="3392"/>
      <c r="G88" s="3392"/>
      <c r="H88" s="3392"/>
      <c r="I88" s="1309"/>
      <c r="J88" s="2020"/>
      <c r="K88" s="3352"/>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50" t="s">
        <v>428</v>
      </c>
      <c r="B89" s="3351"/>
      <c r="C89" s="992"/>
      <c r="D89" s="992" t="s">
        <v>429</v>
      </c>
      <c r="E89" s="391" t="s">
        <v>438</v>
      </c>
      <c r="F89" s="392"/>
      <c r="G89" s="392"/>
      <c r="H89" s="393"/>
      <c r="I89" s="1310"/>
      <c r="J89" s="2022"/>
      <c r="K89" s="3352"/>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8207</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2602</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88" t="s">
        <v>447</v>
      </c>
      <c r="F94" s="3389"/>
      <c r="G94" s="3389"/>
      <c r="H94" s="3390"/>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41</v>
      </c>
      <c r="D96" s="406">
        <f>'数据-取费表'!B43</f>
        <v>5.000000000000001E-3</v>
      </c>
      <c r="E96" s="3347" t="s">
        <v>2423</v>
      </c>
      <c r="F96" s="3348"/>
      <c r="G96" s="3348"/>
      <c r="H96" s="3349"/>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5605</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2.1541122213681785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2452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91" t="s">
        <v>454</v>
      </c>
      <c r="B101" s="3392"/>
      <c r="C101" s="3392"/>
      <c r="D101" s="3392"/>
      <c r="E101" s="3392"/>
      <c r="F101" s="3392"/>
      <c r="G101" s="3392"/>
      <c r="H101" s="3392"/>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50" t="s">
        <v>428</v>
      </c>
      <c r="B102" s="3351"/>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8207</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670</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400" t="s">
        <v>2994</v>
      </c>
      <c r="H108" s="3401"/>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81" t="s">
        <v>462</v>
      </c>
      <c r="F109" s="3348"/>
      <c r="G109" s="3348"/>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81" t="s">
        <v>464</v>
      </c>
      <c r="F110" s="3348"/>
      <c r="G110" s="3348"/>
      <c r="H110" s="3349"/>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41</v>
      </c>
      <c r="D111" s="406">
        <f>'数据-取费表'!B43</f>
        <v>5.000000000000001E-3</v>
      </c>
      <c r="E111" s="3347" t="s">
        <v>2423</v>
      </c>
      <c r="F111" s="3348"/>
      <c r="G111" s="3348"/>
      <c r="H111" s="3349"/>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81" t="s">
        <v>2448</v>
      </c>
      <c r="F112" s="3348"/>
      <c r="G112" s="3348"/>
      <c r="H112" s="3349"/>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7537</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11.249253731343284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4288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B13" sqref="B13"/>
    </sheetView>
  </sheetViews>
  <sheetFormatPr defaultRowHeight="13.5"/>
  <cols>
    <col min="4" max="4" width="0" hidden="1" customWidth="1"/>
    <col min="6" max="6" width="0" hidden="1" customWidth="1"/>
    <col min="7" max="7" width="27.125" customWidth="1"/>
  </cols>
  <sheetData>
    <row r="5" spans="3:11">
      <c r="C5" s="3239" t="s">
        <v>3174</v>
      </c>
      <c r="D5" s="3240"/>
      <c r="E5" s="3239" t="s">
        <v>3175</v>
      </c>
      <c r="F5" s="3240"/>
      <c r="G5" s="3239" t="s">
        <v>3179</v>
      </c>
      <c r="H5" s="3239" t="s">
        <v>3177</v>
      </c>
      <c r="I5" s="3240"/>
      <c r="J5" s="3240"/>
      <c r="K5" s="3240"/>
    </row>
    <row r="6" spans="3:11">
      <c r="C6" s="3240">
        <f ca="1">基准地价!C29</f>
        <v>1046</v>
      </c>
      <c r="D6" s="3240"/>
      <c r="E6" s="3240">
        <f ca="1">'剩余法-现房'!B3</f>
        <v>1731</v>
      </c>
      <c r="F6" s="3240"/>
      <c r="G6" s="3240">
        <f ca="1">ROUND((C6+E6)/2*(1-0.15),0)</f>
        <v>1180</v>
      </c>
      <c r="H6" s="3240">
        <v>0.4</v>
      </c>
      <c r="I6" s="3240"/>
      <c r="J6" s="3239" t="s">
        <v>3182</v>
      </c>
      <c r="K6" s="3239" t="s">
        <v>3178</v>
      </c>
    </row>
    <row r="7" spans="3:11">
      <c r="C7" s="3240"/>
      <c r="D7" s="3240"/>
      <c r="E7" s="3240"/>
      <c r="F7" s="3240"/>
      <c r="G7" s="3239" t="s">
        <v>3176</v>
      </c>
      <c r="H7" s="3240"/>
      <c r="I7" s="3240"/>
      <c r="J7" s="3240">
        <f ca="1">ROUND(G6*H6+G8*H8,0)</f>
        <v>2306</v>
      </c>
      <c r="K7" s="3241">
        <f ca="1">J7*667/10000</f>
        <v>153.81020000000001</v>
      </c>
    </row>
    <row r="8" spans="3:11">
      <c r="C8" s="3240"/>
      <c r="D8" s="3240"/>
      <c r="E8" s="3240"/>
      <c r="F8" s="3240"/>
      <c r="G8" s="3240">
        <f ca="1">成本逼近法!B3</f>
        <v>3057</v>
      </c>
      <c r="H8" s="3240">
        <v>0.6</v>
      </c>
      <c r="I8" s="3240"/>
      <c r="J8" s="3240"/>
      <c r="K8" s="3240"/>
    </row>
    <row r="11" spans="3:11">
      <c r="G11" s="3238" t="s">
        <v>3180</v>
      </c>
      <c r="J11">
        <f ca="1">ROUND(G12*H6+G8*H8,0)</f>
        <v>2284</v>
      </c>
      <c r="K11">
        <f ca="1">J11*667</f>
        <v>1523428</v>
      </c>
    </row>
    <row r="12" spans="3:11">
      <c r="G12">
        <f ca="1">ROUND((C6+E6)/2*(1-0.19),0)</f>
        <v>1125</v>
      </c>
      <c r="H12">
        <v>0.4</v>
      </c>
    </row>
    <row r="13" spans="3:11">
      <c r="G13" s="3238" t="s">
        <v>3181</v>
      </c>
    </row>
    <row r="14" spans="3:11">
      <c r="G14">
        <f ca="1">G8</f>
        <v>3057</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7"/>
  <sheetViews>
    <sheetView workbookViewId="0">
      <selection activeCell="D8" sqref="D8"/>
    </sheetView>
  </sheetViews>
  <sheetFormatPr defaultRowHeight="13.5"/>
  <cols>
    <col min="1" max="1" width="17.75" style="3245" customWidth="1"/>
    <col min="2" max="2" width="11.25" style="3245" customWidth="1"/>
    <col min="3" max="3" width="11" style="3245" customWidth="1"/>
    <col min="4" max="4" width="11.625" style="3245" customWidth="1"/>
    <col min="5" max="5" width="34.625" style="3245" customWidth="1"/>
    <col min="6" max="16384" width="9" style="3245"/>
  </cols>
  <sheetData>
    <row r="4" spans="1:5">
      <c r="A4" s="3247"/>
      <c r="B4" s="3248" t="s">
        <v>3193</v>
      </c>
      <c r="C4" s="3248" t="s">
        <v>3190</v>
      </c>
      <c r="D4" s="3248" t="s">
        <v>3191</v>
      </c>
      <c r="E4" s="3246"/>
    </row>
    <row r="5" spans="1:5">
      <c r="A5" s="3248" t="s">
        <v>3192</v>
      </c>
      <c r="B5" s="3249">
        <f ca="1">基准地价!C29</f>
        <v>1046</v>
      </c>
      <c r="C5" s="3249">
        <f ca="1">成本逼近法!B3</f>
        <v>3057</v>
      </c>
      <c r="D5" s="3249">
        <f ca="1">'剩余法-现房'!B3</f>
        <v>1731</v>
      </c>
      <c r="E5" s="3246"/>
    </row>
    <row r="6" spans="1:5">
      <c r="A6" s="3248" t="s">
        <v>3194</v>
      </c>
      <c r="B6" s="3247">
        <v>0.3</v>
      </c>
      <c r="C6" s="3247">
        <v>0.4</v>
      </c>
      <c r="D6" s="3247">
        <v>0.3</v>
      </c>
    </row>
    <row r="7" spans="1:5">
      <c r="A7" s="3248" t="s">
        <v>3195</v>
      </c>
      <c r="B7" s="3248" t="s">
        <v>3196</v>
      </c>
      <c r="C7" s="3247">
        <f ca="1">ROUND(B5*B6+C5*C6+D5*D6,0)</f>
        <v>2056</v>
      </c>
      <c r="D7" s="3247"/>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50" t="str">
        <f>项目基本情况!B1</f>
        <v>北京市出让国有建设用地使用权市场价格预评估</v>
      </c>
      <c r="C37" s="3250"/>
      <c r="D37" s="3250"/>
      <c r="E37" s="3250"/>
      <c r="F37" s="3250"/>
      <c r="G37" s="3250"/>
      <c r="H37" s="3250"/>
      <c r="I37" s="3250"/>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9" zoomScale="80" zoomScaleNormal="80" workbookViewId="0">
      <selection activeCell="F86" sqref="F8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63755.58</v>
      </c>
      <c r="E1" s="1401" t="s">
        <v>2422</v>
      </c>
      <c r="F1" s="2415">
        <f>'数据-汇总表'!D3</f>
        <v>63755.58</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6669</v>
      </c>
      <c r="C2" s="1402" t="s">
        <v>919</v>
      </c>
      <c r="D2" s="1403" t="s">
        <v>920</v>
      </c>
      <c r="E2" s="1404" t="s">
        <v>979</v>
      </c>
      <c r="F2" s="1403" t="s">
        <v>922</v>
      </c>
      <c r="G2" s="1636" t="str">
        <f>IF(E2="商业",项目基本情况!B43,IF(E2="办公",项目基本情况!C43,IF(E2="住宅",项目基本情况!D43,项目基本情况!E43)))</f>
        <v>八级</v>
      </c>
      <c r="H2" s="1403" t="s">
        <v>924</v>
      </c>
      <c r="I2" s="1637" t="str">
        <f>IF(E2="商业",项目基本情况!B44,IF(E2="办公",项目基本情况!C44,IF(E2="住宅",项目基本情况!D44,项目基本情况!E44)))</f>
        <v>Ⅷ-04</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1.9419999999999999</v>
      </c>
      <c r="T2" s="2891">
        <f ca="1">ROUND($C$5*$C$18*$C$19*$C$20*S2*$C$24,0)</f>
        <v>2032</v>
      </c>
      <c r="U2" s="2880"/>
      <c r="V2" s="2891">
        <f ca="1">ROUND(T2*U2/10000,0)</f>
        <v>0</v>
      </c>
      <c r="W2" s="2173"/>
      <c r="X2" s="2173"/>
      <c r="Y2" s="2173"/>
      <c r="Z2" s="2173"/>
      <c r="AA2" s="2173"/>
      <c r="AB2" s="2173"/>
      <c r="AC2" s="2174"/>
    </row>
    <row r="3" spans="1:39" ht="15.75">
      <c r="A3" s="1406" t="s">
        <v>1685</v>
      </c>
      <c r="B3" s="1036">
        <f ca="1">ROUND(B2*10000/D1,0)</f>
        <v>1046</v>
      </c>
      <c r="C3" s="1402" t="s">
        <v>925</v>
      </c>
      <c r="D3" s="1403" t="s">
        <v>926</v>
      </c>
      <c r="E3" s="1407" t="s">
        <v>3161</v>
      </c>
      <c r="F3" s="1408" t="s">
        <v>3162</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1.2799</v>
      </c>
      <c r="T3" s="2891">
        <f t="shared" ref="T3:T16" ca="1" si="0">ROUND($C$5*$C$18*$C$19*$C$20*S3*$C$24,0)</f>
        <v>1339</v>
      </c>
      <c r="U3" s="2880"/>
      <c r="V3" s="2891">
        <f t="shared" ref="V3:V16" ca="1" si="1">ROUND(T3*U3/10000,0)</f>
        <v>0</v>
      </c>
      <c r="W3" s="2173"/>
      <c r="X3" s="2173"/>
      <c r="Y3" s="2173"/>
      <c r="Z3" s="2173"/>
      <c r="AA3" s="2173"/>
      <c r="AB3" s="2173"/>
      <c r="AC3" s="2174"/>
    </row>
    <row r="4" spans="1:39" ht="28.5">
      <c r="A4" s="1875" t="s">
        <v>2275</v>
      </c>
      <c r="B4" s="2416">
        <f ca="1">ROUND(B2*10000/F1,0)</f>
        <v>1046</v>
      </c>
      <c r="C4" s="1878" t="s">
        <v>2250</v>
      </c>
      <c r="D4" s="1878">
        <f ca="1">ROUND(B2/(F1/666.67),0)</f>
        <v>70</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1.0072000000000001</v>
      </c>
      <c r="T4" s="2891">
        <f t="shared" ca="1" si="0"/>
        <v>1054</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980</v>
      </c>
      <c r="D5" s="3065">
        <f>ROUND(C6+C16,0)</f>
        <v>980</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0.75249999999999995</v>
      </c>
      <c r="T5" s="2891">
        <f t="shared" ca="1" si="0"/>
        <v>787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980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0.56589999999999996</v>
      </c>
      <c r="T6" s="2891">
        <f t="shared" ca="1" si="0"/>
        <v>592</v>
      </c>
      <c r="U6" s="2880"/>
      <c r="V6" s="2891">
        <f t="shared" ca="1" si="1"/>
        <v>0</v>
      </c>
      <c r="W6" s="2173"/>
      <c r="X6" s="2173"/>
      <c r="Y6" s="2173"/>
      <c r="Z6" s="2173"/>
      <c r="AA6" s="2173"/>
      <c r="AB6" s="2173"/>
      <c r="AC6" s="2175"/>
      <c r="AD6" s="1414"/>
      <c r="AE6" s="1414"/>
      <c r="AF6" s="1414"/>
      <c r="AG6" s="1414"/>
      <c r="AH6" s="1414"/>
      <c r="AI6" s="1414"/>
      <c r="AJ6" s="1415"/>
    </row>
    <row r="7" spans="1:39" ht="24">
      <c r="A7" s="3418"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0.45250000000000001</v>
      </c>
      <c r="T7" s="2891">
        <f t="shared" ca="1" si="0"/>
        <v>473</v>
      </c>
      <c r="U7" s="2880"/>
      <c r="V7" s="2891">
        <f t="shared" ca="1" si="1"/>
        <v>0</v>
      </c>
      <c r="W7" s="2889" t="s">
        <v>2758</v>
      </c>
      <c r="X7" s="2881" t="str">
        <f>G2</f>
        <v>八级</v>
      </c>
      <c r="Y7" s="2881" t="s">
        <v>2759</v>
      </c>
      <c r="Z7" s="2882">
        <f>G3</f>
        <v>1</v>
      </c>
      <c r="AA7" s="2176"/>
      <c r="AB7" s="2176"/>
      <c r="AC7" s="2177"/>
      <c r="AD7" s="2883"/>
      <c r="AE7" s="2883"/>
      <c r="AF7" s="2883"/>
      <c r="AG7" s="2883"/>
      <c r="AH7" s="2883"/>
      <c r="AI7" s="2883"/>
      <c r="AJ7" s="2884"/>
    </row>
    <row r="8" spans="1:39" ht="15">
      <c r="A8" s="3419"/>
      <c r="B8" s="1409" t="s">
        <v>932</v>
      </c>
      <c r="C8" s="1515"/>
      <c r="D8" s="1043" t="s">
        <v>933</v>
      </c>
      <c r="E8" s="1044">
        <f>ROUND(C11/E7,4)</f>
        <v>0</v>
      </c>
      <c r="F8" s="1427" t="s">
        <v>934</v>
      </c>
      <c r="G8" s="1428"/>
      <c r="H8" s="1428"/>
      <c r="I8" s="1428"/>
      <c r="J8" s="1429"/>
      <c r="K8" s="1451"/>
      <c r="L8" s="1869" t="s">
        <v>2241</v>
      </c>
      <c r="M8" s="1870">
        <f>SUMPRODUCT((区片价!B206:B244=I2)*(区片价!C3:F3=E2)*(区片价!C206:F244))</f>
        <v>980</v>
      </c>
      <c r="N8" s="1871">
        <f>SUMPRODUCT((因素修正幅度!B206:B244=I2)*(因素修正幅度!C3:F3=E2)*(因素修正幅度!C206:F244))</f>
        <v>0.11700000000000001</v>
      </c>
      <c r="O8" s="1451"/>
      <c r="P8" s="1396"/>
      <c r="Q8" s="2173"/>
      <c r="R8" s="2891">
        <v>7</v>
      </c>
      <c r="S8" s="2880"/>
      <c r="T8" s="2891">
        <f t="shared" ca="1" si="0"/>
        <v>0</v>
      </c>
      <c r="U8" s="2880"/>
      <c r="V8" s="2891">
        <f t="shared" ca="1" si="1"/>
        <v>0</v>
      </c>
      <c r="W8" s="3429" t="s">
        <v>2776</v>
      </c>
      <c r="X8" s="3430"/>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19"/>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28"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9"/>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2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9"/>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28"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18"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28"/>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0"/>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28"/>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20"/>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21"/>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18" t="s">
        <v>1836</v>
      </c>
      <c r="B16" s="1422" t="s">
        <v>948</v>
      </c>
      <c r="C16" s="1050">
        <f>ROUND(IF(F17="与级别开发程度一致",0,(G17-E17)/C17),0)</f>
        <v>0</v>
      </c>
      <c r="D16" s="3436" t="s">
        <v>952</v>
      </c>
      <c r="E16" s="3437"/>
      <c r="F16" s="3436" t="s">
        <v>949</v>
      </c>
      <c r="G16" s="3437"/>
      <c r="H16" s="1454" t="s">
        <v>3163</v>
      </c>
      <c r="I16" s="1454" t="s">
        <v>3164</v>
      </c>
      <c r="J16" s="1454" t="s">
        <v>3165</v>
      </c>
      <c r="K16" s="1454" t="s">
        <v>3166</v>
      </c>
      <c r="L16" s="1454" t="s">
        <v>3167</v>
      </c>
      <c r="M16" s="1454" t="s">
        <v>3168</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22"/>
      <c r="B17" s="3168" t="s">
        <v>951</v>
      </c>
      <c r="C17" s="3169">
        <f>SUMPRODUCT((修正!A2:A5=E2)*(修正!B1:M1=G2)*(修正!B2:M5))</f>
        <v>1</v>
      </c>
      <c r="D17" s="3170" t="str">
        <f>IF(OR(G2="八级",G2="九级",G2="十级",G2="十一级",G2="十二级"),"五通一平","七通一平")</f>
        <v>五通一平</v>
      </c>
      <c r="E17" s="3160">
        <f>SUMPRODUCT((修正!B1:M1=G2)*(修正!B15:M15))</f>
        <v>155</v>
      </c>
      <c r="F17" s="3161" t="s">
        <v>3169</v>
      </c>
      <c r="G17" s="3160">
        <f>SUM(H17:O17)</f>
        <v>155</v>
      </c>
      <c r="H17" s="1049">
        <f>SUMPRODUCT((七通一平=H16)*(修正!B1:M1=G2)*(修正!B6:M14))</f>
        <v>50</v>
      </c>
      <c r="I17" s="1049">
        <f>SUMPRODUCT((七通一平=I16)*(修正!B1:M1=G2)*(修正!B6:M14))</f>
        <v>40</v>
      </c>
      <c r="J17" s="1049">
        <f>SUMPRODUCT((七通一平=J16)*(修正!B1:M1=G2)*(修正!B6:M14))</f>
        <v>10</v>
      </c>
      <c r="K17" s="1049">
        <f>SUMPRODUCT((七通一平=K16)*(修正!B1:M1=G2)*(修正!B6:M14))</f>
        <v>20</v>
      </c>
      <c r="L17" s="1049">
        <f>SUMPRODUCT((七通一平=L16)*(修正!B1:M1=G2)*(修正!B6:M14))</f>
        <v>25</v>
      </c>
      <c r="M17" s="1049">
        <f>SUMPRODUCT((七通一平=M16)*(修正!B1:M1=G2)*(修正!B6:M14))</f>
        <v>10</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ROUND(IF(H19="按公示增长率计算",SUMPRODUCT((地价!A3:A30=YEAR(G19)&amp;"-"&amp;ROUNDUP(MONTH(G19)/3,0))*(地价!X2:AB2=E2)*(地价!X3:AB30)),IF(H19="地价指数",M20/M19,(1+I19)^O19)),4)</f>
        <v>1.3815999999999999</v>
      </c>
      <c r="D19" s="1461" t="s">
        <v>955</v>
      </c>
      <c r="E19" s="1052">
        <v>41640</v>
      </c>
      <c r="F19" s="1461" t="s">
        <v>956</v>
      </c>
      <c r="G19" s="1053">
        <f>'数据-取费表'!B2</f>
        <v>44010</v>
      </c>
      <c r="H19" s="1462" t="s">
        <v>2984</v>
      </c>
      <c r="I19" s="2739" t="str">
        <f>IF(H19="季度增幅（自定义）",SUMIF(N21:N24,E2,O21:O24),"")</f>
        <v/>
      </c>
      <c r="J19" s="1458"/>
      <c r="K19" s="3142"/>
      <c r="L19" s="2991" t="s">
        <v>2833</v>
      </c>
      <c r="M19" s="2992">
        <f>ROUND(SUMIF(地价!B2:F2,E2,地价!B30:F30),0)</f>
        <v>230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0.75329999999999997</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24.37</v>
      </c>
      <c r="J20" s="2738">
        <f>IF(E2="住宅",70,IF(E2="商业",40,50))</f>
        <v>50</v>
      </c>
      <c r="K20" s="3144"/>
      <c r="L20" s="2993" t="s">
        <v>2834</v>
      </c>
      <c r="M20" s="3151">
        <f>ROUND(SUMPRODUCT((地价!A4:A30=YEAR(G19)&amp;"-"&amp;ROUNDUP(MONTH(G19)/3,0))*(地价!B2:F2=E2)*(地价!B4:F30)),0)</f>
        <v>318</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3170</v>
      </c>
      <c r="C21" s="1152">
        <f>IF(B21="容积率修正",IF(G3&lt;=10,D22,J22),C23)</f>
        <v>1</v>
      </c>
      <c r="D21" s="1468"/>
      <c r="E21" s="1468"/>
      <c r="F21" s="1468"/>
      <c r="G21" s="1468"/>
      <c r="H21" s="1468"/>
      <c r="I21" s="1468"/>
      <c r="J21" s="1469"/>
      <c r="K21" s="3142"/>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975</v>
      </c>
      <c r="J22" s="1054" t="str">
        <f>IF(G3&gt;10,D113,"——")</f>
        <v>——</v>
      </c>
      <c r="K22" s="3145"/>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0.44750000000000001</v>
      </c>
      <c r="D23" s="1516"/>
      <c r="E23" s="1516"/>
      <c r="F23" s="1517"/>
      <c r="G23" s="1518"/>
      <c r="H23" s="1519"/>
      <c r="I23" s="1520"/>
      <c r="J23" s="1520"/>
      <c r="K23" s="3146"/>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1.0257000000000001</v>
      </c>
      <c r="D24" s="1521"/>
      <c r="E24" s="1522"/>
      <c r="F24" s="1522"/>
      <c r="G24" s="1522"/>
      <c r="H24" s="1522"/>
      <c r="I24" s="1522"/>
      <c r="J24" s="1522"/>
      <c r="K24" s="3146"/>
      <c r="L24" s="1468"/>
      <c r="M24" s="1468"/>
      <c r="N24" s="1465" t="s">
        <v>979</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6669</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1046</v>
      </c>
      <c r="D29" s="1490">
        <f>'数据-汇总表'!E3</f>
        <v>63755.58</v>
      </c>
      <c r="E29" s="1833">
        <f ca="1">ROUND(C29*D29/10000,0)</f>
        <v>6669</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157</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5" t="s">
        <v>2954</v>
      </c>
      <c r="B33" s="1510" t="s">
        <v>997</v>
      </c>
      <c r="C33" s="1057">
        <f ca="1">ROUND(D5*C19*C20*C24*F33,0)</f>
        <v>628</v>
      </c>
      <c r="D33" s="1523"/>
      <c r="E33" s="1046">
        <f ca="1">ROUND(C33*D33/10000,0)</f>
        <v>0</v>
      </c>
      <c r="F33" s="1046">
        <f>SUMIF(修正!A45:A56,G2,修正!B45:B56)</f>
        <v>0.6</v>
      </c>
      <c r="G33" s="1046">
        <f t="shared" ref="G33" ca="1" si="6">ROUND(IF(E2="工业",C33*$M$39,C33*$M$38),0)</f>
        <v>94</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6"/>
      <c r="B34" s="1440" t="s">
        <v>998</v>
      </c>
      <c r="C34" s="1057">
        <f ca="1">ROUND(D5*C19*C20*C24*F34,0)</f>
        <v>314</v>
      </c>
      <c r="D34" s="1523"/>
      <c r="E34" s="1046">
        <f t="shared" ref="E34:E39" ca="1" si="7">ROUND(C34*D34/10000,0)</f>
        <v>0</v>
      </c>
      <c r="F34" s="1046">
        <f>SUMIF(修正!A45:A56,G2,修正!C45:C56)</f>
        <v>0.3</v>
      </c>
      <c r="G34" s="1046">
        <f ca="1">ROUND(IF(E2="工业",C34*$M$39,C34*$M$38),0)</f>
        <v>47</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6"/>
      <c r="B35" s="1440" t="s">
        <v>999</v>
      </c>
      <c r="C35" s="1057">
        <f ca="1">ROUND(D5*C19*C20*C24*F35,0)</f>
        <v>209</v>
      </c>
      <c r="D35" s="1523"/>
      <c r="E35" s="1046">
        <f t="shared" ca="1" si="7"/>
        <v>0</v>
      </c>
      <c r="F35" s="1046">
        <f>SUMIF(修正!A45:A56,G2,修正!D45:D56)</f>
        <v>0.2</v>
      </c>
      <c r="G35" s="1046">
        <f ca="1">ROUND(IF(E2="工业",C35*$M$39,C35*$M$38),0)</f>
        <v>31</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7"/>
      <c r="B36" s="1440" t="s">
        <v>1000</v>
      </c>
      <c r="C36" s="1057">
        <f ca="1">ROUND(D5*C19*C20*C24*F36,0)</f>
        <v>209</v>
      </c>
      <c r="D36" s="1523"/>
      <c r="E36" s="1046">
        <f t="shared" ca="1" si="7"/>
        <v>0</v>
      </c>
      <c r="F36" s="1046">
        <f>SUMIF(修正!A45:A56,G2,修正!E45:E56)</f>
        <v>0.2</v>
      </c>
      <c r="G36" s="1046">
        <f ca="1">ROUND(IF(E2="工业",C36*$M$39,C36*$M$38),0)</f>
        <v>31</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209</v>
      </c>
      <c r="D37" s="1523"/>
      <c r="E37" s="1046">
        <f t="shared" ca="1" si="7"/>
        <v>0</v>
      </c>
      <c r="F37" s="1057">
        <f>SUMIF(修正!A45:A56,G2,修正!F45:F56)</f>
        <v>0.2</v>
      </c>
      <c r="G37" s="1046">
        <f ca="1">ROUND(IF(E2="工业",C37*$M$39,C37*$M$38),0)</f>
        <v>31</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0.15</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1.0257000000000001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t="s">
        <v>3185</v>
      </c>
      <c r="D80" s="2380">
        <f t="shared" ref="D80:D87" si="25">SUMIF($J$79:$N$79,C80,J80:N80)</f>
        <v>0</v>
      </c>
      <c r="E80" s="2399">
        <f>ROUND(SUM(D80:D87),4)</f>
        <v>2.5700000000000001E-2</v>
      </c>
      <c r="F80" s="2400">
        <f>IF(E2="工业",SUMIF(L1:L12,G2,N1:N12),"——")</f>
        <v>0.11700000000000001</v>
      </c>
      <c r="G80" s="2378">
        <f>H80</f>
        <v>1.52E-2</v>
      </c>
      <c r="H80" s="2424">
        <f t="shared" ref="H80:H87" si="26">IFERROR(ROUNDDOWN($F$80*I80/2,4),"——")</f>
        <v>1.52E-2</v>
      </c>
      <c r="I80" s="2398">
        <v>0.26</v>
      </c>
      <c r="J80" s="2401">
        <f t="shared" ref="J80:J87" si="27">K80+$G80</f>
        <v>3.04E-2</v>
      </c>
      <c r="K80" s="2401">
        <f t="shared" ref="K80:K87" si="28">$L80+$G80</f>
        <v>1.52E-2</v>
      </c>
      <c r="L80" s="2401">
        <v>0</v>
      </c>
      <c r="M80" s="2401">
        <f t="shared" ref="M80:N87" si="29">L80-$G80</f>
        <v>-1.52E-2</v>
      </c>
      <c r="N80" s="2401">
        <f t="shared" si="29"/>
        <v>-3.04E-2</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t="s">
        <v>3186</v>
      </c>
      <c r="D81" s="2380">
        <f t="shared" si="25"/>
        <v>1.9300000000000001E-2</v>
      </c>
      <c r="E81" s="2408"/>
      <c r="F81" s="2409"/>
      <c r="G81" s="2378">
        <f t="shared" ref="G81:G87" si="30">H81</f>
        <v>1.9300000000000001E-2</v>
      </c>
      <c r="H81" s="2424">
        <f t="shared" si="26"/>
        <v>1.9300000000000001E-2</v>
      </c>
      <c r="I81" s="2398">
        <v>0.33</v>
      </c>
      <c r="J81" s="2401">
        <f t="shared" si="27"/>
        <v>3.8600000000000002E-2</v>
      </c>
      <c r="K81" s="2401">
        <f t="shared" si="28"/>
        <v>1.9300000000000001E-2</v>
      </c>
      <c r="L81" s="2401">
        <v>0</v>
      </c>
      <c r="M81" s="2401">
        <f t="shared" si="29"/>
        <v>-1.9300000000000001E-2</v>
      </c>
      <c r="N81" s="2401">
        <f t="shared" si="29"/>
        <v>-3.8600000000000002E-2</v>
      </c>
      <c r="AC81" s="1400"/>
      <c r="AD81" s="1399"/>
      <c r="AJ81" s="1398"/>
      <c r="AN81" s="1399"/>
    </row>
    <row r="82" spans="1:40" ht="24">
      <c r="A82" s="1061" t="s">
        <v>1020</v>
      </c>
      <c r="B82" s="2371">
        <f>估价对象房地状况!G17</f>
        <v>0</v>
      </c>
      <c r="C82" s="1048" t="s">
        <v>3185</v>
      </c>
      <c r="D82" s="2380">
        <f t="shared" si="25"/>
        <v>0</v>
      </c>
      <c r="E82" s="2408"/>
      <c r="F82" s="2409"/>
      <c r="G82" s="2378">
        <f t="shared" si="30"/>
        <v>2.8999999999999998E-3</v>
      </c>
      <c r="H82" s="2424">
        <f t="shared" si="26"/>
        <v>2.8999999999999998E-3</v>
      </c>
      <c r="I82" s="2398">
        <v>0.05</v>
      </c>
      <c r="J82" s="2401">
        <f t="shared" si="27"/>
        <v>5.7999999999999996E-3</v>
      </c>
      <c r="K82" s="2401">
        <f t="shared" si="28"/>
        <v>2.8999999999999998E-3</v>
      </c>
      <c r="L82" s="2401">
        <v>0</v>
      </c>
      <c r="M82" s="2401">
        <f t="shared" si="29"/>
        <v>-2.8999999999999998E-3</v>
      </c>
      <c r="N82" s="2401">
        <f t="shared" si="29"/>
        <v>-5.7999999999999996E-3</v>
      </c>
      <c r="AC82" s="1400"/>
      <c r="AD82" s="1399"/>
      <c r="AJ82" s="1398"/>
      <c r="AN82" s="1399"/>
    </row>
    <row r="83" spans="1:40" ht="14.25">
      <c r="A83" s="1061" t="s">
        <v>1032</v>
      </c>
      <c r="B83" s="2371">
        <f>估价对象房地状况!G22</f>
        <v>0</v>
      </c>
      <c r="C83" s="1048" t="s">
        <v>3185</v>
      </c>
      <c r="D83" s="2380">
        <f t="shared" si="25"/>
        <v>0</v>
      </c>
      <c r="E83" s="2408"/>
      <c r="F83" s="2409"/>
      <c r="G83" s="2378">
        <f t="shared" si="30"/>
        <v>2.3E-3</v>
      </c>
      <c r="H83" s="2424">
        <f t="shared" si="26"/>
        <v>2.3E-3</v>
      </c>
      <c r="I83" s="2398">
        <v>0.04</v>
      </c>
      <c r="J83" s="2401">
        <f t="shared" si="27"/>
        <v>4.5999999999999999E-3</v>
      </c>
      <c r="K83" s="2401">
        <f t="shared" si="28"/>
        <v>2.3E-3</v>
      </c>
      <c r="L83" s="2401">
        <v>0</v>
      </c>
      <c r="M83" s="2401">
        <f t="shared" si="29"/>
        <v>-2.3E-3</v>
      </c>
      <c r="N83" s="2401">
        <f t="shared" si="29"/>
        <v>-4.5999999999999999E-3</v>
      </c>
      <c r="AC83" s="1400"/>
      <c r="AD83" s="1399"/>
      <c r="AJ83" s="1398"/>
      <c r="AN83" s="1399"/>
    </row>
    <row r="84" spans="1:40" ht="24">
      <c r="A84" s="1061" t="s">
        <v>1024</v>
      </c>
      <c r="B84" s="2372" t="str">
        <f>估价对象房地状况!G19</f>
        <v>估价对象所在区域公共配套设施齐备情况</v>
      </c>
      <c r="C84" s="1048" t="s">
        <v>3185</v>
      </c>
      <c r="D84" s="2380">
        <f t="shared" si="25"/>
        <v>0</v>
      </c>
      <c r="E84" s="2408"/>
      <c r="F84" s="2409"/>
      <c r="G84" s="2378">
        <f t="shared" si="30"/>
        <v>3.5000000000000001E-3</v>
      </c>
      <c r="H84" s="2424">
        <f t="shared" si="26"/>
        <v>3.5000000000000001E-3</v>
      </c>
      <c r="I84" s="2398">
        <v>0.06</v>
      </c>
      <c r="J84" s="2401">
        <f t="shared" si="27"/>
        <v>7.0000000000000001E-3</v>
      </c>
      <c r="K84" s="2401">
        <f t="shared" si="28"/>
        <v>3.5000000000000001E-3</v>
      </c>
      <c r="L84" s="2401">
        <v>0</v>
      </c>
      <c r="M84" s="2401">
        <f t="shared" si="29"/>
        <v>-3.5000000000000001E-3</v>
      </c>
      <c r="N84" s="2401">
        <f t="shared" si="29"/>
        <v>-7.0000000000000001E-3</v>
      </c>
      <c r="AC84" s="1400"/>
      <c r="AD84" s="1399"/>
      <c r="AJ84" s="1398"/>
      <c r="AN84" s="1399"/>
    </row>
    <row r="85" spans="1:40" ht="24">
      <c r="A85" s="1061" t="s">
        <v>1025</v>
      </c>
      <c r="B85" s="2372" t="str">
        <f>估价对象房地状况!G20</f>
        <v>估价对象所在区域基础设施水平</v>
      </c>
      <c r="C85" s="1048" t="s">
        <v>3185</v>
      </c>
      <c r="D85" s="2380">
        <f t="shared" si="25"/>
        <v>0</v>
      </c>
      <c r="E85" s="2408"/>
      <c r="F85" s="2409"/>
      <c r="G85" s="2378">
        <f t="shared" si="30"/>
        <v>8.6999999999999994E-3</v>
      </c>
      <c r="H85" s="2424">
        <f t="shared" si="26"/>
        <v>8.6999999999999994E-3</v>
      </c>
      <c r="I85" s="2398">
        <v>0.15</v>
      </c>
      <c r="J85" s="2401">
        <f t="shared" si="27"/>
        <v>1.7399999999999999E-2</v>
      </c>
      <c r="K85" s="2401">
        <f t="shared" si="28"/>
        <v>8.6999999999999994E-3</v>
      </c>
      <c r="L85" s="2401">
        <v>0</v>
      </c>
      <c r="M85" s="2401">
        <f t="shared" si="29"/>
        <v>-8.6999999999999994E-3</v>
      </c>
      <c r="N85" s="2401">
        <f t="shared" si="29"/>
        <v>-1.7399999999999999E-2</v>
      </c>
      <c r="AC85" s="1400"/>
      <c r="AD85" s="1399"/>
      <c r="AJ85" s="1398"/>
      <c r="AN85" s="1399"/>
    </row>
    <row r="86" spans="1:40" ht="24">
      <c r="A86" s="1061" t="s">
        <v>1023</v>
      </c>
      <c r="B86" s="3041" t="s">
        <v>2930</v>
      </c>
      <c r="C86" s="1048" t="s">
        <v>3186</v>
      </c>
      <c r="D86" s="2380">
        <f t="shared" si="25"/>
        <v>2.8999999999999998E-3</v>
      </c>
      <c r="E86" s="2408"/>
      <c r="F86" s="2409"/>
      <c r="G86" s="2378">
        <f t="shared" si="30"/>
        <v>2.8999999999999998E-3</v>
      </c>
      <c r="H86" s="2424">
        <f t="shared" si="26"/>
        <v>2.8999999999999998E-3</v>
      </c>
      <c r="I86" s="2398">
        <v>0.05</v>
      </c>
      <c r="J86" s="2401">
        <f t="shared" si="27"/>
        <v>5.7999999999999996E-3</v>
      </c>
      <c r="K86" s="2401">
        <f t="shared" si="28"/>
        <v>2.8999999999999998E-3</v>
      </c>
      <c r="L86" s="2401">
        <v>0</v>
      </c>
      <c r="M86" s="2401">
        <f t="shared" si="29"/>
        <v>-2.8999999999999998E-3</v>
      </c>
      <c r="N86" s="2401">
        <f t="shared" si="29"/>
        <v>-5.7999999999999996E-3</v>
      </c>
      <c r="AC86" s="1400"/>
      <c r="AD86" s="1399"/>
      <c r="AJ86" s="1398"/>
      <c r="AN86" s="1399"/>
    </row>
    <row r="87" spans="1:40" ht="36.75" thickBot="1">
      <c r="A87" s="2404" t="s">
        <v>1036</v>
      </c>
      <c r="B87" s="2373" t="str">
        <f>估价对象房地状况!G18</f>
        <v>该园区内是否有污染型企业，绿化情况，卫生条件，整体环境状况判断</v>
      </c>
      <c r="C87" s="1048" t="s">
        <v>3186</v>
      </c>
      <c r="D87" s="2380">
        <f t="shared" si="25"/>
        <v>3.5000000000000001E-3</v>
      </c>
      <c r="E87" s="2410"/>
      <c r="F87" s="2409"/>
      <c r="G87" s="2378">
        <f t="shared" si="30"/>
        <v>3.5000000000000001E-3</v>
      </c>
      <c r="H87" s="2424">
        <f t="shared" si="26"/>
        <v>3.5000000000000001E-3</v>
      </c>
      <c r="I87" s="2405">
        <v>0.06</v>
      </c>
      <c r="J87" s="2401">
        <f t="shared" si="27"/>
        <v>7.0000000000000001E-3</v>
      </c>
      <c r="K87" s="2401">
        <f t="shared" si="28"/>
        <v>3.5000000000000001E-3</v>
      </c>
      <c r="L87" s="2401">
        <v>0</v>
      </c>
      <c r="M87" s="2401">
        <f t="shared" si="29"/>
        <v>-3.5000000000000001E-3</v>
      </c>
      <c r="N87" s="2401">
        <f t="shared" si="29"/>
        <v>-7.0000000000000001E-3</v>
      </c>
      <c r="AC87" s="1400"/>
      <c r="AD87" s="1399"/>
      <c r="AJ87" s="1398"/>
      <c r="AN87" s="1399"/>
    </row>
    <row r="90" spans="1:40">
      <c r="A90" s="3423" t="s">
        <v>1631</v>
      </c>
      <c r="B90" s="3423"/>
      <c r="C90" s="3423"/>
      <c r="D90" s="3423"/>
      <c r="E90" s="3423"/>
      <c r="F90" s="3423"/>
      <c r="G90" s="3423"/>
      <c r="H90" s="3423"/>
      <c r="I90" s="3423"/>
      <c r="J90" s="3423"/>
      <c r="K90" s="2413"/>
      <c r="L90" s="2413"/>
      <c r="M90" s="2413"/>
      <c r="N90" s="2413"/>
    </row>
    <row r="91" spans="1:40">
      <c r="A91" s="3424" t="s">
        <v>1441</v>
      </c>
      <c r="B91" s="3424" t="s">
        <v>1632</v>
      </c>
      <c r="C91" s="1134" t="s">
        <v>1633</v>
      </c>
      <c r="D91" s="1135"/>
      <c r="E91" s="1135"/>
      <c r="F91" s="1135"/>
      <c r="G91" s="1135"/>
      <c r="H91" s="1135"/>
      <c r="I91" s="1135"/>
      <c r="J91" s="1136"/>
      <c r="K91" s="1128"/>
      <c r="L91" s="1128"/>
      <c r="M91" s="1128"/>
      <c r="N91" s="1128"/>
    </row>
    <row r="92" spans="1:40">
      <c r="A92" s="3424"/>
      <c r="B92" s="3424"/>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31"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2"/>
      <c r="B99" s="1137" t="s">
        <v>1634</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43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1" t="s">
        <v>1635</v>
      </c>
      <c r="B101" s="1141" t="s">
        <v>904</v>
      </c>
      <c r="C101" s="1142">
        <f>$G$3</f>
        <v>1</v>
      </c>
      <c r="D101" s="1142">
        <f t="shared" ref="D101:N101" si="32">$G$3</f>
        <v>1</v>
      </c>
      <c r="E101" s="1142">
        <f t="shared" si="32"/>
        <v>1</v>
      </c>
      <c r="F101" s="1142">
        <f t="shared" si="32"/>
        <v>1</v>
      </c>
      <c r="G101" s="1142">
        <f t="shared" si="32"/>
        <v>1</v>
      </c>
      <c r="H101" s="1142">
        <f t="shared" si="32"/>
        <v>1</v>
      </c>
      <c r="I101" s="1142">
        <f t="shared" si="32"/>
        <v>1</v>
      </c>
      <c r="J101" s="1142">
        <f t="shared" si="32"/>
        <v>1</v>
      </c>
      <c r="K101" s="1142">
        <f t="shared" si="32"/>
        <v>1</v>
      </c>
      <c r="L101" s="1142">
        <f t="shared" si="32"/>
        <v>1</v>
      </c>
      <c r="M101" s="1142">
        <f t="shared" si="32"/>
        <v>1</v>
      </c>
      <c r="N101" s="1142">
        <f t="shared" si="32"/>
        <v>1</v>
      </c>
    </row>
    <row r="102" spans="1:14">
      <c r="A102" s="3432"/>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32"/>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32"/>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32"/>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32"/>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32"/>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32"/>
      <c r="B108" s="3434" t="s">
        <v>1636</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433"/>
      <c r="B109" s="3435"/>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17" t="s">
        <v>1637</v>
      </c>
      <c r="B110" s="3417"/>
      <c r="C110" s="3417"/>
      <c r="D110" s="3417"/>
      <c r="E110" s="3417"/>
      <c r="F110" s="3417"/>
      <c r="G110" s="3417"/>
      <c r="H110" s="3417"/>
      <c r="I110" s="3417"/>
      <c r="J110" s="3417"/>
      <c r="K110" s="2411"/>
      <c r="L110" s="2411"/>
      <c r="M110" s="2411"/>
      <c r="N110" s="2411"/>
    </row>
    <row r="112" spans="1:14" ht="12.75" thickBot="1"/>
    <row r="113" spans="1:13" ht="25.5" thickBot="1">
      <c r="A113" s="1014" t="s">
        <v>894</v>
      </c>
      <c r="B113" s="2414">
        <f>G3</f>
        <v>1</v>
      </c>
      <c r="C113" s="1015" t="s">
        <v>895</v>
      </c>
      <c r="D113" s="1016">
        <f>SUMPRODUCT((A115:A118=F113)*(B114:M114=H113)*B115:M118)</f>
        <v>0.55310000000000004</v>
      </c>
      <c r="E113" s="1017" t="s">
        <v>896</v>
      </c>
      <c r="F113" s="1018" t="str">
        <f>E2</f>
        <v>工业</v>
      </c>
      <c r="G113" s="1017" t="s">
        <v>897</v>
      </c>
      <c r="H113" s="1018" t="str">
        <f>G2</f>
        <v>八级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4">I115</f>
        <v>0.67349999999999999</v>
      </c>
      <c r="K115" s="1028">
        <f t="shared" si="34"/>
        <v>0.67349999999999999</v>
      </c>
      <c r="L115" s="1028">
        <f t="shared" si="34"/>
        <v>0.67349999999999999</v>
      </c>
      <c r="M115" s="1029">
        <f t="shared" si="34"/>
        <v>0.67349999999999999</v>
      </c>
    </row>
    <row r="116" spans="1:13" ht="12.75">
      <c r="A116" s="1027" t="s">
        <v>899</v>
      </c>
      <c r="B116" s="1028">
        <f>ROUND(0.949-0.012*B113,4)</f>
        <v>0.93700000000000006</v>
      </c>
      <c r="C116" s="1028">
        <f>B116</f>
        <v>0.93700000000000006</v>
      </c>
      <c r="D116" s="1028">
        <f>ROUND(0.8567-0.013*B113,4)</f>
        <v>0.84370000000000001</v>
      </c>
      <c r="E116" s="1028">
        <f t="shared" ref="E116:H117" si="35">D116</f>
        <v>0.84370000000000001</v>
      </c>
      <c r="F116" s="1028">
        <f t="shared" si="35"/>
        <v>0.84370000000000001</v>
      </c>
      <c r="G116" s="1028">
        <f t="shared" si="35"/>
        <v>0.84370000000000001</v>
      </c>
      <c r="H116" s="1028">
        <f t="shared" si="35"/>
        <v>0.84370000000000001</v>
      </c>
      <c r="I116" s="1028">
        <f>ROUND(0.7694-0.014*B113,4)</f>
        <v>0.75539999999999996</v>
      </c>
      <c r="J116" s="1028">
        <f t="shared" si="34"/>
        <v>0.75539999999999996</v>
      </c>
      <c r="K116" s="1028">
        <f t="shared" si="34"/>
        <v>0.75539999999999996</v>
      </c>
      <c r="L116" s="1028">
        <f t="shared" si="34"/>
        <v>0.75539999999999996</v>
      </c>
      <c r="M116" s="1029">
        <f t="shared" si="34"/>
        <v>0.75539999999999996</v>
      </c>
    </row>
    <row r="117" spans="1:13" ht="12.75">
      <c r="A117" s="1030" t="s">
        <v>900</v>
      </c>
      <c r="B117" s="1028">
        <f>ROUND(0.8808-0.006*B113,4)</f>
        <v>0.87480000000000002</v>
      </c>
      <c r="C117" s="1028">
        <f>B117</f>
        <v>0.87480000000000002</v>
      </c>
      <c r="D117" s="1028">
        <f>ROUND(0.8748-0.008*B113,4)</f>
        <v>0.86680000000000001</v>
      </c>
      <c r="E117" s="1028">
        <f t="shared" si="35"/>
        <v>0.86680000000000001</v>
      </c>
      <c r="F117" s="1028">
        <f t="shared" si="35"/>
        <v>0.86680000000000001</v>
      </c>
      <c r="G117" s="1028">
        <f t="shared" si="35"/>
        <v>0.86680000000000001</v>
      </c>
      <c r="H117" s="1028">
        <f t="shared" si="35"/>
        <v>0.86680000000000001</v>
      </c>
      <c r="I117" s="1028">
        <f>ROUND(0.7412-0.0095*B113,4)</f>
        <v>0.73170000000000002</v>
      </c>
      <c r="J117" s="1028">
        <f t="shared" si="34"/>
        <v>0.73170000000000002</v>
      </c>
      <c r="K117" s="1028">
        <f t="shared" si="34"/>
        <v>0.73170000000000002</v>
      </c>
      <c r="L117" s="1028">
        <f t="shared" si="34"/>
        <v>0.73170000000000002</v>
      </c>
      <c r="M117" s="1029">
        <f t="shared" si="34"/>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4"/>
        <v>0.55310000000000004</v>
      </c>
      <c r="K118" s="1032">
        <f t="shared" si="34"/>
        <v>0.55310000000000004</v>
      </c>
      <c r="L118" s="1032">
        <f t="shared" si="34"/>
        <v>0.55310000000000004</v>
      </c>
      <c r="M118" s="1033">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6" sqref="C16"/>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19490</v>
      </c>
      <c r="C2" s="2092"/>
      <c r="D2" s="2092"/>
      <c r="E2" s="2092"/>
      <c r="F2" s="2092"/>
      <c r="G2" s="2092"/>
    </row>
    <row r="3" spans="1:25" s="2043" customFormat="1" ht="18" customHeight="1">
      <c r="A3" s="1374" t="s">
        <v>1683</v>
      </c>
      <c r="B3" s="425">
        <f ca="1">ROUND(B2*10000/'数据-汇总表'!E3,0)</f>
        <v>3057</v>
      </c>
      <c r="C3" s="2092"/>
      <c r="D3" s="2092"/>
      <c r="E3" s="2092"/>
      <c r="F3" s="2092"/>
      <c r="G3" s="2092"/>
    </row>
    <row r="4" spans="1:25" s="2043" customFormat="1" ht="18" customHeight="1">
      <c r="A4" s="426" t="s">
        <v>468</v>
      </c>
      <c r="B4" s="427">
        <f ca="1">ROUND(B2*10000/'数据-汇总表'!D3,0)</f>
        <v>3057</v>
      </c>
      <c r="C4" s="2045"/>
      <c r="D4" s="2092"/>
      <c r="E4" s="2092"/>
      <c r="F4" s="2092"/>
      <c r="G4" s="2092"/>
    </row>
    <row r="5" spans="1:25" s="2043" customFormat="1" ht="18" customHeight="1" thickBot="1">
      <c r="A5" s="429"/>
      <c r="B5" s="430">
        <f ca="1">ROUND(B2/('数据-汇总表'!D3/666.67),0)</f>
        <v>204</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23590.911479492333</v>
      </c>
      <c r="D7" s="749"/>
      <c r="E7" s="750"/>
      <c r="F7" s="750"/>
      <c r="G7" s="2442" t="s">
        <v>3001</v>
      </c>
    </row>
    <row r="8" spans="1:25" s="2167" customFormat="1" ht="13.5" customHeight="1">
      <c r="A8" s="2432" t="s">
        <v>2435</v>
      </c>
      <c r="B8" s="2435" t="s">
        <v>2437</v>
      </c>
      <c r="C8" s="2436">
        <f>土地案例!Q4*'数据-汇总表'!D3/10000</f>
        <v>23590.911479492333</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2550.2231999999999</v>
      </c>
      <c r="D10" s="760">
        <f>'数据-汇总表'!E3</f>
        <v>63755.58</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1275</v>
      </c>
      <c r="D13" s="758">
        <f>'数据-汇总表'!E6</f>
        <v>63755.58</v>
      </c>
      <c r="E13" s="757">
        <f>'数据-取费表'!B28</f>
        <v>200</v>
      </c>
      <c r="F13" s="755"/>
      <c r="G13" s="759"/>
    </row>
    <row r="14" spans="1:25" s="2167" customFormat="1" ht="13.5" customHeight="1">
      <c r="A14" s="2432" t="s">
        <v>2436</v>
      </c>
      <c r="B14" s="2438" t="s">
        <v>2439</v>
      </c>
      <c r="C14" s="2436">
        <f>C15</f>
        <v>1275.1116</v>
      </c>
      <c r="D14" s="758"/>
      <c r="E14" s="757"/>
      <c r="F14" s="2437"/>
      <c r="G14" s="2440" t="s">
        <v>2444</v>
      </c>
    </row>
    <row r="15" spans="1:25" s="2167" customFormat="1" ht="13.5" customHeight="1">
      <c r="A15" s="2432" t="s">
        <v>2441</v>
      </c>
      <c r="B15" s="2438" t="s">
        <v>2440</v>
      </c>
      <c r="C15" s="2436">
        <f>D10*200/10000</f>
        <v>1275.1116</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1082</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2614</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29837.134679492334</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4476</v>
      </c>
      <c r="D20" s="760"/>
      <c r="E20" s="749"/>
      <c r="F20" s="1343">
        <v>0.15</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34313.13467949233</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19490</v>
      </c>
      <c r="D22" s="760"/>
      <c r="E22" s="749"/>
      <c r="F22" s="3188">
        <f>'数据-取费表'!AP6</f>
        <v>0.56799999999999995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19490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-2528</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-397</v>
      </c>
      <c r="C3" s="2088"/>
      <c r="D3" s="2088"/>
      <c r="E3" s="2088"/>
      <c r="F3" s="2088"/>
      <c r="G3" s="2088"/>
      <c r="H3" s="2088"/>
      <c r="I3" s="2088"/>
      <c r="J3" s="2088"/>
      <c r="K3" s="2088"/>
    </row>
    <row r="4" spans="1:31" s="2025" customFormat="1" ht="18" customHeight="1">
      <c r="A4" s="426" t="s">
        <v>468</v>
      </c>
      <c r="B4" s="427">
        <f ca="1">ROUND(B2*10000/IF(B1="",'数据-汇总表'!D3,INDIRECT("'数据-取费表'!R"&amp;$K$1)),0)</f>
        <v>-397</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1275</v>
      </c>
      <c r="D16" s="2798">
        <f ca="1">IF(B1="",'数据-汇总表'!E3,INDIRECT("'数据-取费表'!K"&amp;$K$1)+INDIRECT("'数据-取费表'!S"&amp;$K$1))</f>
        <v>63755.58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1275</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63755.58</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1275</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1275</v>
      </c>
      <c r="D22" s="2798">
        <f ca="1">IF(B1="",'数据-汇总表'!E6,IF(INDIRECT("'数据-取费表'!c"&amp;$K$1)="住宅",INDIRECT("'数据-取费表'!s"&amp;$K$1),INDIRECT("'数据-取费表'!k"&amp;$K$1)+INDIRECT("'数据-取费表'!s"&amp;$K$1)))</f>
        <v>63755.58</v>
      </c>
      <c r="E22" s="53">
        <f>'数据-取费表'!B28</f>
        <v>200</v>
      </c>
      <c r="F22" s="2801"/>
      <c r="G22" s="26"/>
      <c r="H22" s="51"/>
      <c r="I22" s="51"/>
      <c r="J22" s="51"/>
      <c r="K22" s="2773"/>
    </row>
    <row r="23" spans="1:14" s="2100" customFormat="1" ht="13.5" customHeight="1">
      <c r="A23" s="2804" t="s">
        <v>1856</v>
      </c>
      <c r="B23" s="2986" t="s">
        <v>2826</v>
      </c>
      <c r="C23" s="2806">
        <f ca="1">ROUND((C18+C19+C20)*F23,0)</f>
        <v>51</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2601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2601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260</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1854</v>
      </c>
      <c r="B34" s="2817" t="s">
        <v>501</v>
      </c>
      <c r="C34" s="472">
        <f ca="1">ROUND((1+C25)*F33,4)</f>
        <v>0.10290000000000001</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260</v>
      </c>
      <c r="D35" s="1613"/>
      <c r="E35" s="2818"/>
      <c r="F35" s="1614"/>
      <c r="G35" s="2776"/>
      <c r="H35" s="2777"/>
      <c r="I35" s="2777"/>
      <c r="J35" s="2777"/>
      <c r="K35" s="2778"/>
    </row>
    <row r="36" spans="1:11" s="2069" customFormat="1" ht="13.5" customHeight="1" thickBot="1">
      <c r="A36" s="284" t="s">
        <v>1842</v>
      </c>
      <c r="B36" s="2780"/>
      <c r="C36" s="2819">
        <f ca="1">ROUND((C6-C30-C33)/(1+D30+D33),0)</f>
        <v>-2528</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tabSelected="1" zoomScale="80" zoomScaleNormal="80" workbookViewId="0">
      <pane xSplit="6" ySplit="3" topLeftCell="K4" activePane="bottomRight" state="frozen"/>
      <selection pane="topRight" activeCell="H1" sqref="H1"/>
      <selection pane="bottomLeft" activeCell="A4" sqref="A4"/>
      <selection pane="bottomRight" activeCell="Q4" sqref="Q4"/>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5" width="9" style="3189"/>
    <col min="16" max="16" width="13.5" style="3189" customWidth="1"/>
    <col min="17" max="16384" width="9" style="3189"/>
  </cols>
  <sheetData>
    <row r="1" spans="1:17" ht="39.75" customHeight="1">
      <c r="A1" s="3442" t="s">
        <v>3002</v>
      </c>
      <c r="B1" s="3443"/>
      <c r="C1" s="3443"/>
      <c r="D1" s="3443"/>
      <c r="E1" s="3443"/>
      <c r="F1" s="3443"/>
      <c r="G1" s="3443"/>
      <c r="H1" s="3443"/>
      <c r="I1" s="3443"/>
      <c r="J1" s="3443"/>
      <c r="K1" s="3443"/>
      <c r="L1" s="3443"/>
      <c r="M1" s="3443"/>
    </row>
    <row r="2" spans="1:17" ht="23.25" customHeight="1">
      <c r="A2" s="3438" t="s">
        <v>3003</v>
      </c>
      <c r="B2" s="3438" t="s">
        <v>3004</v>
      </c>
      <c r="C2" s="3438" t="s">
        <v>3005</v>
      </c>
      <c r="D2" s="3444" t="s">
        <v>3006</v>
      </c>
      <c r="E2" s="3444" t="s">
        <v>3007</v>
      </c>
      <c r="F2" s="3438" t="s">
        <v>3008</v>
      </c>
      <c r="G2" s="3438" t="s">
        <v>3009</v>
      </c>
      <c r="H2" s="3438" t="s">
        <v>3010</v>
      </c>
      <c r="I2" s="3438" t="s">
        <v>3011</v>
      </c>
      <c r="J2" s="3438" t="s">
        <v>3012</v>
      </c>
      <c r="K2" s="3440" t="s">
        <v>3013</v>
      </c>
      <c r="L2" s="3441" t="s">
        <v>3014</v>
      </c>
      <c r="M2" s="3441"/>
    </row>
    <row r="3" spans="1:17" s="3191" customFormat="1" ht="23.25" customHeight="1">
      <c r="A3" s="3439"/>
      <c r="B3" s="3439"/>
      <c r="C3" s="3439"/>
      <c r="D3" s="3445"/>
      <c r="E3" s="3445"/>
      <c r="F3" s="3439"/>
      <c r="G3" s="3439"/>
      <c r="H3" s="3439"/>
      <c r="I3" s="3439"/>
      <c r="J3" s="3439"/>
      <c r="K3" s="3440"/>
      <c r="L3" s="3190" t="s">
        <v>3015</v>
      </c>
      <c r="M3" s="3190" t="s">
        <v>3016</v>
      </c>
    </row>
    <row r="4" spans="1:17" s="3198" customFormat="1" ht="95.25" customHeight="1">
      <c r="A4" s="3192">
        <v>2016</v>
      </c>
      <c r="B4" s="3193" t="s">
        <v>3017</v>
      </c>
      <c r="C4" s="3193" t="s">
        <v>3018</v>
      </c>
      <c r="D4" s="3194" t="s">
        <v>3019</v>
      </c>
      <c r="E4" s="3194" t="s">
        <v>3020</v>
      </c>
      <c r="F4" s="3195" t="s">
        <v>3021</v>
      </c>
      <c r="G4" s="3194" t="s">
        <v>3022</v>
      </c>
      <c r="H4" s="3194" t="s">
        <v>3023</v>
      </c>
      <c r="I4" s="3194" t="s">
        <v>3024</v>
      </c>
      <c r="J4" s="3194" t="s">
        <v>3025</v>
      </c>
      <c r="K4" s="3196">
        <v>16.73</v>
      </c>
      <c r="L4" s="3194">
        <v>15586.51</v>
      </c>
      <c r="M4" s="3194">
        <v>24154.36</v>
      </c>
      <c r="N4" s="3243">
        <f t="shared" ref="N4:N9" si="0">(L4+M4)/K4</f>
        <v>2375.4255827854154</v>
      </c>
      <c r="P4" s="3198" t="s">
        <v>3183</v>
      </c>
      <c r="Q4" s="3198">
        <f>(N7+N8+N18+N31)/4</f>
        <v>3700.2112567233071</v>
      </c>
    </row>
    <row r="5" spans="1:17" s="3198" customFormat="1" ht="95.25" customHeight="1">
      <c r="A5" s="3192">
        <v>2016</v>
      </c>
      <c r="B5" s="3193" t="s">
        <v>3017</v>
      </c>
      <c r="C5" s="3193" t="s">
        <v>3018</v>
      </c>
      <c r="D5" s="3194" t="s">
        <v>3019</v>
      </c>
      <c r="E5" s="3194" t="s">
        <v>3020</v>
      </c>
      <c r="F5" s="3195" t="s">
        <v>3026</v>
      </c>
      <c r="G5" s="3194" t="s">
        <v>3022</v>
      </c>
      <c r="H5" s="3194" t="s">
        <v>3023</v>
      </c>
      <c r="I5" s="3194" t="s">
        <v>3027</v>
      </c>
      <c r="J5" s="3194" t="s">
        <v>3025</v>
      </c>
      <c r="K5" s="3199">
        <v>39.770000000000003</v>
      </c>
      <c r="L5" s="3194">
        <v>17716.41</v>
      </c>
      <c r="M5" s="3194">
        <v>2390.64</v>
      </c>
      <c r="N5" s="3197">
        <f t="shared" si="0"/>
        <v>505.58335428715105</v>
      </c>
      <c r="P5" s="3198" t="s">
        <v>3184</v>
      </c>
      <c r="Q5" s="3198">
        <f>(N4+N5+N6+N7+N8+N9+N17+N18+N31)/9</f>
        <v>2454.8340951134201</v>
      </c>
    </row>
    <row r="6" spans="1:17" s="3198" customFormat="1" ht="95.25" customHeight="1">
      <c r="A6" s="3192">
        <v>2016</v>
      </c>
      <c r="B6" s="3193" t="s">
        <v>3017</v>
      </c>
      <c r="C6" s="3193" t="s">
        <v>3018</v>
      </c>
      <c r="D6" s="3194" t="s">
        <v>3019</v>
      </c>
      <c r="E6" s="3200" t="s">
        <v>3028</v>
      </c>
      <c r="F6" s="3195" t="s">
        <v>3029</v>
      </c>
      <c r="G6" s="3200" t="s">
        <v>3030</v>
      </c>
      <c r="H6" s="3200" t="s">
        <v>3023</v>
      </c>
      <c r="I6" s="3200" t="s">
        <v>3031</v>
      </c>
      <c r="J6" s="3194" t="s">
        <v>3032</v>
      </c>
      <c r="K6" s="3199">
        <v>663.6</v>
      </c>
      <c r="L6" s="3194">
        <v>191909.86</v>
      </c>
      <c r="M6" s="3194">
        <v>204137.8</v>
      </c>
      <c r="N6" s="3197">
        <f t="shared" si="0"/>
        <v>596.81684749849296</v>
      </c>
    </row>
    <row r="7" spans="1:17" s="3198" customFormat="1" ht="95.25" customHeight="1">
      <c r="A7" s="3192">
        <v>2016</v>
      </c>
      <c r="B7" s="3193" t="s">
        <v>3033</v>
      </c>
      <c r="C7" s="3193" t="s">
        <v>3034</v>
      </c>
      <c r="D7" s="3201" t="s">
        <v>3019</v>
      </c>
      <c r="E7" s="3201" t="s">
        <v>3028</v>
      </c>
      <c r="F7" s="3195" t="s">
        <v>3035</v>
      </c>
      <c r="G7" s="3202" t="s">
        <v>3036</v>
      </c>
      <c r="H7" s="3201" t="s">
        <v>3037</v>
      </c>
      <c r="I7" s="3201" t="s">
        <v>3038</v>
      </c>
      <c r="J7" s="3201" t="s">
        <v>3039</v>
      </c>
      <c r="K7" s="3199">
        <v>129.57</v>
      </c>
      <c r="L7" s="3194">
        <v>122822.85</v>
      </c>
      <c r="M7" s="3194">
        <v>403475</v>
      </c>
      <c r="N7" s="3242">
        <f t="shared" si="0"/>
        <v>4061.8804507216178</v>
      </c>
    </row>
    <row r="8" spans="1:17" s="3197" customFormat="1" ht="95.25" customHeight="1">
      <c r="A8" s="3192">
        <v>2017</v>
      </c>
      <c r="B8" s="3203" t="s">
        <v>3040</v>
      </c>
      <c r="C8" s="3203" t="s">
        <v>3041</v>
      </c>
      <c r="D8" s="3201" t="s">
        <v>3019</v>
      </c>
      <c r="E8" s="3204" t="s">
        <v>3028</v>
      </c>
      <c r="F8" s="3195" t="s">
        <v>3042</v>
      </c>
      <c r="G8" s="3202" t="s">
        <v>3036</v>
      </c>
      <c r="H8" s="3204" t="s">
        <v>3037</v>
      </c>
      <c r="I8" s="3204" t="s">
        <v>3043</v>
      </c>
      <c r="J8" s="3205" t="s">
        <v>3044</v>
      </c>
      <c r="K8" s="3199">
        <v>34.26</v>
      </c>
      <c r="L8" s="3194">
        <v>38931.19</v>
      </c>
      <c r="M8" s="3194">
        <v>64775.53</v>
      </c>
      <c r="N8" s="3242">
        <f t="shared" si="0"/>
        <v>3027.0496205487452</v>
      </c>
    </row>
    <row r="9" spans="1:17" s="3197" customFormat="1" ht="95.25" customHeight="1">
      <c r="A9" s="3192">
        <v>2017</v>
      </c>
      <c r="B9" s="3203" t="s">
        <v>3040</v>
      </c>
      <c r="C9" s="3203" t="s">
        <v>3041</v>
      </c>
      <c r="D9" s="3201" t="s">
        <v>3019</v>
      </c>
      <c r="E9" s="3201" t="s">
        <v>3028</v>
      </c>
      <c r="F9" s="3195" t="s">
        <v>3045</v>
      </c>
      <c r="G9" s="3201" t="s">
        <v>3036</v>
      </c>
      <c r="H9" s="3201" t="s">
        <v>3037</v>
      </c>
      <c r="I9" s="3201" t="s">
        <v>3024</v>
      </c>
      <c r="J9" s="3201" t="s">
        <v>3046</v>
      </c>
      <c r="K9" s="3199">
        <v>51.07</v>
      </c>
      <c r="L9" s="3194">
        <v>33012.44</v>
      </c>
      <c r="M9" s="3194">
        <v>46402.36</v>
      </c>
      <c r="N9" s="3197">
        <f t="shared" si="0"/>
        <v>1555.0186019189348</v>
      </c>
    </row>
    <row r="10" spans="1:17" s="3197" customFormat="1" ht="67.5" hidden="1" customHeight="1">
      <c r="A10" s="3192">
        <v>2017</v>
      </c>
      <c r="B10" s="3203" t="s">
        <v>3040</v>
      </c>
      <c r="C10" s="3203" t="s">
        <v>3041</v>
      </c>
      <c r="D10" s="3202" t="s">
        <v>3047</v>
      </c>
      <c r="E10" s="3202" t="s">
        <v>3028</v>
      </c>
      <c r="F10" s="3195" t="s">
        <v>3048</v>
      </c>
      <c r="G10" s="3202" t="s">
        <v>3049</v>
      </c>
      <c r="H10" s="3202" t="s">
        <v>3023</v>
      </c>
      <c r="I10" s="3206" t="s">
        <v>3050</v>
      </c>
      <c r="J10" s="3206" t="s">
        <v>3051</v>
      </c>
      <c r="K10" s="3194">
        <v>96.99</v>
      </c>
      <c r="L10" s="3194">
        <v>51676.39</v>
      </c>
      <c r="M10" s="3194">
        <v>172115.08</v>
      </c>
      <c r="N10" s="3197">
        <f>(L10+M10)/K10</f>
        <v>2307.3664295288172</v>
      </c>
    </row>
    <row r="11" spans="1:17" s="3197" customFormat="1" ht="95.25" hidden="1" customHeight="1">
      <c r="A11" s="3192">
        <v>2017</v>
      </c>
      <c r="B11" s="3203" t="s">
        <v>3040</v>
      </c>
      <c r="C11" s="3203" t="s">
        <v>3041</v>
      </c>
      <c r="D11" s="3202" t="s">
        <v>3047</v>
      </c>
      <c r="E11" s="3202" t="s">
        <v>3028</v>
      </c>
      <c r="F11" s="3195" t="s">
        <v>3052</v>
      </c>
      <c r="G11" s="3202" t="s">
        <v>3053</v>
      </c>
      <c r="H11" s="3202" t="s">
        <v>3023</v>
      </c>
      <c r="I11" s="3206" t="s">
        <v>3054</v>
      </c>
      <c r="J11" s="3207" t="s">
        <v>3055</v>
      </c>
      <c r="K11" s="3208">
        <v>49.52</v>
      </c>
      <c r="L11" s="3194">
        <v>25737.439999999999</v>
      </c>
      <c r="M11" s="3194">
        <v>180122.23999999999</v>
      </c>
      <c r="N11" s="3197">
        <f t="shared" ref="N11:N32" si="1">(L11+M11)/K11</f>
        <v>4157.1017770597737</v>
      </c>
    </row>
    <row r="12" spans="1:17" s="3197" customFormat="1" ht="45.75" hidden="1" customHeight="1">
      <c r="A12" s="3192">
        <v>2017</v>
      </c>
      <c r="B12" s="3203" t="s">
        <v>3040</v>
      </c>
      <c r="C12" s="3203" t="s">
        <v>3041</v>
      </c>
      <c r="D12" s="3202" t="s">
        <v>3056</v>
      </c>
      <c r="E12" s="3202" t="s">
        <v>3028</v>
      </c>
      <c r="F12" s="3195" t="s">
        <v>3057</v>
      </c>
      <c r="G12" s="3202" t="s">
        <v>3058</v>
      </c>
      <c r="H12" s="3204" t="s">
        <v>3037</v>
      </c>
      <c r="I12" s="3206" t="s">
        <v>3059</v>
      </c>
      <c r="J12" s="3194" t="s">
        <v>3060</v>
      </c>
      <c r="K12" s="3199">
        <v>116.6</v>
      </c>
      <c r="L12" s="3194">
        <v>138739.75</v>
      </c>
      <c r="M12" s="3194">
        <v>441601.69</v>
      </c>
      <c r="N12" s="3209">
        <f t="shared" si="1"/>
        <v>4977.1993138936532</v>
      </c>
    </row>
    <row r="13" spans="1:17" s="3210" customFormat="1" ht="96" hidden="1">
      <c r="A13" s="3192">
        <v>2017</v>
      </c>
      <c r="B13" s="3204" t="s">
        <v>3061</v>
      </c>
      <c r="C13" s="3204" t="s">
        <v>3062</v>
      </c>
      <c r="D13" s="3204" t="s">
        <v>3063</v>
      </c>
      <c r="E13" s="3204" t="s">
        <v>3064</v>
      </c>
      <c r="F13" s="3202" t="s">
        <v>3065</v>
      </c>
      <c r="G13" s="3202" t="s">
        <v>3066</v>
      </c>
      <c r="H13" s="3202" t="s">
        <v>3067</v>
      </c>
      <c r="I13" s="3206" t="s">
        <v>3068</v>
      </c>
      <c r="J13" s="3207" t="s">
        <v>3069</v>
      </c>
      <c r="K13" s="3196">
        <v>33.36</v>
      </c>
      <c r="L13" s="3194">
        <v>16588.11</v>
      </c>
      <c r="M13" s="3194">
        <v>13953.2</v>
      </c>
      <c r="N13" s="3197">
        <f t="shared" si="1"/>
        <v>915.50689448441256</v>
      </c>
    </row>
    <row r="14" spans="1:17" s="3212" customFormat="1" ht="48" hidden="1" customHeight="1">
      <c r="A14" s="3192">
        <v>2017</v>
      </c>
      <c r="B14" s="3211" t="s">
        <v>3070</v>
      </c>
      <c r="C14" s="3211" t="s">
        <v>3071</v>
      </c>
      <c r="D14" s="3202" t="s">
        <v>3072</v>
      </c>
      <c r="E14" s="3202" t="s">
        <v>3028</v>
      </c>
      <c r="F14" s="3204" t="s">
        <v>3073</v>
      </c>
      <c r="G14" s="3202" t="s">
        <v>3074</v>
      </c>
      <c r="H14" s="3202" t="s">
        <v>3067</v>
      </c>
      <c r="I14" s="3206" t="s">
        <v>3075</v>
      </c>
      <c r="J14" s="3206" t="s">
        <v>3076</v>
      </c>
      <c r="K14" s="3194">
        <v>19.994820000000001</v>
      </c>
      <c r="L14" s="3194">
        <v>4110.28</v>
      </c>
      <c r="M14" s="3194">
        <v>1634.87</v>
      </c>
      <c r="N14" s="3197">
        <f t="shared" si="1"/>
        <v>287.33191896701243</v>
      </c>
    </row>
    <row r="15" spans="1:17" s="3210" customFormat="1" ht="95.25" hidden="1" customHeight="1">
      <c r="A15" s="3192">
        <v>2017</v>
      </c>
      <c r="B15" s="3203" t="s">
        <v>3077</v>
      </c>
      <c r="C15" s="3203" t="s">
        <v>3078</v>
      </c>
      <c r="D15" s="3202" t="s">
        <v>3079</v>
      </c>
      <c r="E15" s="3202" t="s">
        <v>3028</v>
      </c>
      <c r="F15" s="3202" t="s">
        <v>3080</v>
      </c>
      <c r="G15" s="3202" t="s">
        <v>3081</v>
      </c>
      <c r="H15" s="3202" t="s">
        <v>3037</v>
      </c>
      <c r="I15" s="3206" t="s">
        <v>3082</v>
      </c>
      <c r="J15" s="3207" t="s">
        <v>3083</v>
      </c>
      <c r="K15" s="3213">
        <v>72.180000000000007</v>
      </c>
      <c r="L15" s="3194">
        <v>20148.59</v>
      </c>
      <c r="M15" s="3194">
        <v>195592.13</v>
      </c>
      <c r="N15" s="3197">
        <f t="shared" si="1"/>
        <v>2988.9265724577444</v>
      </c>
      <c r="P15" s="3210">
        <f>(N24+N20+N22+N30+N16+N15)/6</f>
        <v>3962.5411932959341</v>
      </c>
    </row>
    <row r="16" spans="1:17" s="3210" customFormat="1" ht="95.25" hidden="1" customHeight="1">
      <c r="A16" s="3192">
        <v>2017</v>
      </c>
      <c r="B16" s="3203" t="s">
        <v>3077</v>
      </c>
      <c r="C16" s="3203" t="s">
        <v>3078</v>
      </c>
      <c r="D16" s="3202" t="s">
        <v>3079</v>
      </c>
      <c r="E16" s="3202" t="s">
        <v>3028</v>
      </c>
      <c r="F16" s="3202" t="s">
        <v>3084</v>
      </c>
      <c r="G16" s="3202" t="s">
        <v>3085</v>
      </c>
      <c r="H16" s="3202" t="s">
        <v>3037</v>
      </c>
      <c r="I16" s="3206" t="s">
        <v>3086</v>
      </c>
      <c r="J16" s="3214" t="s">
        <v>3087</v>
      </c>
      <c r="K16" s="3199">
        <v>148.19999999999999</v>
      </c>
      <c r="L16" s="3194">
        <v>46469.07</v>
      </c>
      <c r="M16" s="3194">
        <v>462882.97</v>
      </c>
      <c r="N16" s="3197">
        <f t="shared" si="1"/>
        <v>3436.9233468286102</v>
      </c>
    </row>
    <row r="17" spans="1:14" s="3215" customFormat="1" ht="95.25" customHeight="1">
      <c r="A17" s="3192">
        <v>2017</v>
      </c>
      <c r="B17" s="3211" t="s">
        <v>3088</v>
      </c>
      <c r="C17" s="3211" t="s">
        <v>3089</v>
      </c>
      <c r="D17" s="3202" t="s">
        <v>3090</v>
      </c>
      <c r="E17" s="3202" t="s">
        <v>3028</v>
      </c>
      <c r="F17" s="3202" t="s">
        <v>3091</v>
      </c>
      <c r="G17" s="3202" t="s">
        <v>3092</v>
      </c>
      <c r="H17" s="3202" t="s">
        <v>3037</v>
      </c>
      <c r="I17" s="3206" t="s">
        <v>3093</v>
      </c>
      <c r="J17" s="3206" t="s">
        <v>3094</v>
      </c>
      <c r="K17" s="3199">
        <v>89.78</v>
      </c>
      <c r="L17" s="3194">
        <v>52725.51</v>
      </c>
      <c r="M17" s="3194">
        <v>150160.9</v>
      </c>
      <c r="N17" s="3243">
        <f t="shared" si="1"/>
        <v>2259.8174426375585</v>
      </c>
    </row>
    <row r="18" spans="1:14" s="3210" customFormat="1" ht="95.25" customHeight="1">
      <c r="A18" s="3192">
        <v>2017</v>
      </c>
      <c r="B18" s="3211" t="s">
        <v>3088</v>
      </c>
      <c r="C18" s="3211" t="s">
        <v>3089</v>
      </c>
      <c r="D18" s="3202" t="s">
        <v>3090</v>
      </c>
      <c r="E18" s="3202" t="s">
        <v>3028</v>
      </c>
      <c r="F18" s="3202" t="s">
        <v>3095</v>
      </c>
      <c r="G18" s="3202" t="s">
        <v>3096</v>
      </c>
      <c r="H18" s="3202" t="s">
        <v>3037</v>
      </c>
      <c r="I18" s="3206" t="s">
        <v>3097</v>
      </c>
      <c r="J18" s="3216" t="s">
        <v>3098</v>
      </c>
      <c r="K18" s="3199">
        <v>146.24</v>
      </c>
      <c r="L18" s="3194">
        <v>73331.179999999993</v>
      </c>
      <c r="M18" s="3194">
        <v>459399.64</v>
      </c>
      <c r="N18" s="3242">
        <f t="shared" si="1"/>
        <v>3642.8529814004378</v>
      </c>
    </row>
    <row r="19" spans="1:14" s="3210" customFormat="1" ht="51" hidden="1" customHeight="1">
      <c r="A19" s="3192">
        <v>2017</v>
      </c>
      <c r="B19" s="3211" t="s">
        <v>3099</v>
      </c>
      <c r="C19" s="3211" t="s">
        <v>3089</v>
      </c>
      <c r="D19" s="3202" t="s">
        <v>3072</v>
      </c>
      <c r="E19" s="3202" t="s">
        <v>3028</v>
      </c>
      <c r="F19" s="3202" t="s">
        <v>3100</v>
      </c>
      <c r="G19" s="3202" t="s">
        <v>3101</v>
      </c>
      <c r="H19" s="3202" t="s">
        <v>3067</v>
      </c>
      <c r="I19" s="3206" t="s">
        <v>3102</v>
      </c>
      <c r="J19" s="3206" t="s">
        <v>3103</v>
      </c>
      <c r="K19" s="3194">
        <v>132.25</v>
      </c>
      <c r="L19" s="3194">
        <v>24298.5</v>
      </c>
      <c r="M19" s="3194">
        <v>107594.55</v>
      </c>
      <c r="N19" s="3197">
        <f t="shared" si="1"/>
        <v>997.30094517958401</v>
      </c>
    </row>
    <row r="20" spans="1:14" s="3221" customFormat="1" ht="95.25" hidden="1" customHeight="1">
      <c r="A20" s="3192">
        <v>2017</v>
      </c>
      <c r="B20" s="3211" t="s">
        <v>3099</v>
      </c>
      <c r="C20" s="3217" t="s">
        <v>3089</v>
      </c>
      <c r="D20" s="3218" t="s">
        <v>3104</v>
      </c>
      <c r="E20" s="3202" t="s">
        <v>3064</v>
      </c>
      <c r="F20" s="3219" t="s">
        <v>3105</v>
      </c>
      <c r="G20" s="3202" t="s">
        <v>3081</v>
      </c>
      <c r="H20" s="3202" t="s">
        <v>3037</v>
      </c>
      <c r="I20" s="3220" t="s">
        <v>3106</v>
      </c>
      <c r="J20" s="3220" t="s">
        <v>3107</v>
      </c>
      <c r="K20" s="3199">
        <v>217.58</v>
      </c>
      <c r="L20" s="3194">
        <v>106922.18</v>
      </c>
      <c r="M20" s="3194">
        <v>1002860.16</v>
      </c>
      <c r="N20" s="3197">
        <f t="shared" si="1"/>
        <v>5100.5714679658058</v>
      </c>
    </row>
    <row r="21" spans="1:14" s="3198" customFormat="1" ht="95.25" hidden="1" customHeight="1">
      <c r="A21" s="3222">
        <v>2018</v>
      </c>
      <c r="B21" s="3211" t="s">
        <v>3108</v>
      </c>
      <c r="C21" s="3211" t="s">
        <v>3071</v>
      </c>
      <c r="D21" s="3223" t="s">
        <v>3063</v>
      </c>
      <c r="E21" s="3223" t="s">
        <v>3064</v>
      </c>
      <c r="F21" s="3223" t="s">
        <v>3109</v>
      </c>
      <c r="G21" s="3223" t="s">
        <v>3110</v>
      </c>
      <c r="H21" s="3223" t="s">
        <v>3067</v>
      </c>
      <c r="I21" s="3224" t="s">
        <v>3111</v>
      </c>
      <c r="J21" s="3225" t="s">
        <v>3112</v>
      </c>
      <c r="K21" s="3226">
        <v>726.3</v>
      </c>
      <c r="L21" s="3194">
        <v>281939.06</v>
      </c>
      <c r="M21" s="3194">
        <v>704305.38</v>
      </c>
      <c r="N21" s="3197">
        <f t="shared" si="1"/>
        <v>1357.9022993253477</v>
      </c>
    </row>
    <row r="22" spans="1:14" s="3228" customFormat="1" ht="95.25" hidden="1" customHeight="1">
      <c r="A22" s="3223">
        <v>2018</v>
      </c>
      <c r="B22" s="3211" t="s">
        <v>3113</v>
      </c>
      <c r="C22" s="3227" t="s">
        <v>3114</v>
      </c>
      <c r="D22" s="3204" t="s">
        <v>3104</v>
      </c>
      <c r="E22" s="3204" t="s">
        <v>3028</v>
      </c>
      <c r="F22" s="3204" t="s">
        <v>3115</v>
      </c>
      <c r="G22" s="3204" t="s">
        <v>3081</v>
      </c>
      <c r="H22" s="3204" t="s">
        <v>3037</v>
      </c>
      <c r="I22" s="3224" t="s">
        <v>3116</v>
      </c>
      <c r="J22" s="3225" t="s">
        <v>3117</v>
      </c>
      <c r="K22" s="3199">
        <v>193.55</v>
      </c>
      <c r="L22" s="3194">
        <v>230654.05</v>
      </c>
      <c r="M22" s="3194">
        <v>598903.21</v>
      </c>
      <c r="N22" s="3197">
        <f t="shared" si="1"/>
        <v>4286.0101265822786</v>
      </c>
    </row>
    <row r="23" spans="1:14" s="3228" customFormat="1" ht="95.25" hidden="1" customHeight="1">
      <c r="A23" s="3223">
        <v>2018</v>
      </c>
      <c r="B23" s="3211" t="s">
        <v>3113</v>
      </c>
      <c r="C23" s="3227" t="s">
        <v>3114</v>
      </c>
      <c r="D23" s="3204" t="s">
        <v>3104</v>
      </c>
      <c r="E23" s="3204" t="s">
        <v>3028</v>
      </c>
      <c r="F23" s="3204" t="s">
        <v>3118</v>
      </c>
      <c r="G23" s="3204" t="s">
        <v>3119</v>
      </c>
      <c r="H23" s="3204" t="s">
        <v>3037</v>
      </c>
      <c r="I23" s="3224" t="s">
        <v>3120</v>
      </c>
      <c r="J23" s="3225" t="s">
        <v>3121</v>
      </c>
      <c r="K23" s="3229">
        <v>210.43</v>
      </c>
      <c r="L23" s="3194">
        <v>23862.83</v>
      </c>
      <c r="M23" s="3194">
        <v>602931.53</v>
      </c>
      <c r="N23" s="3197">
        <f t="shared" si="1"/>
        <v>2978.6359359406929</v>
      </c>
    </row>
    <row r="24" spans="1:14" s="3228" customFormat="1" ht="95.25" hidden="1" customHeight="1">
      <c r="A24" s="3223">
        <v>2018</v>
      </c>
      <c r="B24" s="3211" t="s">
        <v>3113</v>
      </c>
      <c r="C24" s="3227" t="s">
        <v>3114</v>
      </c>
      <c r="D24" s="3204" t="s">
        <v>3104</v>
      </c>
      <c r="E24" s="3204" t="s">
        <v>3028</v>
      </c>
      <c r="F24" s="3204" t="s">
        <v>3122</v>
      </c>
      <c r="G24" s="3204" t="s">
        <v>3081</v>
      </c>
      <c r="H24" s="3204" t="s">
        <v>3037</v>
      </c>
      <c r="I24" s="3224" t="s">
        <v>3123</v>
      </c>
      <c r="J24" s="3225" t="s">
        <v>3124</v>
      </c>
      <c r="K24" s="3229">
        <v>74.25</v>
      </c>
      <c r="L24" s="3194">
        <v>13520.67</v>
      </c>
      <c r="M24" s="3194">
        <v>291651.92</v>
      </c>
      <c r="N24" s="3197">
        <f t="shared" si="1"/>
        <v>4110.0685521885516</v>
      </c>
    </row>
    <row r="25" spans="1:14" s="3228" customFormat="1" ht="95.25" hidden="1" customHeight="1">
      <c r="A25" s="3223">
        <v>2018</v>
      </c>
      <c r="B25" s="3211" t="s">
        <v>3113</v>
      </c>
      <c r="C25" s="3227" t="s">
        <v>3114</v>
      </c>
      <c r="D25" s="3204" t="s">
        <v>3125</v>
      </c>
      <c r="E25" s="3204" t="s">
        <v>3028</v>
      </c>
      <c r="F25" s="3204" t="s">
        <v>3126</v>
      </c>
      <c r="G25" s="3204" t="s">
        <v>3127</v>
      </c>
      <c r="H25" s="3204" t="s">
        <v>3037</v>
      </c>
      <c r="I25" s="3224" t="s">
        <v>3128</v>
      </c>
      <c r="J25" s="3195" t="s">
        <v>3129</v>
      </c>
      <c r="K25" s="3229">
        <v>29.09</v>
      </c>
      <c r="L25" s="3194">
        <v>12773.36</v>
      </c>
      <c r="M25" s="3194">
        <v>231746.85</v>
      </c>
      <c r="N25" s="3197">
        <f t="shared" si="1"/>
        <v>8405.6448951529746</v>
      </c>
    </row>
    <row r="26" spans="1:14" s="3228" customFormat="1" ht="95.25" hidden="1" customHeight="1">
      <c r="A26" s="3223">
        <v>2018</v>
      </c>
      <c r="B26" s="3211" t="s">
        <v>3130</v>
      </c>
      <c r="C26" s="3230" t="s">
        <v>3131</v>
      </c>
      <c r="D26" s="3229" t="s">
        <v>3104</v>
      </c>
      <c r="E26" s="3229" t="s">
        <v>3028</v>
      </c>
      <c r="F26" s="3229" t="s">
        <v>3132</v>
      </c>
      <c r="G26" s="3229" t="s">
        <v>3081</v>
      </c>
      <c r="H26" s="3229" t="s">
        <v>3037</v>
      </c>
      <c r="I26" s="3229" t="s">
        <v>3133</v>
      </c>
      <c r="J26" s="3229" t="s">
        <v>3134</v>
      </c>
      <c r="K26" s="3229">
        <v>165.53</v>
      </c>
      <c r="L26" s="3194">
        <v>55495.91</v>
      </c>
      <c r="M26" s="3194">
        <v>418159.92</v>
      </c>
      <c r="N26" s="3197">
        <f t="shared" si="1"/>
        <v>2861.4500694738113</v>
      </c>
    </row>
    <row r="27" spans="1:14" s="3228" customFormat="1" ht="72" hidden="1">
      <c r="A27" s="3223">
        <v>2018</v>
      </c>
      <c r="B27" s="3211" t="s">
        <v>3135</v>
      </c>
      <c r="C27" s="3230" t="s">
        <v>3131</v>
      </c>
      <c r="D27" s="3229" t="s">
        <v>3104</v>
      </c>
      <c r="E27" s="3229" t="s">
        <v>3028</v>
      </c>
      <c r="F27" s="3229" t="s">
        <v>3136</v>
      </c>
      <c r="G27" s="3229" t="s">
        <v>3137</v>
      </c>
      <c r="H27" s="3229" t="s">
        <v>3037</v>
      </c>
      <c r="I27" s="3229" t="s">
        <v>3138</v>
      </c>
      <c r="J27" s="3229" t="s">
        <v>3139</v>
      </c>
      <c r="K27" s="3231">
        <v>175.57</v>
      </c>
      <c r="L27" s="3194">
        <v>157294.39999999999</v>
      </c>
      <c r="M27" s="3194">
        <v>394653.43</v>
      </c>
      <c r="N27" s="3197">
        <f t="shared" si="1"/>
        <v>3143.7479637751321</v>
      </c>
    </row>
    <row r="28" spans="1:14" s="3198" customFormat="1" ht="63.75" hidden="1" customHeight="1">
      <c r="A28" s="3223">
        <v>2018</v>
      </c>
      <c r="B28" s="3211" t="s">
        <v>3140</v>
      </c>
      <c r="C28" s="3232" t="s">
        <v>3141</v>
      </c>
      <c r="D28" s="3233" t="s">
        <v>3056</v>
      </c>
      <c r="E28" s="3233" t="s">
        <v>3028</v>
      </c>
      <c r="F28" s="3233" t="s">
        <v>3142</v>
      </c>
      <c r="G28" s="3233" t="s">
        <v>3143</v>
      </c>
      <c r="H28" s="3233" t="s">
        <v>3037</v>
      </c>
      <c r="I28" s="3233" t="s">
        <v>3144</v>
      </c>
      <c r="J28" s="3233" t="s">
        <v>3145</v>
      </c>
      <c r="K28" s="3229">
        <v>49.58</v>
      </c>
      <c r="L28" s="3194">
        <v>61873.95</v>
      </c>
      <c r="M28" s="3194">
        <v>240341.82</v>
      </c>
      <c r="N28" s="3209">
        <f t="shared" si="1"/>
        <v>6095.5177490923761</v>
      </c>
    </row>
    <row r="29" spans="1:14" s="3198" customFormat="1" ht="95.25" hidden="1" customHeight="1">
      <c r="A29" s="3223">
        <v>2018</v>
      </c>
      <c r="B29" s="3211" t="s">
        <v>3140</v>
      </c>
      <c r="C29" s="3232" t="s">
        <v>3141</v>
      </c>
      <c r="D29" s="3233" t="s">
        <v>3146</v>
      </c>
      <c r="E29" s="3233" t="s">
        <v>3028</v>
      </c>
      <c r="F29" s="3233" t="s">
        <v>3147</v>
      </c>
      <c r="G29" s="3233" t="s">
        <v>3148</v>
      </c>
      <c r="H29" s="3233" t="s">
        <v>3037</v>
      </c>
      <c r="I29" s="3233" t="s">
        <v>3149</v>
      </c>
      <c r="J29" s="3233" t="s">
        <v>3150</v>
      </c>
      <c r="K29" s="3234">
        <v>113.32</v>
      </c>
      <c r="L29" s="3194">
        <v>84598.35</v>
      </c>
      <c r="M29" s="3194">
        <v>378467.53</v>
      </c>
      <c r="N29" s="3197">
        <f t="shared" si="1"/>
        <v>4086.3561595481824</v>
      </c>
    </row>
    <row r="30" spans="1:14" s="3198" customFormat="1" ht="95.25" hidden="1" customHeight="1">
      <c r="A30" s="3223">
        <v>2018</v>
      </c>
      <c r="B30" s="3211" t="s">
        <v>3140</v>
      </c>
      <c r="C30" s="3199">
        <v>12</v>
      </c>
      <c r="D30" s="3233" t="s">
        <v>3104</v>
      </c>
      <c r="E30" s="3233" t="s">
        <v>3028</v>
      </c>
      <c r="F30" s="3233" t="s">
        <v>3151</v>
      </c>
      <c r="G30" s="3233" t="s">
        <v>3081</v>
      </c>
      <c r="H30" s="3233" t="s">
        <v>3037</v>
      </c>
      <c r="I30" s="3233" t="s">
        <v>3152</v>
      </c>
      <c r="J30" s="3233" t="s">
        <v>3153</v>
      </c>
      <c r="K30" s="3229">
        <v>239.14</v>
      </c>
      <c r="L30" s="3194">
        <v>61695.44</v>
      </c>
      <c r="M30" s="3194">
        <v>859650.5</v>
      </c>
      <c r="N30" s="3197">
        <f t="shared" si="1"/>
        <v>3852.7470937526136</v>
      </c>
    </row>
    <row r="31" spans="1:14" s="3198" customFormat="1" ht="120" customHeight="1">
      <c r="A31" s="3223">
        <v>2018</v>
      </c>
      <c r="B31" s="3211" t="s">
        <v>3140</v>
      </c>
      <c r="C31" s="3199" t="s">
        <v>3141</v>
      </c>
      <c r="D31" s="3233" t="s">
        <v>3090</v>
      </c>
      <c r="E31" s="3233" t="s">
        <v>3028</v>
      </c>
      <c r="F31" s="3233" t="s">
        <v>3154</v>
      </c>
      <c r="G31" s="3233" t="s">
        <v>3155</v>
      </c>
      <c r="H31" s="3233" t="s">
        <v>3037</v>
      </c>
      <c r="I31" s="3233" t="s">
        <v>3156</v>
      </c>
      <c r="J31" s="3233" t="s">
        <v>3157</v>
      </c>
      <c r="K31" s="3229">
        <v>129.57</v>
      </c>
      <c r="L31" s="3194">
        <v>164075.88</v>
      </c>
      <c r="M31" s="3194">
        <v>363152.48</v>
      </c>
      <c r="N31" s="3242">
        <f t="shared" si="1"/>
        <v>4069.061974222428</v>
      </c>
    </row>
    <row r="32" spans="1:14" s="3198" customFormat="1" ht="72" hidden="1">
      <c r="A32" s="3223">
        <v>2018</v>
      </c>
      <c r="B32" s="3211" t="s">
        <v>3135</v>
      </c>
      <c r="C32" s="3199" t="s">
        <v>3141</v>
      </c>
      <c r="D32" s="3233" t="s">
        <v>3104</v>
      </c>
      <c r="E32" s="3233" t="s">
        <v>3028</v>
      </c>
      <c r="F32" s="3233" t="s">
        <v>3158</v>
      </c>
      <c r="G32" s="3233" t="s">
        <v>3081</v>
      </c>
      <c r="H32" s="3233" t="s">
        <v>3037</v>
      </c>
      <c r="I32" s="3233" t="s">
        <v>3159</v>
      </c>
      <c r="J32" s="3233" t="s">
        <v>3160</v>
      </c>
      <c r="K32" s="3229">
        <v>55.01</v>
      </c>
      <c r="L32" s="3194">
        <v>61454.45</v>
      </c>
      <c r="M32" s="3194">
        <v>558371.41</v>
      </c>
      <c r="N32" s="3197">
        <f t="shared" si="1"/>
        <v>11267.512452281404</v>
      </c>
    </row>
    <row r="33" spans="11:14">
      <c r="K33" s="3235">
        <f>SUBTOTAL(9,K10:K32)</f>
        <v>365.59000000000003</v>
      </c>
      <c r="L33" s="3236">
        <f>SUBTOTAL(9,L10:L32)</f>
        <v>290132.57</v>
      </c>
      <c r="M33" s="3236">
        <f>SUBTOTAL(9,M10:M32)</f>
        <v>972713.02</v>
      </c>
      <c r="N33" s="3189">
        <f>(L33+M33)/K33</f>
        <v>3454.2673213162284</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K25" sqref="K25"/>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11037.643803006133</v>
      </c>
      <c r="C2" s="2088"/>
      <c r="D2" s="2088"/>
      <c r="E2" s="2088"/>
      <c r="F2" s="2088"/>
      <c r="G2" s="2088"/>
      <c r="H2" s="2088"/>
      <c r="I2" s="2088"/>
      <c r="J2" s="2088"/>
      <c r="K2" s="2088"/>
    </row>
    <row r="3" spans="1:41" s="2025" customFormat="1" ht="18" customHeight="1">
      <c r="A3" s="1374" t="s">
        <v>1682</v>
      </c>
      <c r="B3" s="425">
        <f ca="1">ROUND(B2*10000/IF(B1="",'数据-汇总表'!E3,INDIRECT("'数据-取费表'!K"&amp;$K$1)),0)</f>
        <v>1731</v>
      </c>
      <c r="C3" s="2088"/>
      <c r="D3" s="2088"/>
      <c r="E3" s="2088"/>
      <c r="F3" s="2088"/>
      <c r="G3" s="2088"/>
      <c r="H3" s="2088"/>
      <c r="I3" s="2088"/>
      <c r="J3" s="2088"/>
      <c r="K3" s="2088"/>
    </row>
    <row r="4" spans="1:41" s="2025" customFormat="1" ht="18" customHeight="1">
      <c r="A4" s="426" t="s">
        <v>468</v>
      </c>
      <c r="B4" s="427">
        <f ca="1">ROUND(B2*10000/IF(B1="",'数据-汇总表'!D3,INDIRECT("'数据-取费表'!R"&amp;$K$1)),0)</f>
        <v>1731</v>
      </c>
      <c r="C4" s="2045"/>
      <c r="D4" s="2088"/>
      <c r="E4" s="2088"/>
      <c r="F4" s="2088"/>
      <c r="G4" s="2088"/>
      <c r="H4" s="2088"/>
      <c r="I4" s="2088"/>
      <c r="J4" s="2088"/>
      <c r="K4" s="2088"/>
    </row>
    <row r="5" spans="1:41" s="2025" customFormat="1" ht="18" customHeight="1" thickBot="1">
      <c r="A5" s="429"/>
      <c r="B5" s="430">
        <f ca="1">ROUND(B2/(IF(B1="",'数据-汇总表'!D3,INDIRECT("'数据-取费表'!R"&amp;$K$1))/666.67),0)</f>
        <v>115</v>
      </c>
      <c r="C5" s="431" t="s">
        <v>469</v>
      </c>
      <c r="D5" s="2088"/>
      <c r="E5" s="2088"/>
      <c r="F5" s="2088"/>
      <c r="G5" s="2088"/>
      <c r="H5" s="2088"/>
      <c r="I5" s="2088"/>
      <c r="J5" s="2088"/>
      <c r="K5" s="2088"/>
    </row>
    <row r="6" spans="1:41" s="2095" customFormat="1" ht="16.5" customHeight="1">
      <c r="A6" s="432" t="s">
        <v>2646</v>
      </c>
      <c r="B6" s="433"/>
      <c r="C6" s="1607">
        <f ca="1">SUM(C10:K10)</f>
        <v>28502</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4471</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63755.58</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28502</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9563</v>
      </c>
      <c r="D13" s="451"/>
      <c r="E13" s="365"/>
      <c r="F13" s="452"/>
      <c r="G13" s="444"/>
      <c r="H13" s="447"/>
      <c r="I13" s="447"/>
      <c r="J13" s="447"/>
      <c r="K13" s="448"/>
    </row>
    <row r="14" spans="1:41" s="2100" customFormat="1" ht="13.5" customHeight="1">
      <c r="A14" s="1617" t="s">
        <v>1847</v>
      </c>
      <c r="B14" s="449" t="s">
        <v>480</v>
      </c>
      <c r="C14" s="53">
        <f ca="1">ROUND(C13*F14,0)</f>
        <v>287</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1275</v>
      </c>
      <c r="D16" s="451">
        <f ca="1">IF(B1="",'数据-汇总表'!E3,INDIRECT("'数据-取费表'!K"&amp;$K$1)+INDIRECT("'数据-取费表'!S"&amp;$K$1))</f>
        <v>63755.58</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143</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11268</v>
      </c>
      <c r="D18" s="461"/>
      <c r="E18" s="462"/>
      <c r="F18" s="462"/>
      <c r="G18" s="1321" t="s">
        <v>2427</v>
      </c>
      <c r="H18" s="447"/>
      <c r="I18" s="447"/>
      <c r="J18" s="447"/>
      <c r="K18" s="448"/>
    </row>
    <row r="19" spans="1:14" s="2103" customFormat="1" ht="13.5" customHeight="1">
      <c r="A19" s="1618" t="s">
        <v>1852</v>
      </c>
      <c r="B19" s="459" t="s">
        <v>493</v>
      </c>
      <c r="C19" s="460">
        <f ca="1">ROUND(C18*F19,0)</f>
        <v>225</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270</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270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1149</v>
      </c>
      <c r="D24" s="489">
        <f ca="1">C26</f>
        <v>2E-3</v>
      </c>
      <c r="E24" s="469" t="s">
        <v>507</v>
      </c>
      <c r="F24" s="479">
        <f ca="1">IF(B1="",'数据-取费表'!Q16,INDIRECT("'数据-取费表'!q"&amp;$K$1))</f>
        <v>0.1</v>
      </c>
      <c r="G24" s="444"/>
      <c r="H24" s="447"/>
      <c r="I24" s="447"/>
      <c r="J24" s="447"/>
      <c r="K24" s="448"/>
    </row>
    <row r="25" spans="1:14" s="2104" customFormat="1" ht="13.5" customHeight="1">
      <c r="A25" s="1617" t="s">
        <v>1846</v>
      </c>
      <c r="B25" s="1322" t="s">
        <v>2431</v>
      </c>
      <c r="C25" s="490">
        <f ca="1">ROUND((C18+C19)*F24,0)</f>
        <v>1149</v>
      </c>
      <c r="D25" s="472"/>
      <c r="E25" s="473"/>
      <c r="F25" s="480"/>
      <c r="G25" s="1320" t="s">
        <v>2428</v>
      </c>
      <c r="H25" s="457"/>
      <c r="I25" s="457"/>
      <c r="J25" s="457"/>
      <c r="K25" s="458"/>
    </row>
    <row r="26" spans="1:14" s="2104" customFormat="1" ht="13.5" customHeight="1">
      <c r="A26" s="1617" t="s">
        <v>1847</v>
      </c>
      <c r="B26" s="1322" t="s">
        <v>509</v>
      </c>
      <c r="C26" s="491">
        <f ca="1">ROUND(F20*F24,4)</f>
        <v>2E-3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13957</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13957</v>
      </c>
      <c r="D30" s="493"/>
      <c r="E30" s="498"/>
      <c r="F30" s="499"/>
      <c r="G30" s="1323" t="s">
        <v>515</v>
      </c>
      <c r="H30" s="496"/>
      <c r="I30" s="496"/>
      <c r="J30" s="447"/>
      <c r="K30" s="448"/>
    </row>
    <row r="31" spans="1:14" s="2110" customFormat="1" ht="13.5" customHeight="1">
      <c r="A31" s="2445" t="s">
        <v>1863</v>
      </c>
      <c r="B31" s="1324"/>
      <c r="C31" s="500">
        <f ca="1">ROUND(C6*F31/(1+'数据-取费表'!C42),0)</f>
        <v>1493</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11037.643803006133</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68" t="s">
        <v>522</v>
      </c>
      <c r="D6" s="3469"/>
      <c r="E6" s="3468" t="s">
        <v>523</v>
      </c>
      <c r="F6" s="3469"/>
      <c r="G6" s="3468" t="s">
        <v>524</v>
      </c>
      <c r="H6" s="3469"/>
      <c r="I6" s="3468" t="s">
        <v>525</v>
      </c>
      <c r="J6" s="3469"/>
      <c r="K6" s="514" t="s">
        <v>526</v>
      </c>
      <c r="L6" s="2117"/>
      <c r="M6" s="2116"/>
      <c r="N6" s="2116"/>
      <c r="O6" s="2118"/>
      <c r="P6" s="3470" t="s">
        <v>527</v>
      </c>
      <c r="Q6" s="3471"/>
      <c r="R6" s="3456" t="s">
        <v>523</v>
      </c>
      <c r="S6" s="3457"/>
      <c r="T6" s="3456" t="s">
        <v>524</v>
      </c>
      <c r="U6" s="3457"/>
      <c r="V6" s="3476" t="s">
        <v>525</v>
      </c>
      <c r="W6" s="3476"/>
      <c r="X6" s="1552"/>
      <c r="Y6" s="3456" t="s">
        <v>527</v>
      </c>
      <c r="Z6" s="3457"/>
      <c r="AA6" s="3451" t="s">
        <v>523</v>
      </c>
      <c r="AB6" s="3452" t="s">
        <v>524</v>
      </c>
      <c r="AC6" s="3451" t="s">
        <v>525</v>
      </c>
    </row>
    <row r="7" spans="1:30" ht="20.25">
      <c r="A7" s="515"/>
      <c r="B7" s="516"/>
      <c r="C7" s="3479" t="s">
        <v>2923</v>
      </c>
      <c r="D7" s="3480"/>
      <c r="E7" s="3479" t="s">
        <v>2924</v>
      </c>
      <c r="F7" s="3480"/>
      <c r="G7" s="3479" t="s">
        <v>2925</v>
      </c>
      <c r="H7" s="3480"/>
      <c r="I7" s="3479" t="s">
        <v>2926</v>
      </c>
      <c r="J7" s="3480"/>
      <c r="K7" s="514"/>
      <c r="L7" s="2117"/>
      <c r="M7" s="2116"/>
      <c r="N7" s="2116"/>
      <c r="O7" s="2118"/>
      <c r="P7" s="3472"/>
      <c r="Q7" s="3473"/>
      <c r="R7" s="3458"/>
      <c r="S7" s="3459"/>
      <c r="T7" s="3458"/>
      <c r="U7" s="3459"/>
      <c r="V7" s="3476"/>
      <c r="W7" s="3476"/>
      <c r="X7" s="1552"/>
      <c r="Y7" s="3458"/>
      <c r="Z7" s="3459"/>
      <c r="AA7" s="3452"/>
      <c r="AB7" s="3452"/>
      <c r="AC7" s="3452"/>
    </row>
    <row r="8" spans="1:30" ht="21" thickBot="1">
      <c r="A8" s="515"/>
      <c r="B8" s="516"/>
      <c r="C8" s="3481" t="s">
        <v>2927</v>
      </c>
      <c r="D8" s="3482"/>
      <c r="E8" s="3481" t="s">
        <v>2927</v>
      </c>
      <c r="F8" s="3482"/>
      <c r="G8" s="3477" t="s">
        <v>2927</v>
      </c>
      <c r="H8" s="3478"/>
      <c r="I8" s="3477" t="s">
        <v>2927</v>
      </c>
      <c r="J8" s="3478"/>
      <c r="K8" s="514" t="s">
        <v>528</v>
      </c>
      <c r="L8" s="2117"/>
      <c r="M8" s="2116"/>
      <c r="N8" s="2116"/>
      <c r="O8" s="2118"/>
      <c r="P8" s="3474"/>
      <c r="Q8" s="3475"/>
      <c r="R8" s="3458"/>
      <c r="S8" s="3459"/>
      <c r="T8" s="3460"/>
      <c r="U8" s="3461"/>
      <c r="V8" s="3476"/>
      <c r="W8" s="3476"/>
      <c r="X8" s="1552"/>
      <c r="Y8" s="3460"/>
      <c r="Z8" s="3461"/>
      <c r="AA8" s="3453"/>
      <c r="AB8" s="3453"/>
      <c r="AC8" s="3453"/>
    </row>
    <row r="9" spans="1:30" s="1214" customFormat="1" ht="21" thickBot="1">
      <c r="A9" s="2866"/>
      <c r="B9" s="2873" t="s">
        <v>529</v>
      </c>
      <c r="C9" s="2865">
        <f>'数据-取费表'!B2</f>
        <v>44010</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54" t="s">
        <v>530</v>
      </c>
      <c r="Q9" s="3463"/>
      <c r="R9" s="1553" t="s">
        <v>8</v>
      </c>
      <c r="S9" s="1554">
        <f t="shared" ref="S9:S17" si="0">F9</f>
        <v>0</v>
      </c>
      <c r="T9" s="1553" t="s">
        <v>8</v>
      </c>
      <c r="U9" s="1554">
        <f t="shared" ref="U9:U17" si="1">H9</f>
        <v>0</v>
      </c>
      <c r="V9" s="1553" t="s">
        <v>8</v>
      </c>
      <c r="W9" s="1554">
        <f t="shared" ref="W9:W17" si="2">J9</f>
        <v>0</v>
      </c>
      <c r="X9" s="1555"/>
      <c r="Y9" s="3454" t="s">
        <v>530</v>
      </c>
      <c r="Z9" s="3455"/>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54" t="s">
        <v>533</v>
      </c>
      <c r="Q10" s="3455"/>
      <c r="R10" s="1553" t="s">
        <v>8</v>
      </c>
      <c r="S10" s="1554">
        <f t="shared" si="0"/>
        <v>0</v>
      </c>
      <c r="T10" s="1553" t="s">
        <v>8</v>
      </c>
      <c r="U10" s="1554">
        <f t="shared" si="1"/>
        <v>0</v>
      </c>
      <c r="V10" s="1553" t="s">
        <v>8</v>
      </c>
      <c r="W10" s="1554">
        <f t="shared" si="2"/>
        <v>0</v>
      </c>
      <c r="X10" s="1555"/>
      <c r="Y10" s="3454" t="s">
        <v>533</v>
      </c>
      <c r="Z10" s="3455"/>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62" t="s">
        <v>535</v>
      </c>
      <c r="Q11" s="1145" t="str">
        <f t="shared" ref="Q11:Q17" si="6">B11</f>
        <v>用途</v>
      </c>
      <c r="R11" s="1553" t="s">
        <v>8</v>
      </c>
      <c r="S11" s="1554">
        <f t="shared" si="0"/>
        <v>100</v>
      </c>
      <c r="T11" s="1553" t="s">
        <v>8</v>
      </c>
      <c r="U11" s="1554">
        <f t="shared" si="1"/>
        <v>100</v>
      </c>
      <c r="V11" s="1553" t="s">
        <v>8</v>
      </c>
      <c r="W11" s="1554">
        <f t="shared" si="2"/>
        <v>100</v>
      </c>
      <c r="X11" s="1555"/>
      <c r="Y11" s="3387"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145</v>
      </c>
      <c r="G12" s="530"/>
      <c r="H12" s="255">
        <f>ROUND(100/'数据-取费表'!G16,0)</f>
        <v>145</v>
      </c>
      <c r="I12" s="530"/>
      <c r="J12" s="255">
        <f>ROUND(100/'数据-取费表'!G16,0)</f>
        <v>145</v>
      </c>
      <c r="K12" s="531"/>
      <c r="L12" s="2122"/>
      <c r="M12" s="2116"/>
      <c r="N12" s="2116"/>
      <c r="O12" s="2123"/>
      <c r="P12" s="3462"/>
      <c r="Q12" s="1145" t="str">
        <f t="shared" si="6"/>
        <v>土地使用年限（年）</v>
      </c>
      <c r="R12" s="1553" t="s">
        <v>8</v>
      </c>
      <c r="S12" s="1554">
        <f t="shared" si="0"/>
        <v>145</v>
      </c>
      <c r="T12" s="1553" t="s">
        <v>8</v>
      </c>
      <c r="U12" s="1554">
        <f t="shared" si="1"/>
        <v>145</v>
      </c>
      <c r="V12" s="1553" t="s">
        <v>8</v>
      </c>
      <c r="W12" s="1554">
        <f t="shared" si="2"/>
        <v>145</v>
      </c>
      <c r="X12" s="1555"/>
      <c r="Y12" s="3387"/>
      <c r="Z12" s="1144" t="str">
        <f t="shared" si="7"/>
        <v>土地使用年限（年）</v>
      </c>
      <c r="AA12" s="1556">
        <f t="shared" si="3"/>
        <v>0.68965517241379315</v>
      </c>
      <c r="AB12" s="1556">
        <f t="shared" si="4"/>
        <v>0.68965517241379315</v>
      </c>
      <c r="AC12" s="1556">
        <f t="shared" si="5"/>
        <v>0.68965517241379315</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62"/>
      <c r="Q13" s="1145" t="str">
        <f t="shared" si="6"/>
        <v>容积率</v>
      </c>
      <c r="R13" s="1553" t="s">
        <v>8</v>
      </c>
      <c r="S13" s="1554" t="e">
        <f t="shared" si="0"/>
        <v>#N/A</v>
      </c>
      <c r="T13" s="1553" t="s">
        <v>8</v>
      </c>
      <c r="U13" s="1554" t="e">
        <f t="shared" si="1"/>
        <v>#N/A</v>
      </c>
      <c r="V13" s="1553" t="s">
        <v>8</v>
      </c>
      <c r="W13" s="1554" t="e">
        <f t="shared" si="2"/>
        <v>#N/A</v>
      </c>
      <c r="X13" s="1555"/>
      <c r="Y13" s="3387"/>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62"/>
      <c r="Q14" s="1145" t="str">
        <f t="shared" si="6"/>
        <v>配建</v>
      </c>
      <c r="R14" s="1553" t="s">
        <v>8</v>
      </c>
      <c r="S14" s="1554">
        <f t="shared" si="0"/>
        <v>100</v>
      </c>
      <c r="T14" s="1553" t="s">
        <v>8</v>
      </c>
      <c r="U14" s="1554">
        <f t="shared" si="1"/>
        <v>100</v>
      </c>
      <c r="V14" s="1553" t="s">
        <v>8</v>
      </c>
      <c r="W14" s="1554">
        <f t="shared" si="2"/>
        <v>100</v>
      </c>
      <c r="X14" s="1555"/>
      <c r="Y14" s="3387"/>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62"/>
      <c r="Q15" s="1145">
        <f t="shared" si="6"/>
        <v>111</v>
      </c>
      <c r="R15" s="1553" t="s">
        <v>8</v>
      </c>
      <c r="S15" s="1554">
        <f t="shared" si="0"/>
        <v>100</v>
      </c>
      <c r="T15" s="1553" t="s">
        <v>8</v>
      </c>
      <c r="U15" s="1554">
        <f t="shared" si="1"/>
        <v>100</v>
      </c>
      <c r="V15" s="1553" t="s">
        <v>8</v>
      </c>
      <c r="W15" s="1554">
        <f t="shared" si="2"/>
        <v>100</v>
      </c>
      <c r="X15" s="1555"/>
      <c r="Y15" s="3387"/>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62"/>
      <c r="Q16" s="1145">
        <f t="shared" si="6"/>
        <v>111</v>
      </c>
      <c r="R16" s="1553" t="s">
        <v>8</v>
      </c>
      <c r="S16" s="1554">
        <f t="shared" si="0"/>
        <v>100</v>
      </c>
      <c r="T16" s="1553" t="s">
        <v>8</v>
      </c>
      <c r="U16" s="1554">
        <f t="shared" si="1"/>
        <v>100</v>
      </c>
      <c r="V16" s="1553" t="s">
        <v>8</v>
      </c>
      <c r="W16" s="1554">
        <f t="shared" si="2"/>
        <v>100</v>
      </c>
      <c r="X16" s="1555"/>
      <c r="Y16" s="3387"/>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64" t="s">
        <v>540</v>
      </c>
      <c r="Q17" s="1557" t="str">
        <f t="shared" si="6"/>
        <v>居住社区成熟度</v>
      </c>
      <c r="R17" s="1558" t="s">
        <v>8</v>
      </c>
      <c r="S17" s="1559">
        <f t="shared" si="0"/>
        <v>100</v>
      </c>
      <c r="T17" s="1558" t="s">
        <v>8</v>
      </c>
      <c r="U17" s="1559">
        <f t="shared" si="1"/>
        <v>100</v>
      </c>
      <c r="V17" s="1558" t="s">
        <v>8</v>
      </c>
      <c r="W17" s="1559">
        <f t="shared" si="2"/>
        <v>100</v>
      </c>
      <c r="X17" s="1552"/>
      <c r="Y17" s="3464"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65"/>
      <c r="Q18" s="1557"/>
      <c r="R18" s="1558"/>
      <c r="S18" s="1559"/>
      <c r="T18" s="1558"/>
      <c r="U18" s="1559"/>
      <c r="V18" s="1558"/>
      <c r="W18" s="1559"/>
      <c r="X18" s="1552"/>
      <c r="Y18" s="3465"/>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65"/>
      <c r="Q19" s="1557" t="str">
        <f>B19</f>
        <v>商业繁华度</v>
      </c>
      <c r="R19" s="1558" t="s">
        <v>8</v>
      </c>
      <c r="S19" s="1559">
        <f>F19</f>
        <v>100</v>
      </c>
      <c r="T19" s="1558" t="s">
        <v>8</v>
      </c>
      <c r="U19" s="1559">
        <f>H19</f>
        <v>100</v>
      </c>
      <c r="V19" s="1558" t="s">
        <v>8</v>
      </c>
      <c r="W19" s="1559">
        <f>J19</f>
        <v>100</v>
      </c>
      <c r="X19" s="1552"/>
      <c r="Y19" s="3465"/>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65"/>
      <c r="Q20" s="1557"/>
      <c r="R20" s="1558"/>
      <c r="S20" s="1559"/>
      <c r="T20" s="1558"/>
      <c r="U20" s="1559"/>
      <c r="V20" s="1558"/>
      <c r="W20" s="1559"/>
      <c r="X20" s="1552"/>
      <c r="Y20" s="3465"/>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65"/>
      <c r="Q21" s="1557" t="str">
        <f>B21</f>
        <v>办公集聚程度</v>
      </c>
      <c r="R21" s="1558" t="s">
        <v>8</v>
      </c>
      <c r="S21" s="1559">
        <f>F21</f>
        <v>100</v>
      </c>
      <c r="T21" s="1558" t="s">
        <v>8</v>
      </c>
      <c r="U21" s="1559">
        <f>H21</f>
        <v>100</v>
      </c>
      <c r="V21" s="1558" t="s">
        <v>8</v>
      </c>
      <c r="W21" s="1559">
        <f>J21</f>
        <v>100</v>
      </c>
      <c r="X21" s="1552"/>
      <c r="Y21" s="3465"/>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65"/>
      <c r="Q22" s="1557"/>
      <c r="R22" s="1558"/>
      <c r="S22" s="1559"/>
      <c r="T22" s="1558"/>
      <c r="U22" s="1559"/>
      <c r="V22" s="1558"/>
      <c r="W22" s="1559"/>
      <c r="X22" s="1552"/>
      <c r="Y22" s="3465"/>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65"/>
      <c r="Q23" s="1557" t="str">
        <f>B23</f>
        <v>交通便捷度</v>
      </c>
      <c r="R23" s="1558" t="s">
        <v>8</v>
      </c>
      <c r="S23" s="1559">
        <f>F23</f>
        <v>100</v>
      </c>
      <c r="T23" s="1558" t="s">
        <v>8</v>
      </c>
      <c r="U23" s="1559">
        <f>H23</f>
        <v>100</v>
      </c>
      <c r="V23" s="1558" t="s">
        <v>8</v>
      </c>
      <c r="W23" s="1559">
        <f>J23</f>
        <v>100</v>
      </c>
      <c r="X23" s="1552"/>
      <c r="Y23" s="3465"/>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65"/>
      <c r="Q24" s="1557"/>
      <c r="R24" s="1558"/>
      <c r="S24" s="1559"/>
      <c r="T24" s="1558"/>
      <c r="U24" s="1559"/>
      <c r="V24" s="1558"/>
      <c r="W24" s="1559"/>
      <c r="X24" s="1552"/>
      <c r="Y24" s="3465"/>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65"/>
      <c r="Q25" s="1557" t="str">
        <f t="shared" ref="Q25:Q39" si="8">B25</f>
        <v>区域土地利用方向</v>
      </c>
      <c r="R25" s="1558" t="s">
        <v>8</v>
      </c>
      <c r="S25" s="1559">
        <f>F25</f>
        <v>100</v>
      </c>
      <c r="T25" s="1558" t="s">
        <v>8</v>
      </c>
      <c r="U25" s="1559">
        <f>H25</f>
        <v>100</v>
      </c>
      <c r="V25" s="1558" t="s">
        <v>8</v>
      </c>
      <c r="W25" s="1559">
        <f>J25</f>
        <v>100</v>
      </c>
      <c r="X25" s="1552"/>
      <c r="Y25" s="3465"/>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65"/>
      <c r="Q26" s="1557"/>
      <c r="R26" s="1558"/>
      <c r="S26" s="1559"/>
      <c r="T26" s="1558"/>
      <c r="U26" s="1559"/>
      <c r="V26" s="1558"/>
      <c r="W26" s="1559"/>
      <c r="X26" s="1552"/>
      <c r="Y26" s="3465"/>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65"/>
      <c r="Q27" s="1557" t="str">
        <f t="shared" si="8"/>
        <v>自然及人文环境状况</v>
      </c>
      <c r="R27" s="1558" t="s">
        <v>8</v>
      </c>
      <c r="S27" s="1559">
        <f>F27</f>
        <v>100</v>
      </c>
      <c r="T27" s="1558" t="s">
        <v>8</v>
      </c>
      <c r="U27" s="1559">
        <f>H27</f>
        <v>100</v>
      </c>
      <c r="V27" s="1558" t="s">
        <v>8</v>
      </c>
      <c r="W27" s="1559">
        <f>J27</f>
        <v>100</v>
      </c>
      <c r="X27" s="1552"/>
      <c r="Y27" s="3465"/>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65"/>
      <c r="Q28" s="1557"/>
      <c r="R28" s="1558"/>
      <c r="S28" s="1559"/>
      <c r="T28" s="1558"/>
      <c r="U28" s="1559"/>
      <c r="V28" s="1558"/>
      <c r="W28" s="1559"/>
      <c r="X28" s="1552"/>
      <c r="Y28" s="3465"/>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65"/>
      <c r="Q29" s="1145" t="str">
        <f t="shared" si="8"/>
        <v>公共配套设施</v>
      </c>
      <c r="R29" s="1553" t="s">
        <v>8</v>
      </c>
      <c r="S29" s="1554">
        <f>F29</f>
        <v>100</v>
      </c>
      <c r="T29" s="1553" t="s">
        <v>8</v>
      </c>
      <c r="U29" s="1554">
        <f>H29</f>
        <v>100</v>
      </c>
      <c r="V29" s="1553" t="s">
        <v>8</v>
      </c>
      <c r="W29" s="1554">
        <f>J29</f>
        <v>100</v>
      </c>
      <c r="X29" s="1555"/>
      <c r="Y29" s="3465"/>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65"/>
      <c r="Q30" s="1145"/>
      <c r="R30" s="1553"/>
      <c r="S30" s="1554"/>
      <c r="T30" s="1553"/>
      <c r="U30" s="1554"/>
      <c r="V30" s="1553"/>
      <c r="W30" s="1554"/>
      <c r="X30" s="1555"/>
      <c r="Y30" s="3465"/>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65"/>
      <c r="Q31" s="2541" t="str">
        <f t="shared" ref="Q31" si="9">B31</f>
        <v>基础设施水平</v>
      </c>
      <c r="R31" s="1553" t="s">
        <v>8</v>
      </c>
      <c r="S31" s="1554">
        <f>F31</f>
        <v>100</v>
      </c>
      <c r="T31" s="1553" t="s">
        <v>8</v>
      </c>
      <c r="U31" s="1554">
        <f>H31</f>
        <v>100</v>
      </c>
      <c r="V31" s="1553" t="s">
        <v>8</v>
      </c>
      <c r="W31" s="1554">
        <f>J31</f>
        <v>100</v>
      </c>
      <c r="X31" s="1555"/>
      <c r="Y31" s="3465"/>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65"/>
      <c r="Q32" s="2541"/>
      <c r="R32" s="1553"/>
      <c r="S32" s="1554"/>
      <c r="T32" s="1553"/>
      <c r="U32" s="1554"/>
      <c r="V32" s="1553"/>
      <c r="W32" s="1554"/>
      <c r="X32" s="1555"/>
      <c r="Y32" s="3465"/>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6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65"/>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65"/>
      <c r="Q34" s="1557" t="str">
        <f t="shared" si="8"/>
        <v>毗邻道路的类型与等级</v>
      </c>
      <c r="R34" s="1558" t="s">
        <v>8</v>
      </c>
      <c r="S34" s="1559">
        <f t="shared" si="10"/>
        <v>100</v>
      </c>
      <c r="T34" s="1558" t="s">
        <v>8</v>
      </c>
      <c r="U34" s="1559">
        <f t="shared" si="11"/>
        <v>100</v>
      </c>
      <c r="V34" s="1558" t="s">
        <v>8</v>
      </c>
      <c r="W34" s="1559">
        <f t="shared" si="12"/>
        <v>100</v>
      </c>
      <c r="X34" s="1552"/>
      <c r="Y34" s="3465"/>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65"/>
      <c r="Q35" s="1557"/>
      <c r="R35" s="1558"/>
      <c r="S35" s="1559"/>
      <c r="T35" s="1558"/>
      <c r="U35" s="1559"/>
      <c r="V35" s="1558"/>
      <c r="W35" s="1559"/>
      <c r="X35" s="1552"/>
      <c r="Y35" s="3465"/>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65"/>
      <c r="Q36" s="1557" t="str">
        <f t="shared" si="8"/>
        <v>土地级别</v>
      </c>
      <c r="R36" s="1558" t="s">
        <v>8</v>
      </c>
      <c r="S36" s="1559">
        <f t="shared" si="10"/>
        <v>100</v>
      </c>
      <c r="T36" s="1558" t="s">
        <v>8</v>
      </c>
      <c r="U36" s="1559">
        <f t="shared" si="11"/>
        <v>100</v>
      </c>
      <c r="V36" s="1558" t="s">
        <v>8</v>
      </c>
      <c r="W36" s="1559">
        <f t="shared" si="12"/>
        <v>100</v>
      </c>
      <c r="X36" s="1552"/>
      <c r="Y36" s="3465"/>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65"/>
      <c r="Q37" s="1557">
        <f t="shared" si="8"/>
        <v>111</v>
      </c>
      <c r="R37" s="1558" t="s">
        <v>8</v>
      </c>
      <c r="S37" s="1559">
        <f t="shared" si="10"/>
        <v>100</v>
      </c>
      <c r="T37" s="1558" t="s">
        <v>8</v>
      </c>
      <c r="U37" s="1559">
        <f t="shared" si="11"/>
        <v>100</v>
      </c>
      <c r="V37" s="1558" t="s">
        <v>8</v>
      </c>
      <c r="W37" s="1559">
        <f t="shared" si="12"/>
        <v>100</v>
      </c>
      <c r="X37" s="1552"/>
      <c r="Y37" s="3465"/>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66" t="s">
        <v>550</v>
      </c>
      <c r="Q38" s="1557">
        <f t="shared" si="8"/>
        <v>111</v>
      </c>
      <c r="R38" s="1558" t="s">
        <v>8</v>
      </c>
      <c r="S38" s="1559">
        <f t="shared" si="10"/>
        <v>100</v>
      </c>
      <c r="T38" s="1558" t="s">
        <v>8</v>
      </c>
      <c r="U38" s="1559">
        <f t="shared" si="11"/>
        <v>100</v>
      </c>
      <c r="V38" s="1558" t="s">
        <v>8</v>
      </c>
      <c r="W38" s="1559">
        <f t="shared" si="12"/>
        <v>100</v>
      </c>
      <c r="X38" s="1552"/>
      <c r="Y38" s="3467"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67"/>
      <c r="Q39" s="1557">
        <f t="shared" si="8"/>
        <v>111</v>
      </c>
      <c r="R39" s="1562" t="s">
        <v>8</v>
      </c>
      <c r="S39" s="1563">
        <f t="shared" si="10"/>
        <v>100</v>
      </c>
      <c r="T39" s="1562" t="s">
        <v>8</v>
      </c>
      <c r="U39" s="1563">
        <f t="shared" si="11"/>
        <v>100</v>
      </c>
      <c r="V39" s="1562" t="s">
        <v>8</v>
      </c>
      <c r="W39" s="1563">
        <f t="shared" si="12"/>
        <v>100</v>
      </c>
      <c r="X39" s="1564"/>
      <c r="Y39" s="3467"/>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67"/>
      <c r="Q40" s="1557" t="str">
        <f>B40</f>
        <v>宗地面积</v>
      </c>
      <c r="R40" s="1558" t="s">
        <v>8</v>
      </c>
      <c r="S40" s="1559" t="e">
        <f t="shared" si="10"/>
        <v>#N/A</v>
      </c>
      <c r="T40" s="1558" t="s">
        <v>8</v>
      </c>
      <c r="U40" s="1559" t="e">
        <f t="shared" si="11"/>
        <v>#N/A</v>
      </c>
      <c r="V40" s="1558" t="s">
        <v>8</v>
      </c>
      <c r="W40" s="1559" t="e">
        <f t="shared" si="12"/>
        <v>#N/A</v>
      </c>
      <c r="X40" s="1552"/>
      <c r="Y40" s="3467"/>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67"/>
      <c r="Q41" s="1557" t="str">
        <f t="shared" ref="Q41:Q47" si="14">B41</f>
        <v>宗地形状</v>
      </c>
      <c r="R41" s="1558" t="s">
        <v>8</v>
      </c>
      <c r="S41" s="1559">
        <f t="shared" si="10"/>
        <v>100</v>
      </c>
      <c r="T41" s="1558" t="s">
        <v>8</v>
      </c>
      <c r="U41" s="1559">
        <f t="shared" si="11"/>
        <v>100</v>
      </c>
      <c r="V41" s="1558" t="s">
        <v>8</v>
      </c>
      <c r="W41" s="1559">
        <f t="shared" si="12"/>
        <v>100</v>
      </c>
      <c r="X41" s="1552"/>
      <c r="Y41" s="3467"/>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67"/>
      <c r="Q42" s="1557" t="str">
        <f t="shared" si="14"/>
        <v>临街宽度及深度</v>
      </c>
      <c r="R42" s="1558" t="s">
        <v>8</v>
      </c>
      <c r="S42" s="1559">
        <f t="shared" si="10"/>
        <v>100</v>
      </c>
      <c r="T42" s="1558" t="s">
        <v>8</v>
      </c>
      <c r="U42" s="1559">
        <f t="shared" si="11"/>
        <v>100</v>
      </c>
      <c r="V42" s="1558" t="s">
        <v>8</v>
      </c>
      <c r="W42" s="1559">
        <f t="shared" si="12"/>
        <v>100</v>
      </c>
      <c r="X42" s="1552"/>
      <c r="Y42" s="3467"/>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67"/>
      <c r="Q43" s="1557" t="str">
        <f t="shared" si="14"/>
        <v>宗地开发程度</v>
      </c>
      <c r="R43" s="1553" t="s">
        <v>8</v>
      </c>
      <c r="S43" s="1554">
        <f t="shared" si="10"/>
        <v>100</v>
      </c>
      <c r="T43" s="1553" t="s">
        <v>8</v>
      </c>
      <c r="U43" s="1554">
        <f t="shared" si="11"/>
        <v>100</v>
      </c>
      <c r="V43" s="1553" t="s">
        <v>8</v>
      </c>
      <c r="W43" s="1554">
        <f t="shared" si="12"/>
        <v>100</v>
      </c>
      <c r="X43" s="1555"/>
      <c r="Y43" s="3467"/>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67" t="s">
        <v>550</v>
      </c>
      <c r="Q44" s="1557" t="str">
        <f t="shared" si="14"/>
        <v>工程地质条件</v>
      </c>
      <c r="R44" s="1558" t="s">
        <v>8</v>
      </c>
      <c r="S44" s="1559">
        <f t="shared" si="10"/>
        <v>100</v>
      </c>
      <c r="T44" s="1558" t="s">
        <v>8</v>
      </c>
      <c r="U44" s="1559">
        <f t="shared" si="11"/>
        <v>100</v>
      </c>
      <c r="V44" s="1558" t="s">
        <v>8</v>
      </c>
      <c r="W44" s="1559">
        <f t="shared" si="12"/>
        <v>100</v>
      </c>
      <c r="X44" s="1552"/>
      <c r="Y44" s="3467"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67"/>
      <c r="Q45" s="1557">
        <f t="shared" si="14"/>
        <v>111</v>
      </c>
      <c r="R45" s="1558" t="s">
        <v>8</v>
      </c>
      <c r="S45" s="1559">
        <f t="shared" si="10"/>
        <v>100</v>
      </c>
      <c r="T45" s="1558" t="s">
        <v>8</v>
      </c>
      <c r="U45" s="1559">
        <f t="shared" si="11"/>
        <v>100</v>
      </c>
      <c r="V45" s="1558" t="s">
        <v>8</v>
      </c>
      <c r="W45" s="1559">
        <f t="shared" si="12"/>
        <v>100</v>
      </c>
      <c r="X45" s="1552"/>
      <c r="Y45" s="3467"/>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67"/>
      <c r="Q46" s="1557">
        <f t="shared" si="14"/>
        <v>111</v>
      </c>
      <c r="R46" s="1558" t="s">
        <v>8</v>
      </c>
      <c r="S46" s="1559">
        <f t="shared" si="10"/>
        <v>100</v>
      </c>
      <c r="T46" s="1558" t="s">
        <v>8</v>
      </c>
      <c r="U46" s="1559">
        <f t="shared" si="11"/>
        <v>100</v>
      </c>
      <c r="V46" s="1558" t="s">
        <v>8</v>
      </c>
      <c r="W46" s="1559">
        <f t="shared" si="12"/>
        <v>100</v>
      </c>
      <c r="X46" s="1552"/>
      <c r="Y46" s="3467"/>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67"/>
      <c r="Q47" s="1557">
        <f t="shared" si="14"/>
        <v>111</v>
      </c>
      <c r="R47" s="1562" t="s">
        <v>8</v>
      </c>
      <c r="S47" s="1563">
        <f t="shared" si="10"/>
        <v>100</v>
      </c>
      <c r="T47" s="1562" t="s">
        <v>8</v>
      </c>
      <c r="U47" s="1563">
        <f t="shared" si="11"/>
        <v>100</v>
      </c>
      <c r="V47" s="1562" t="s">
        <v>8</v>
      </c>
      <c r="W47" s="1563">
        <f t="shared" si="12"/>
        <v>100</v>
      </c>
      <c r="X47" s="1564"/>
      <c r="Y47" s="3467"/>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62" t="str">
        <f>A48</f>
        <v>成交单价</v>
      </c>
      <c r="Q48" s="3462"/>
      <c r="R48" s="3476">
        <f>E48</f>
        <v>0</v>
      </c>
      <c r="S48" s="3476"/>
      <c r="T48" s="3476">
        <f>G48</f>
        <v>0</v>
      </c>
      <c r="U48" s="3476"/>
      <c r="V48" s="3476">
        <f>I48</f>
        <v>0</v>
      </c>
      <c r="W48" s="3476"/>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62" t="str">
        <f>A49</f>
        <v>比较价格（元/平方米）</v>
      </c>
      <c r="Q49" s="3462"/>
      <c r="R49" s="3486" t="e">
        <f>ROUND(PRODUCT(R48,AA9:AA47),0)</f>
        <v>#DIV/0!</v>
      </c>
      <c r="S49" s="3486"/>
      <c r="T49" s="3486" t="e">
        <f>ROUND(PRODUCT(T48,AB9:AB47),0)</f>
        <v>#DIV/0!</v>
      </c>
      <c r="U49" s="3486"/>
      <c r="V49" s="3486" t="e">
        <f>ROUND(PRODUCT(V48,AC9:AC47),0)</f>
        <v>#DIV/0!</v>
      </c>
      <c r="W49" s="3486"/>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83" t="str">
        <f>A50</f>
        <v>估价对象XX用房的比较价格（楼面单价，元/平方米）</v>
      </c>
      <c r="Q50" s="3484"/>
      <c r="R50" s="3485" t="e">
        <f>ROUND(AVERAGE(R49:V49),0)</f>
        <v>#DIV/0!</v>
      </c>
      <c r="S50" s="3485"/>
      <c r="T50" s="3485"/>
      <c r="U50" s="3485"/>
      <c r="V50" s="3485"/>
      <c r="W50" s="348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46" t="s">
        <v>2276</v>
      </c>
      <c r="H57" s="3447"/>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63755.58</v>
      </c>
      <c r="F58" s="636" t="e">
        <f t="shared" ref="F58:F67" si="15">ROUND(B58*E58/10000,0)</f>
        <v>#DIV/0!</v>
      </c>
      <c r="G58" s="3448"/>
      <c r="H58" s="344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50"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5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5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5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63755.58</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68" t="s">
        <v>522</v>
      </c>
      <c r="D6" s="3469"/>
      <c r="E6" s="3492" t="s">
        <v>523</v>
      </c>
      <c r="F6" s="3493"/>
      <c r="G6" s="3468" t="s">
        <v>524</v>
      </c>
      <c r="H6" s="3469"/>
      <c r="I6" s="3468" t="s">
        <v>525</v>
      </c>
      <c r="J6" s="3469"/>
      <c r="K6" s="514" t="s">
        <v>526</v>
      </c>
      <c r="L6" s="2117"/>
      <c r="M6" s="2118"/>
      <c r="N6" s="2118"/>
      <c r="O6" s="2118"/>
      <c r="P6" s="3470" t="s">
        <v>527</v>
      </c>
      <c r="Q6" s="3471"/>
      <c r="R6" s="3456" t="s">
        <v>523</v>
      </c>
      <c r="S6" s="3457"/>
      <c r="T6" s="3456" t="s">
        <v>524</v>
      </c>
      <c r="U6" s="3457"/>
      <c r="V6" s="3476" t="s">
        <v>525</v>
      </c>
      <c r="W6" s="3476"/>
      <c r="X6" s="1552"/>
      <c r="Y6" s="3456" t="s">
        <v>527</v>
      </c>
      <c r="Z6" s="3457"/>
      <c r="AA6" s="3451" t="s">
        <v>523</v>
      </c>
      <c r="AB6" s="3452" t="s">
        <v>524</v>
      </c>
      <c r="AC6" s="3451" t="s">
        <v>525</v>
      </c>
    </row>
    <row r="7" spans="1:29" ht="15">
      <c r="A7" s="515"/>
      <c r="B7" s="516"/>
      <c r="C7" s="3479" t="s">
        <v>2923</v>
      </c>
      <c r="D7" s="3480"/>
      <c r="E7" s="3494" t="s">
        <v>2924</v>
      </c>
      <c r="F7" s="3495"/>
      <c r="G7" s="3479" t="s">
        <v>2925</v>
      </c>
      <c r="H7" s="3480"/>
      <c r="I7" s="3479" t="s">
        <v>2926</v>
      </c>
      <c r="J7" s="3480"/>
      <c r="K7" s="514"/>
      <c r="L7" s="2117"/>
      <c r="M7" s="2118"/>
      <c r="N7" s="2118"/>
      <c r="O7" s="2118"/>
      <c r="P7" s="3472"/>
      <c r="Q7" s="3473"/>
      <c r="R7" s="3458"/>
      <c r="S7" s="3459"/>
      <c r="T7" s="3458"/>
      <c r="U7" s="3459"/>
      <c r="V7" s="3476"/>
      <c r="W7" s="3476"/>
      <c r="X7" s="1552"/>
      <c r="Y7" s="3458"/>
      <c r="Z7" s="3459"/>
      <c r="AA7" s="3452"/>
      <c r="AB7" s="3452"/>
      <c r="AC7" s="3452"/>
    </row>
    <row r="8" spans="1:29" ht="15.75" thickBot="1">
      <c r="A8" s="517"/>
      <c r="B8" s="518"/>
      <c r="C8" s="3477" t="s">
        <v>2927</v>
      </c>
      <c r="D8" s="3478"/>
      <c r="E8" s="3496" t="s">
        <v>2927</v>
      </c>
      <c r="F8" s="3497"/>
      <c r="G8" s="3477" t="s">
        <v>2927</v>
      </c>
      <c r="H8" s="3478"/>
      <c r="I8" s="3477" t="s">
        <v>2927</v>
      </c>
      <c r="J8" s="3478"/>
      <c r="K8" s="514" t="s">
        <v>528</v>
      </c>
      <c r="L8" s="2117"/>
      <c r="M8" s="2118"/>
      <c r="N8" s="2118"/>
      <c r="O8" s="2118"/>
      <c r="P8" s="3474"/>
      <c r="Q8" s="3475"/>
      <c r="R8" s="3458"/>
      <c r="S8" s="3459"/>
      <c r="T8" s="3460"/>
      <c r="U8" s="3461"/>
      <c r="V8" s="3476"/>
      <c r="W8" s="3476"/>
      <c r="X8" s="1552"/>
      <c r="Y8" s="3460"/>
      <c r="Z8" s="3461"/>
      <c r="AA8" s="3453"/>
      <c r="AB8" s="3453"/>
      <c r="AC8" s="3453"/>
    </row>
    <row r="9" spans="1:29" s="1214" customFormat="1" ht="15.75" thickBot="1">
      <c r="A9" s="2866"/>
      <c r="B9" s="2873" t="s">
        <v>529</v>
      </c>
      <c r="C9" s="519">
        <f>'数据-取费表'!B2</f>
        <v>44010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54" t="s">
        <v>530</v>
      </c>
      <c r="Q9" s="3463"/>
      <c r="R9" s="1553" t="s">
        <v>8</v>
      </c>
      <c r="S9" s="1554">
        <f t="shared" ref="S9:S17" si="0">F9</f>
        <v>0</v>
      </c>
      <c r="T9" s="1553" t="s">
        <v>8</v>
      </c>
      <c r="U9" s="1554">
        <f t="shared" ref="U9:U17" si="1">H9</f>
        <v>0</v>
      </c>
      <c r="V9" s="1553" t="s">
        <v>8</v>
      </c>
      <c r="W9" s="1554">
        <f t="shared" ref="W9:W17" si="2">J9</f>
        <v>0</v>
      </c>
      <c r="X9" s="1555"/>
      <c r="Y9" s="3454" t="s">
        <v>530</v>
      </c>
      <c r="Z9" s="3455"/>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54" t="s">
        <v>533</v>
      </c>
      <c r="Q10" s="3455"/>
      <c r="R10" s="1553" t="s">
        <v>8</v>
      </c>
      <c r="S10" s="1554">
        <f t="shared" si="0"/>
        <v>0</v>
      </c>
      <c r="T10" s="1553" t="s">
        <v>8</v>
      </c>
      <c r="U10" s="1554">
        <f t="shared" si="1"/>
        <v>0</v>
      </c>
      <c r="V10" s="1553" t="s">
        <v>8</v>
      </c>
      <c r="W10" s="1554">
        <f t="shared" si="2"/>
        <v>0</v>
      </c>
      <c r="X10" s="1555"/>
      <c r="Y10" s="3454" t="s">
        <v>533</v>
      </c>
      <c r="Z10" s="3455"/>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62" t="s">
        <v>535</v>
      </c>
      <c r="Q11" s="1145" t="str">
        <f t="shared" ref="Q11:Q17" si="6">B11</f>
        <v>用途</v>
      </c>
      <c r="R11" s="1553" t="s">
        <v>8</v>
      </c>
      <c r="S11" s="1554">
        <f t="shared" si="0"/>
        <v>100</v>
      </c>
      <c r="T11" s="1553" t="s">
        <v>8</v>
      </c>
      <c r="U11" s="1554">
        <f t="shared" si="1"/>
        <v>100</v>
      </c>
      <c r="V11" s="1553" t="s">
        <v>8</v>
      </c>
      <c r="W11" s="1554">
        <f t="shared" si="2"/>
        <v>100</v>
      </c>
      <c r="X11" s="1555"/>
      <c r="Y11" s="3387"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145</v>
      </c>
      <c r="G12" s="528"/>
      <c r="H12" s="255">
        <f>ROUND(100/'数据-取费表'!G16,0)</f>
        <v>145</v>
      </c>
      <c r="I12" s="528"/>
      <c r="J12" s="255">
        <f>ROUND(100/'数据-取费表'!G16,0)</f>
        <v>145</v>
      </c>
      <c r="K12" s="531"/>
      <c r="L12" s="2122"/>
      <c r="M12" s="2162"/>
      <c r="N12" s="2162"/>
      <c r="O12" s="2123"/>
      <c r="P12" s="3462"/>
      <c r="Q12" s="1145" t="str">
        <f t="shared" si="6"/>
        <v>土地使用年限（年）</v>
      </c>
      <c r="R12" s="1553" t="s">
        <v>8</v>
      </c>
      <c r="S12" s="1554">
        <f t="shared" si="0"/>
        <v>145</v>
      </c>
      <c r="T12" s="1553" t="s">
        <v>8</v>
      </c>
      <c r="U12" s="1554">
        <f t="shared" si="1"/>
        <v>145</v>
      </c>
      <c r="V12" s="1553" t="s">
        <v>8</v>
      </c>
      <c r="W12" s="1554">
        <f t="shared" si="2"/>
        <v>145</v>
      </c>
      <c r="X12" s="1555"/>
      <c r="Y12" s="3387"/>
      <c r="Z12" s="1144" t="str">
        <f t="shared" si="7"/>
        <v>土地使用年限（年）</v>
      </c>
      <c r="AA12" s="1556">
        <f t="shared" si="3"/>
        <v>0.68965517241379315</v>
      </c>
      <c r="AB12" s="1556">
        <f t="shared" si="4"/>
        <v>0.68965517241379315</v>
      </c>
      <c r="AC12" s="1556">
        <f t="shared" si="5"/>
        <v>0.68965517241379315</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62"/>
      <c r="Q13" s="1145" t="str">
        <f t="shared" si="6"/>
        <v>容积率</v>
      </c>
      <c r="R13" s="1553" t="s">
        <v>8</v>
      </c>
      <c r="S13" s="1554" t="e">
        <f t="shared" si="0"/>
        <v>#N/A</v>
      </c>
      <c r="T13" s="1553" t="s">
        <v>8</v>
      </c>
      <c r="U13" s="1554" t="e">
        <f t="shared" si="1"/>
        <v>#N/A</v>
      </c>
      <c r="V13" s="1553" t="s">
        <v>8</v>
      </c>
      <c r="W13" s="1554" t="e">
        <f t="shared" si="2"/>
        <v>#N/A</v>
      </c>
      <c r="X13" s="1555"/>
      <c r="Y13" s="3387"/>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62"/>
      <c r="Q14" s="1145">
        <f t="shared" si="6"/>
        <v>111</v>
      </c>
      <c r="R14" s="1553" t="s">
        <v>8</v>
      </c>
      <c r="S14" s="1554">
        <f t="shared" si="0"/>
        <v>100</v>
      </c>
      <c r="T14" s="1553" t="s">
        <v>8</v>
      </c>
      <c r="U14" s="1554">
        <f t="shared" si="1"/>
        <v>100</v>
      </c>
      <c r="V14" s="1553" t="s">
        <v>8</v>
      </c>
      <c r="W14" s="1554">
        <f t="shared" si="2"/>
        <v>100</v>
      </c>
      <c r="X14" s="1555"/>
      <c r="Y14" s="3387"/>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62"/>
      <c r="Q15" s="1145">
        <f t="shared" si="6"/>
        <v>111</v>
      </c>
      <c r="R15" s="1553" t="s">
        <v>8</v>
      </c>
      <c r="S15" s="1554">
        <f t="shared" si="0"/>
        <v>100</v>
      </c>
      <c r="T15" s="1553" t="s">
        <v>8</v>
      </c>
      <c r="U15" s="1554">
        <f t="shared" si="1"/>
        <v>100</v>
      </c>
      <c r="V15" s="1553" t="s">
        <v>8</v>
      </c>
      <c r="W15" s="1554">
        <f t="shared" si="2"/>
        <v>100</v>
      </c>
      <c r="X15" s="1555"/>
      <c r="Y15" s="3387"/>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62"/>
      <c r="Q16" s="1145">
        <f t="shared" si="6"/>
        <v>111</v>
      </c>
      <c r="R16" s="1553" t="s">
        <v>8</v>
      </c>
      <c r="S16" s="1554">
        <f t="shared" si="0"/>
        <v>100</v>
      </c>
      <c r="T16" s="1553" t="s">
        <v>8</v>
      </c>
      <c r="U16" s="1554">
        <f t="shared" si="1"/>
        <v>100</v>
      </c>
      <c r="V16" s="1553" t="s">
        <v>8</v>
      </c>
      <c r="W16" s="1554">
        <f t="shared" si="2"/>
        <v>100</v>
      </c>
      <c r="X16" s="1555"/>
      <c r="Y16" s="3387"/>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64" t="s">
        <v>540</v>
      </c>
      <c r="Q17" s="1557" t="str">
        <f t="shared" si="6"/>
        <v>产业集聚程度</v>
      </c>
      <c r="R17" s="1558" t="s">
        <v>8</v>
      </c>
      <c r="S17" s="1559">
        <f t="shared" si="0"/>
        <v>100</v>
      </c>
      <c r="T17" s="1558" t="s">
        <v>8</v>
      </c>
      <c r="U17" s="1559">
        <f t="shared" si="1"/>
        <v>100</v>
      </c>
      <c r="V17" s="1558" t="s">
        <v>8</v>
      </c>
      <c r="W17" s="1559">
        <f t="shared" si="2"/>
        <v>100</v>
      </c>
      <c r="X17" s="1552"/>
      <c r="Y17" s="3464"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65"/>
      <c r="Q18" s="1557"/>
      <c r="R18" s="1558"/>
      <c r="S18" s="1559"/>
      <c r="T18" s="1558"/>
      <c r="U18" s="1559"/>
      <c r="V18" s="1558"/>
      <c r="W18" s="1559"/>
      <c r="X18" s="1552"/>
      <c r="Y18" s="3465"/>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65"/>
      <c r="Q19" s="1557" t="str">
        <f>B19</f>
        <v>交通便捷度</v>
      </c>
      <c r="R19" s="1558" t="s">
        <v>8</v>
      </c>
      <c r="S19" s="1559">
        <f>F19</f>
        <v>100</v>
      </c>
      <c r="T19" s="1558" t="s">
        <v>8</v>
      </c>
      <c r="U19" s="1559">
        <f>H19</f>
        <v>100</v>
      </c>
      <c r="V19" s="1558" t="s">
        <v>8</v>
      </c>
      <c r="W19" s="1559">
        <f>J19</f>
        <v>100</v>
      </c>
      <c r="X19" s="1552"/>
      <c r="Y19" s="3465"/>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65"/>
      <c r="Q20" s="1557"/>
      <c r="R20" s="1558"/>
      <c r="S20" s="1559"/>
      <c r="T20" s="1558"/>
      <c r="U20" s="1559"/>
      <c r="V20" s="1558"/>
      <c r="W20" s="1559"/>
      <c r="X20" s="1552"/>
      <c r="Y20" s="3465"/>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65"/>
      <c r="Q21" s="1557" t="str">
        <f t="shared" ref="Q21:Q35" si="8">B21</f>
        <v>区域土地利用方向</v>
      </c>
      <c r="R21" s="1558" t="s">
        <v>8</v>
      </c>
      <c r="S21" s="1559">
        <f>F21</f>
        <v>100</v>
      </c>
      <c r="T21" s="1558" t="s">
        <v>8</v>
      </c>
      <c r="U21" s="1559">
        <f>H21</f>
        <v>100</v>
      </c>
      <c r="V21" s="1558" t="s">
        <v>8</v>
      </c>
      <c r="W21" s="1559">
        <f>J21</f>
        <v>100</v>
      </c>
      <c r="X21" s="1552"/>
      <c r="Y21" s="346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65"/>
      <c r="Q22" s="1557"/>
      <c r="R22" s="1558"/>
      <c r="S22" s="1559"/>
      <c r="T22" s="1558"/>
      <c r="U22" s="1559"/>
      <c r="V22" s="1558"/>
      <c r="W22" s="1559"/>
      <c r="X22" s="1552"/>
      <c r="Y22" s="3465"/>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65"/>
      <c r="Q23" s="1557" t="str">
        <f t="shared" si="8"/>
        <v>环境状况</v>
      </c>
      <c r="R23" s="1558" t="s">
        <v>8</v>
      </c>
      <c r="S23" s="1559">
        <f>F23</f>
        <v>100</v>
      </c>
      <c r="T23" s="1558" t="s">
        <v>8</v>
      </c>
      <c r="U23" s="1559">
        <f>H23</f>
        <v>100</v>
      </c>
      <c r="V23" s="1558" t="s">
        <v>8</v>
      </c>
      <c r="W23" s="1559">
        <f>J23</f>
        <v>100</v>
      </c>
      <c r="X23" s="1552"/>
      <c r="Y23" s="346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65"/>
      <c r="Q24" s="1557"/>
      <c r="R24" s="1558"/>
      <c r="S24" s="1559"/>
      <c r="T24" s="1558"/>
      <c r="U24" s="1559"/>
      <c r="V24" s="1558"/>
      <c r="W24" s="1559"/>
      <c r="X24" s="1552"/>
      <c r="Y24" s="3465"/>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65"/>
      <c r="Q25" s="1145" t="str">
        <f t="shared" si="8"/>
        <v>公共配套设施</v>
      </c>
      <c r="R25" s="1553" t="s">
        <v>8</v>
      </c>
      <c r="S25" s="1554">
        <f>F25</f>
        <v>100</v>
      </c>
      <c r="T25" s="1553" t="s">
        <v>8</v>
      </c>
      <c r="U25" s="1554">
        <f>H25</f>
        <v>100</v>
      </c>
      <c r="V25" s="1553" t="s">
        <v>8</v>
      </c>
      <c r="W25" s="1554">
        <f>J25</f>
        <v>100</v>
      </c>
      <c r="X25" s="1555"/>
      <c r="Y25" s="3465"/>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65"/>
      <c r="Q26" s="1145"/>
      <c r="R26" s="1553"/>
      <c r="S26" s="1554"/>
      <c r="T26" s="1553"/>
      <c r="U26" s="1554"/>
      <c r="V26" s="1553"/>
      <c r="W26" s="1554"/>
      <c r="X26" s="1555"/>
      <c r="Y26" s="3465"/>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65"/>
      <c r="Q27" s="2541" t="str">
        <f t="shared" ref="Q27" si="9">B27</f>
        <v>基础设施水平</v>
      </c>
      <c r="R27" s="1553" t="s">
        <v>8</v>
      </c>
      <c r="S27" s="1554">
        <f>F27</f>
        <v>100</v>
      </c>
      <c r="T27" s="1553" t="s">
        <v>8</v>
      </c>
      <c r="U27" s="1554">
        <f>H27</f>
        <v>100</v>
      </c>
      <c r="V27" s="1553" t="s">
        <v>8</v>
      </c>
      <c r="W27" s="1554">
        <f>J27</f>
        <v>100</v>
      </c>
      <c r="X27" s="1555"/>
      <c r="Y27" s="3465"/>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65"/>
      <c r="Q28" s="2541"/>
      <c r="R28" s="1553"/>
      <c r="S28" s="1554"/>
      <c r="T28" s="1553"/>
      <c r="U28" s="1554"/>
      <c r="V28" s="1553"/>
      <c r="W28" s="1554"/>
      <c r="X28" s="1555"/>
      <c r="Y28" s="346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6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65"/>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65"/>
      <c r="Q30" s="1557" t="str">
        <f t="shared" si="8"/>
        <v>毗邻道路的类型与等级</v>
      </c>
      <c r="R30" s="1558" t="s">
        <v>8</v>
      </c>
      <c r="S30" s="1559">
        <f t="shared" si="10"/>
        <v>100</v>
      </c>
      <c r="T30" s="1558" t="s">
        <v>8</v>
      </c>
      <c r="U30" s="1559">
        <f t="shared" si="11"/>
        <v>100</v>
      </c>
      <c r="V30" s="1558" t="s">
        <v>8</v>
      </c>
      <c r="W30" s="1559">
        <f t="shared" si="12"/>
        <v>100</v>
      </c>
      <c r="X30" s="1552"/>
      <c r="Y30" s="3465"/>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65"/>
      <c r="Q31" s="1557"/>
      <c r="R31" s="1558"/>
      <c r="S31" s="1559"/>
      <c r="T31" s="1558"/>
      <c r="U31" s="1559"/>
      <c r="V31" s="1558"/>
      <c r="W31" s="1559"/>
      <c r="X31" s="1552"/>
      <c r="Y31" s="346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65"/>
      <c r="Q32" s="1557" t="str">
        <f t="shared" si="8"/>
        <v>土地级别</v>
      </c>
      <c r="R32" s="1558" t="s">
        <v>8</v>
      </c>
      <c r="S32" s="1559">
        <f t="shared" si="10"/>
        <v>100</v>
      </c>
      <c r="T32" s="1558" t="s">
        <v>8</v>
      </c>
      <c r="U32" s="1559">
        <f t="shared" si="11"/>
        <v>100</v>
      </c>
      <c r="V32" s="1558" t="s">
        <v>8</v>
      </c>
      <c r="W32" s="1559">
        <f t="shared" si="12"/>
        <v>100</v>
      </c>
      <c r="X32" s="1552"/>
      <c r="Y32" s="3465"/>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65"/>
      <c r="Q33" s="1557">
        <f t="shared" si="8"/>
        <v>111</v>
      </c>
      <c r="R33" s="1558" t="s">
        <v>8</v>
      </c>
      <c r="S33" s="1559">
        <f t="shared" si="10"/>
        <v>100</v>
      </c>
      <c r="T33" s="1558" t="s">
        <v>8</v>
      </c>
      <c r="U33" s="1559">
        <f t="shared" si="11"/>
        <v>100</v>
      </c>
      <c r="V33" s="1558" t="s">
        <v>8</v>
      </c>
      <c r="W33" s="1559">
        <f t="shared" si="12"/>
        <v>100</v>
      </c>
      <c r="X33" s="1552"/>
      <c r="Y33" s="3465"/>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66" t="s">
        <v>550</v>
      </c>
      <c r="Q34" s="1557">
        <f t="shared" si="8"/>
        <v>111</v>
      </c>
      <c r="R34" s="1558" t="s">
        <v>8</v>
      </c>
      <c r="S34" s="1559">
        <f t="shared" si="10"/>
        <v>100</v>
      </c>
      <c r="T34" s="1558" t="s">
        <v>8</v>
      </c>
      <c r="U34" s="1559">
        <f t="shared" si="11"/>
        <v>100</v>
      </c>
      <c r="V34" s="1558" t="s">
        <v>8</v>
      </c>
      <c r="W34" s="1559">
        <f t="shared" si="12"/>
        <v>100</v>
      </c>
      <c r="X34" s="1552"/>
      <c r="Y34" s="3467"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67"/>
      <c r="Q35" s="1557">
        <f t="shared" si="8"/>
        <v>111</v>
      </c>
      <c r="R35" s="1562" t="s">
        <v>8</v>
      </c>
      <c r="S35" s="1563">
        <f t="shared" si="10"/>
        <v>100</v>
      </c>
      <c r="T35" s="1562" t="s">
        <v>8</v>
      </c>
      <c r="U35" s="1563">
        <f t="shared" si="11"/>
        <v>100</v>
      </c>
      <c r="V35" s="1562" t="s">
        <v>8</v>
      </c>
      <c r="W35" s="1563">
        <f t="shared" si="12"/>
        <v>100</v>
      </c>
      <c r="X35" s="1564"/>
      <c r="Y35" s="3467"/>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67"/>
      <c r="Q36" s="1557" t="str">
        <f>B36</f>
        <v>宗地面积</v>
      </c>
      <c r="R36" s="1558" t="s">
        <v>8</v>
      </c>
      <c r="S36" s="1559" t="e">
        <f t="shared" si="10"/>
        <v>#N/A</v>
      </c>
      <c r="T36" s="1558" t="s">
        <v>8</v>
      </c>
      <c r="U36" s="1559" t="e">
        <f t="shared" si="11"/>
        <v>#N/A</v>
      </c>
      <c r="V36" s="1558" t="s">
        <v>8</v>
      </c>
      <c r="W36" s="1559" t="e">
        <f t="shared" si="12"/>
        <v>#N/A</v>
      </c>
      <c r="X36" s="1552"/>
      <c r="Y36" s="3467"/>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67"/>
      <c r="Q37" s="1557" t="str">
        <f t="shared" ref="Q37:Q42" si="14">B37</f>
        <v>宗地形状</v>
      </c>
      <c r="R37" s="1558" t="s">
        <v>8</v>
      </c>
      <c r="S37" s="1559">
        <f t="shared" si="10"/>
        <v>100</v>
      </c>
      <c r="T37" s="1558" t="s">
        <v>8</v>
      </c>
      <c r="U37" s="1559">
        <f t="shared" si="11"/>
        <v>100</v>
      </c>
      <c r="V37" s="1558" t="s">
        <v>8</v>
      </c>
      <c r="W37" s="1559">
        <f t="shared" si="12"/>
        <v>100</v>
      </c>
      <c r="X37" s="1552"/>
      <c r="Y37" s="3467"/>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67"/>
      <c r="Q38" s="1557" t="str">
        <f t="shared" si="14"/>
        <v>宗地开发程度</v>
      </c>
      <c r="R38" s="1553" t="s">
        <v>8</v>
      </c>
      <c r="S38" s="1554">
        <f t="shared" si="10"/>
        <v>100</v>
      </c>
      <c r="T38" s="1553" t="s">
        <v>8</v>
      </c>
      <c r="U38" s="1554">
        <f t="shared" si="11"/>
        <v>100</v>
      </c>
      <c r="V38" s="1553" t="s">
        <v>8</v>
      </c>
      <c r="W38" s="1554">
        <f t="shared" si="12"/>
        <v>100</v>
      </c>
      <c r="X38" s="1555"/>
      <c r="Y38" s="3467"/>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7" t="s">
        <v>601</v>
      </c>
      <c r="Q39" s="1557" t="str">
        <f t="shared" si="14"/>
        <v>工程地质条件</v>
      </c>
      <c r="R39" s="1558" t="s">
        <v>8</v>
      </c>
      <c r="S39" s="1559">
        <f t="shared" si="10"/>
        <v>100</v>
      </c>
      <c r="T39" s="1558" t="s">
        <v>8</v>
      </c>
      <c r="U39" s="1559">
        <f t="shared" si="11"/>
        <v>100</v>
      </c>
      <c r="V39" s="1558" t="s">
        <v>8</v>
      </c>
      <c r="W39" s="1559">
        <f t="shared" si="12"/>
        <v>100</v>
      </c>
      <c r="X39" s="1552"/>
      <c r="Y39" s="3467"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67"/>
      <c r="Q40" s="1557">
        <f t="shared" si="14"/>
        <v>111</v>
      </c>
      <c r="R40" s="1558" t="s">
        <v>8</v>
      </c>
      <c r="S40" s="1559">
        <f t="shared" si="10"/>
        <v>100</v>
      </c>
      <c r="T40" s="1558" t="s">
        <v>8</v>
      </c>
      <c r="U40" s="1559">
        <f t="shared" si="11"/>
        <v>100</v>
      </c>
      <c r="V40" s="1558" t="s">
        <v>8</v>
      </c>
      <c r="W40" s="1559">
        <f t="shared" si="12"/>
        <v>100</v>
      </c>
      <c r="X40" s="1552"/>
      <c r="Y40" s="3467"/>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67"/>
      <c r="Q41" s="1557">
        <f t="shared" si="14"/>
        <v>111</v>
      </c>
      <c r="R41" s="1558" t="s">
        <v>8</v>
      </c>
      <c r="S41" s="1559">
        <f t="shared" si="10"/>
        <v>100</v>
      </c>
      <c r="T41" s="1558" t="s">
        <v>8</v>
      </c>
      <c r="U41" s="1559">
        <f t="shared" si="11"/>
        <v>100</v>
      </c>
      <c r="V41" s="1558" t="s">
        <v>8</v>
      </c>
      <c r="W41" s="1559">
        <f t="shared" si="12"/>
        <v>100</v>
      </c>
      <c r="X41" s="1552"/>
      <c r="Y41" s="3467"/>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67"/>
      <c r="Q42" s="1557">
        <f t="shared" si="14"/>
        <v>111</v>
      </c>
      <c r="R42" s="1562" t="s">
        <v>8</v>
      </c>
      <c r="S42" s="1563">
        <f t="shared" si="10"/>
        <v>100</v>
      </c>
      <c r="T42" s="1562" t="s">
        <v>8</v>
      </c>
      <c r="U42" s="1563">
        <f t="shared" si="11"/>
        <v>100</v>
      </c>
      <c r="V42" s="1562" t="s">
        <v>8</v>
      </c>
      <c r="W42" s="1563">
        <f t="shared" si="12"/>
        <v>100</v>
      </c>
      <c r="X42" s="1564"/>
      <c r="Y42" s="3467"/>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62" t="str">
        <f>A43</f>
        <v>成交单价</v>
      </c>
      <c r="Q43" s="3462"/>
      <c r="R43" s="3476">
        <f>E43</f>
        <v>0</v>
      </c>
      <c r="S43" s="3476"/>
      <c r="T43" s="3476">
        <f>G43</f>
        <v>0</v>
      </c>
      <c r="U43" s="3476"/>
      <c r="V43" s="3476">
        <f>I43</f>
        <v>0</v>
      </c>
      <c r="W43" s="3476"/>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62" t="str">
        <f>A44</f>
        <v>比较价格（元/平方米）</v>
      </c>
      <c r="Q44" s="3462"/>
      <c r="R44" s="3486" t="e">
        <f>ROUND(PRODUCT(R43,AA9:AA42),0)</f>
        <v>#DIV/0!</v>
      </c>
      <c r="S44" s="3486"/>
      <c r="T44" s="3486" t="e">
        <f>ROUND(PRODUCT(T43,AB9:AB42),0)</f>
        <v>#DIV/0!</v>
      </c>
      <c r="U44" s="3486"/>
      <c r="V44" s="3486" t="e">
        <f>ROUND(PRODUCT(V43,AC9:AC42),0)</f>
        <v>#DIV/0!</v>
      </c>
      <c r="W44" s="3486"/>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83" t="str">
        <f>A45</f>
        <v>估价对象XX用房的比较价格（楼面单价，元/平方米）</v>
      </c>
      <c r="Q45" s="3484"/>
      <c r="R45" s="3485" t="e">
        <f>ROUND(AVERAGE(R44:V44),0)</f>
        <v>#DIV/0!</v>
      </c>
      <c r="S45" s="3485"/>
      <c r="T45" s="3485"/>
      <c r="U45" s="3485"/>
      <c r="V45" s="3485"/>
      <c r="W45" s="348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7" t="s">
        <v>2279</v>
      </c>
      <c r="H52" s="3488"/>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63755.58</v>
      </c>
      <c r="F53" s="1934" t="e">
        <f t="shared" ref="F53:F62" si="15">ROUND(B53*E53/10000,0)</f>
        <v>#DIV/0!</v>
      </c>
      <c r="G53" s="3489"/>
      <c r="H53" s="349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9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9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9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9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63755.58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24" t="s">
        <v>1005</v>
      </c>
      <c r="B18" s="1148" t="s">
        <v>1444</v>
      </c>
      <c r="C18" s="1125" t="s">
        <v>1445</v>
      </c>
      <c r="D18" s="1126"/>
      <c r="E18" s="1148">
        <v>1</v>
      </c>
      <c r="F18" s="1127" t="s">
        <v>1446</v>
      </c>
      <c r="G18" s="1128"/>
      <c r="H18" s="1099"/>
      <c r="I18" s="1099"/>
    </row>
    <row r="19" spans="1:9" s="1583" customFormat="1" ht="19.5" customHeight="1">
      <c r="A19" s="3424"/>
      <c r="B19" s="3424" t="s">
        <v>1447</v>
      </c>
      <c r="C19" s="1125" t="s">
        <v>1448</v>
      </c>
      <c r="D19" s="1126"/>
      <c r="E19" s="1148">
        <v>0.9</v>
      </c>
      <c r="F19" s="1127" t="s">
        <v>1449</v>
      </c>
      <c r="G19" s="1128"/>
      <c r="H19" s="1099"/>
      <c r="I19" s="1099"/>
    </row>
    <row r="20" spans="1:9" s="1583" customFormat="1" ht="19.5" customHeight="1">
      <c r="A20" s="3424"/>
      <c r="B20" s="3424"/>
      <c r="C20" s="1125" t="s">
        <v>1450</v>
      </c>
      <c r="D20" s="1126"/>
      <c r="E20" s="1148">
        <v>1.1000000000000001</v>
      </c>
      <c r="F20" s="1127" t="s">
        <v>1451</v>
      </c>
      <c r="G20" s="1128"/>
      <c r="H20" s="1099"/>
      <c r="I20" s="1099"/>
    </row>
    <row r="21" spans="1:9" s="1583" customFormat="1" ht="19.5" customHeight="1">
      <c r="A21" s="3424"/>
      <c r="B21" s="3424"/>
      <c r="C21" s="1125" t="s">
        <v>1452</v>
      </c>
      <c r="D21" s="1126"/>
      <c r="E21" s="1148">
        <v>0.8</v>
      </c>
      <c r="F21" s="1127" t="s">
        <v>1453</v>
      </c>
      <c r="G21" s="1128"/>
      <c r="H21" s="1099"/>
      <c r="I21" s="1099"/>
    </row>
    <row r="22" spans="1:9" s="1583" customFormat="1" ht="19.5" customHeight="1">
      <c r="A22" s="3424"/>
      <c r="B22" s="3424"/>
      <c r="C22" s="1125" t="s">
        <v>1454</v>
      </c>
      <c r="D22" s="1126"/>
      <c r="E22" s="1148">
        <v>0.5</v>
      </c>
      <c r="F22" s="1127"/>
      <c r="G22" s="1128"/>
      <c r="H22" s="1099"/>
      <c r="I22" s="1099"/>
    </row>
    <row r="23" spans="1:9" s="1583" customFormat="1" ht="19.5" customHeight="1">
      <c r="A23" s="3424" t="s">
        <v>1027</v>
      </c>
      <c r="B23" s="1148" t="s">
        <v>1444</v>
      </c>
      <c r="C23" s="1125" t="s">
        <v>1455</v>
      </c>
      <c r="D23" s="1126"/>
      <c r="E23" s="1148">
        <v>1</v>
      </c>
      <c r="F23" s="1127" t="s">
        <v>1456</v>
      </c>
      <c r="G23" s="1128"/>
      <c r="H23" s="1099"/>
      <c r="I23" s="1099"/>
    </row>
    <row r="24" spans="1:9" s="1583" customFormat="1" ht="19.5" customHeight="1">
      <c r="A24" s="3424"/>
      <c r="B24" s="3424" t="s">
        <v>1447</v>
      </c>
      <c r="C24" s="1125" t="s">
        <v>1457</v>
      </c>
      <c r="D24" s="1126"/>
      <c r="E24" s="1148">
        <v>0.5</v>
      </c>
      <c r="F24" s="1127"/>
      <c r="G24" s="1128"/>
      <c r="H24" s="1099"/>
      <c r="I24" s="1099"/>
    </row>
    <row r="25" spans="1:9" s="1583" customFormat="1" ht="19.5" customHeight="1">
      <c r="A25" s="3424"/>
      <c r="B25" s="3424"/>
      <c r="C25" s="1125" t="s">
        <v>1458</v>
      </c>
      <c r="D25" s="1126"/>
      <c r="E25" s="1148">
        <v>1.1000000000000001</v>
      </c>
      <c r="F25" s="1127"/>
      <c r="G25" s="1128"/>
      <c r="H25" s="1099"/>
      <c r="I25" s="1099"/>
    </row>
    <row r="26" spans="1:9" s="1583" customFormat="1" ht="19.5" customHeight="1">
      <c r="A26" s="3424"/>
      <c r="B26" s="3424"/>
      <c r="C26" s="1125" t="s">
        <v>1459</v>
      </c>
      <c r="D26" s="1126"/>
      <c r="E26" s="1148">
        <v>1.1000000000000001</v>
      </c>
      <c r="F26" s="1127"/>
      <c r="G26" s="1128"/>
      <c r="H26" s="1099"/>
      <c r="I26" s="1099"/>
    </row>
    <row r="27" spans="1:9" s="1583" customFormat="1" ht="19.5" customHeight="1">
      <c r="A27" s="3424"/>
      <c r="B27" s="3424"/>
      <c r="C27" s="1125" t="s">
        <v>1460</v>
      </c>
      <c r="D27" s="1126"/>
      <c r="E27" s="1148">
        <v>0.9</v>
      </c>
      <c r="F27" s="1127" t="s">
        <v>1461</v>
      </c>
      <c r="G27" s="1128"/>
      <c r="H27" s="1099"/>
      <c r="I27" s="1099"/>
    </row>
    <row r="28" spans="1:9" s="1583" customFormat="1" ht="19.5" customHeight="1">
      <c r="A28" s="3424"/>
      <c r="B28" s="3424"/>
      <c r="C28" s="1125" t="s">
        <v>1462</v>
      </c>
      <c r="D28" s="1126"/>
      <c r="E28" s="1148">
        <v>0.9</v>
      </c>
      <c r="F28" s="1127" t="s">
        <v>1463</v>
      </c>
      <c r="G28" s="1128"/>
      <c r="H28" s="1099"/>
      <c r="I28" s="1099"/>
    </row>
    <row r="29" spans="1:9" s="1583" customFormat="1" ht="19.5" customHeight="1">
      <c r="A29" s="3424"/>
      <c r="B29" s="3424"/>
      <c r="C29" s="1125" t="s">
        <v>1464</v>
      </c>
      <c r="D29" s="1126"/>
      <c r="E29" s="1148">
        <v>0.9</v>
      </c>
      <c r="F29" s="1127" t="s">
        <v>1465</v>
      </c>
      <c r="G29" s="1128"/>
      <c r="H29" s="1099"/>
      <c r="I29" s="1099"/>
    </row>
    <row r="30" spans="1:9" s="1583" customFormat="1" ht="19.5" customHeight="1">
      <c r="A30" s="3424"/>
      <c r="B30" s="3424"/>
      <c r="C30" s="1125" t="s">
        <v>1466</v>
      </c>
      <c r="D30" s="1126"/>
      <c r="E30" s="1148">
        <v>0.9</v>
      </c>
      <c r="F30" s="1127" t="s">
        <v>1467</v>
      </c>
      <c r="G30" s="1128"/>
      <c r="H30" s="1099"/>
      <c r="I30" s="1099"/>
    </row>
    <row r="31" spans="1:9" s="1583" customFormat="1" ht="19.5" customHeight="1">
      <c r="A31" s="3424"/>
      <c r="B31" s="3424"/>
      <c r="C31" s="1125" t="s">
        <v>1468</v>
      </c>
      <c r="D31" s="1126"/>
      <c r="E31" s="1148">
        <v>0.8</v>
      </c>
      <c r="F31" s="1127" t="s">
        <v>1469</v>
      </c>
      <c r="G31" s="1128"/>
      <c r="H31" s="1099"/>
      <c r="I31" s="1099"/>
    </row>
    <row r="32" spans="1:9" s="1583" customFormat="1" ht="19.5" customHeight="1">
      <c r="A32" s="3424"/>
      <c r="B32" s="3424"/>
      <c r="C32" s="1125" t="s">
        <v>1470</v>
      </c>
      <c r="D32" s="1126"/>
      <c r="E32" s="1148">
        <v>0.8</v>
      </c>
      <c r="F32" s="1127" t="s">
        <v>1471</v>
      </c>
      <c r="G32" s="1128"/>
      <c r="H32" s="1099"/>
      <c r="I32" s="1099"/>
    </row>
    <row r="33" spans="1:9" s="1583" customFormat="1" ht="19.5" customHeight="1">
      <c r="A33" s="3424" t="s">
        <v>1472</v>
      </c>
      <c r="B33" s="1148" t="s">
        <v>1444</v>
      </c>
      <c r="C33" s="1125" t="s">
        <v>1473</v>
      </c>
      <c r="D33" s="1126"/>
      <c r="E33" s="1148">
        <v>1</v>
      </c>
      <c r="F33" s="1127" t="s">
        <v>1474</v>
      </c>
      <c r="G33" s="1128"/>
      <c r="H33" s="1099"/>
      <c r="I33" s="1099"/>
    </row>
    <row r="34" spans="1:9" s="1583" customFormat="1" ht="19.5" customHeight="1">
      <c r="A34" s="3424"/>
      <c r="B34" s="1148" t="s">
        <v>1447</v>
      </c>
      <c r="C34" s="1125" t="s">
        <v>1475</v>
      </c>
      <c r="D34" s="1126"/>
      <c r="E34" s="1148">
        <v>1.5</v>
      </c>
      <c r="F34" s="1127" t="s">
        <v>1476</v>
      </c>
      <c r="G34" s="1128"/>
      <c r="H34" s="1099"/>
      <c r="I34" s="1099"/>
    </row>
    <row r="35" spans="1:9" s="1583" customFormat="1" ht="19.5" customHeight="1">
      <c r="A35" s="3424" t="s">
        <v>1430</v>
      </c>
      <c r="B35" s="1148" t="s">
        <v>1444</v>
      </c>
      <c r="C35" s="1125" t="s">
        <v>1477</v>
      </c>
      <c r="D35" s="1126"/>
      <c r="E35" s="1148">
        <v>1</v>
      </c>
      <c r="F35" s="1127" t="s">
        <v>1478</v>
      </c>
      <c r="G35" s="1128"/>
      <c r="H35" s="1099"/>
      <c r="I35" s="1099"/>
    </row>
    <row r="36" spans="1:9" s="1583" customFormat="1" ht="19.5" customHeight="1">
      <c r="A36" s="3424"/>
      <c r="B36" s="3424" t="s">
        <v>1447</v>
      </c>
      <c r="C36" s="1125" t="s">
        <v>1479</v>
      </c>
      <c r="D36" s="1126"/>
      <c r="E36" s="1148">
        <v>1</v>
      </c>
      <c r="F36" s="1127" t="s">
        <v>1480</v>
      </c>
      <c r="G36" s="1128"/>
      <c r="H36" s="1099"/>
      <c r="I36" s="1099"/>
    </row>
    <row r="37" spans="1:9" s="1583" customFormat="1" ht="19.5" customHeight="1">
      <c r="A37" s="3424"/>
      <c r="B37" s="3424"/>
      <c r="C37" s="1125" t="s">
        <v>1481</v>
      </c>
      <c r="D37" s="1126"/>
      <c r="E37" s="1148">
        <v>1.5</v>
      </c>
      <c r="F37" s="1127" t="s">
        <v>1482</v>
      </c>
      <c r="G37" s="1128"/>
      <c r="H37" s="1099"/>
      <c r="I37" s="1099"/>
    </row>
    <row r="38" spans="1:9" s="1583" customFormat="1" ht="19.5" customHeight="1">
      <c r="A38" s="3424"/>
      <c r="B38" s="3424"/>
      <c r="C38" s="1125" t="s">
        <v>1483</v>
      </c>
      <c r="D38" s="1126"/>
      <c r="E38" s="1148">
        <v>1</v>
      </c>
      <c r="F38" s="1127" t="s">
        <v>1484</v>
      </c>
      <c r="G38" s="1128"/>
      <c r="H38" s="1099"/>
      <c r="I38" s="1099"/>
    </row>
    <row r="39" spans="1:9" s="1583" customFormat="1" ht="19.5" customHeight="1">
      <c r="A39" s="3424"/>
      <c r="B39" s="3424"/>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24" t="s">
        <v>1499</v>
      </c>
      <c r="C61" s="1062" t="s">
        <v>1500</v>
      </c>
      <c r="D61" s="1062" t="s">
        <v>1501</v>
      </c>
      <c r="E61" s="1133">
        <v>0.5</v>
      </c>
      <c r="F61" s="1148">
        <v>80</v>
      </c>
      <c r="H61" s="1099">
        <f>SUMIF(C59:C119,基准地价!C8,E59:E119)</f>
        <v>0</v>
      </c>
    </row>
    <row r="62" spans="1:8" s="1099" customFormat="1" ht="24">
      <c r="A62" s="1148">
        <v>2</v>
      </c>
      <c r="B62" s="3424"/>
      <c r="C62" s="1062" t="s">
        <v>1502</v>
      </c>
      <c r="D62" s="1062" t="s">
        <v>1503</v>
      </c>
      <c r="E62" s="1133">
        <v>0.5</v>
      </c>
      <c r="F62" s="1148">
        <v>80</v>
      </c>
    </row>
    <row r="63" spans="1:8" s="1099" customFormat="1" ht="36">
      <c r="A63" s="1148">
        <v>3</v>
      </c>
      <c r="B63" s="3424"/>
      <c r="C63" s="1062" t="s">
        <v>1504</v>
      </c>
      <c r="D63" s="1062" t="s">
        <v>1505</v>
      </c>
      <c r="E63" s="1133">
        <v>0.5</v>
      </c>
      <c r="F63" s="1148">
        <v>80</v>
      </c>
    </row>
    <row r="64" spans="1:8" s="1099" customFormat="1" ht="36">
      <c r="A64" s="1148">
        <v>4</v>
      </c>
      <c r="B64" s="3424"/>
      <c r="C64" s="1062" t="s">
        <v>1506</v>
      </c>
      <c r="D64" s="1062" t="s">
        <v>1507</v>
      </c>
      <c r="E64" s="1133">
        <v>0.4</v>
      </c>
      <c r="F64" s="1148">
        <v>60</v>
      </c>
    </row>
    <row r="65" spans="1:6" s="1099" customFormat="1" ht="36">
      <c r="A65" s="1148">
        <v>5</v>
      </c>
      <c r="B65" s="3424"/>
      <c r="C65" s="1062" t="s">
        <v>1508</v>
      </c>
      <c r="D65" s="1062" t="s">
        <v>1509</v>
      </c>
      <c r="E65" s="1133">
        <v>0.2</v>
      </c>
      <c r="F65" s="1148">
        <v>30</v>
      </c>
    </row>
    <row r="66" spans="1:6" s="1099" customFormat="1" ht="36">
      <c r="A66" s="1148">
        <v>6</v>
      </c>
      <c r="B66" s="3424"/>
      <c r="C66" s="1062" t="s">
        <v>1510</v>
      </c>
      <c r="D66" s="1062" t="s">
        <v>1511</v>
      </c>
      <c r="E66" s="1133">
        <v>0.3</v>
      </c>
      <c r="F66" s="1148">
        <v>50</v>
      </c>
    </row>
    <row r="67" spans="1:6" s="1099" customFormat="1" ht="36">
      <c r="A67" s="1148">
        <v>7</v>
      </c>
      <c r="B67" s="3424"/>
      <c r="C67" s="1062" t="s">
        <v>1512</v>
      </c>
      <c r="D67" s="1062" t="s">
        <v>1513</v>
      </c>
      <c r="E67" s="1133">
        <v>0.2</v>
      </c>
      <c r="F67" s="1148">
        <v>30</v>
      </c>
    </row>
    <row r="68" spans="1:6" s="1099" customFormat="1" ht="36">
      <c r="A68" s="1148">
        <v>8</v>
      </c>
      <c r="B68" s="3424"/>
      <c r="C68" s="1062" t="s">
        <v>1514</v>
      </c>
      <c r="D68" s="1062" t="s">
        <v>1515</v>
      </c>
      <c r="E68" s="1133">
        <v>0.2</v>
      </c>
      <c r="F68" s="1148">
        <v>30</v>
      </c>
    </row>
    <row r="69" spans="1:6" s="1099" customFormat="1" ht="36">
      <c r="A69" s="1148">
        <v>9</v>
      </c>
      <c r="B69" s="3424"/>
      <c r="C69" s="1062" t="s">
        <v>1516</v>
      </c>
      <c r="D69" s="1062" t="s">
        <v>1517</v>
      </c>
      <c r="E69" s="1133">
        <v>0.2</v>
      </c>
      <c r="F69" s="1148">
        <v>30</v>
      </c>
    </row>
    <row r="70" spans="1:6" s="1099" customFormat="1" ht="48">
      <c r="A70" s="1148">
        <v>10</v>
      </c>
      <c r="B70" s="3424"/>
      <c r="C70" s="1062" t="s">
        <v>1518</v>
      </c>
      <c r="D70" s="1062" t="s">
        <v>1519</v>
      </c>
      <c r="E70" s="1133">
        <v>0.2</v>
      </c>
      <c r="F70" s="1148">
        <v>30</v>
      </c>
    </row>
    <row r="71" spans="1:6" s="1099" customFormat="1" ht="48">
      <c r="A71" s="1148">
        <v>11</v>
      </c>
      <c r="B71" s="3424"/>
      <c r="C71" s="1062" t="s">
        <v>1520</v>
      </c>
      <c r="D71" s="1062" t="s">
        <v>1521</v>
      </c>
      <c r="E71" s="1133">
        <v>0.2</v>
      </c>
      <c r="F71" s="1148">
        <v>30</v>
      </c>
    </row>
    <row r="72" spans="1:6" s="1099" customFormat="1" ht="36">
      <c r="A72" s="1148">
        <v>12</v>
      </c>
      <c r="B72" s="3424"/>
      <c r="C72" s="1062" t="s">
        <v>1522</v>
      </c>
      <c r="D72" s="1062" t="s">
        <v>1523</v>
      </c>
      <c r="E72" s="1133">
        <v>0.5</v>
      </c>
      <c r="F72" s="1148">
        <v>80</v>
      </c>
    </row>
    <row r="73" spans="1:6" s="1099" customFormat="1" ht="24">
      <c r="A73" s="1148">
        <v>13</v>
      </c>
      <c r="B73" s="3424"/>
      <c r="C73" s="1062" t="s">
        <v>1524</v>
      </c>
      <c r="D73" s="1062" t="s">
        <v>1525</v>
      </c>
      <c r="E73" s="1133">
        <v>0.4</v>
      </c>
      <c r="F73" s="1148">
        <v>60</v>
      </c>
    </row>
    <row r="74" spans="1:6" s="1099" customFormat="1" ht="24">
      <c r="A74" s="1148">
        <v>14</v>
      </c>
      <c r="B74" s="3424"/>
      <c r="C74" s="1062" t="s">
        <v>1526</v>
      </c>
      <c r="D74" s="1062" t="s">
        <v>1527</v>
      </c>
      <c r="E74" s="1133">
        <v>0.2</v>
      </c>
      <c r="F74" s="1148">
        <v>30</v>
      </c>
    </row>
    <row r="75" spans="1:6" s="1099" customFormat="1" ht="24">
      <c r="A75" s="1148">
        <v>15</v>
      </c>
      <c r="B75" s="3424"/>
      <c r="C75" s="1062" t="s">
        <v>1528</v>
      </c>
      <c r="D75" s="1062" t="s">
        <v>1529</v>
      </c>
      <c r="E75" s="1133">
        <v>0.2</v>
      </c>
      <c r="F75" s="1148">
        <v>30</v>
      </c>
    </row>
    <row r="76" spans="1:6" s="1099" customFormat="1" ht="24">
      <c r="A76" s="1148">
        <v>16</v>
      </c>
      <c r="B76" s="3424" t="s">
        <v>1530</v>
      </c>
      <c r="C76" s="1062" t="s">
        <v>1531</v>
      </c>
      <c r="D76" s="1062" t="s">
        <v>1532</v>
      </c>
      <c r="E76" s="1133">
        <v>0.5</v>
      </c>
      <c r="F76" s="1148">
        <v>80</v>
      </c>
    </row>
    <row r="77" spans="1:6" s="1099" customFormat="1" ht="24">
      <c r="A77" s="1148">
        <v>17</v>
      </c>
      <c r="B77" s="3424"/>
      <c r="C77" s="1062" t="s">
        <v>1533</v>
      </c>
      <c r="D77" s="1062" t="s">
        <v>1534</v>
      </c>
      <c r="E77" s="1133">
        <v>0.5</v>
      </c>
      <c r="F77" s="1148">
        <v>80</v>
      </c>
    </row>
    <row r="78" spans="1:6" s="1099" customFormat="1" ht="24">
      <c r="A78" s="1148">
        <v>18</v>
      </c>
      <c r="B78" s="3424"/>
      <c r="C78" s="1062" t="s">
        <v>1535</v>
      </c>
      <c r="D78" s="1062" t="s">
        <v>1536</v>
      </c>
      <c r="E78" s="1133">
        <v>0.2</v>
      </c>
      <c r="F78" s="1148">
        <v>30</v>
      </c>
    </row>
    <row r="79" spans="1:6" s="1099" customFormat="1" ht="24">
      <c r="A79" s="1148">
        <v>19</v>
      </c>
      <c r="B79" s="3424"/>
      <c r="C79" s="1062" t="s">
        <v>1537</v>
      </c>
      <c r="D79" s="1062" t="s">
        <v>1538</v>
      </c>
      <c r="E79" s="1133">
        <v>0.5</v>
      </c>
      <c r="F79" s="1148">
        <v>80</v>
      </c>
    </row>
    <row r="80" spans="1:6" s="1099" customFormat="1" ht="36">
      <c r="A80" s="1148">
        <v>20</v>
      </c>
      <c r="B80" s="3424"/>
      <c r="C80" s="1062" t="s">
        <v>1539</v>
      </c>
      <c r="D80" s="1062" t="s">
        <v>1540</v>
      </c>
      <c r="E80" s="1133">
        <v>0.2</v>
      </c>
      <c r="F80" s="1148">
        <v>30</v>
      </c>
    </row>
    <row r="81" spans="1:6" s="1099" customFormat="1" ht="36">
      <c r="A81" s="1148">
        <v>21</v>
      </c>
      <c r="B81" s="3424"/>
      <c r="C81" s="1062" t="s">
        <v>1541</v>
      </c>
      <c r="D81" s="1062" t="s">
        <v>1542</v>
      </c>
      <c r="E81" s="1133">
        <v>0.2</v>
      </c>
      <c r="F81" s="1148">
        <v>30</v>
      </c>
    </row>
    <row r="82" spans="1:6" s="1099" customFormat="1" ht="48">
      <c r="A82" s="1148">
        <v>22</v>
      </c>
      <c r="B82" s="3424"/>
      <c r="C82" s="1062" t="s">
        <v>1543</v>
      </c>
      <c r="D82" s="1062" t="s">
        <v>1544</v>
      </c>
      <c r="E82" s="1133">
        <v>0.2</v>
      </c>
      <c r="F82" s="1148">
        <v>30</v>
      </c>
    </row>
    <row r="83" spans="1:6" s="1099" customFormat="1" ht="48">
      <c r="A83" s="1148">
        <v>23</v>
      </c>
      <c r="B83" s="3424"/>
      <c r="C83" s="1062" t="s">
        <v>1545</v>
      </c>
      <c r="D83" s="1062" t="s">
        <v>1546</v>
      </c>
      <c r="E83" s="1133">
        <v>0.2</v>
      </c>
      <c r="F83" s="1148">
        <v>30</v>
      </c>
    </row>
    <row r="84" spans="1:6" s="1099" customFormat="1" ht="36">
      <c r="A84" s="1148">
        <v>24</v>
      </c>
      <c r="B84" s="3424"/>
      <c r="C84" s="1062" t="s">
        <v>1547</v>
      </c>
      <c r="D84" s="1062" t="s">
        <v>1548</v>
      </c>
      <c r="E84" s="1133">
        <v>0.2</v>
      </c>
      <c r="F84" s="1148">
        <v>30</v>
      </c>
    </row>
    <row r="85" spans="1:6" s="1099" customFormat="1" ht="36">
      <c r="A85" s="1148">
        <v>25</v>
      </c>
      <c r="B85" s="3424"/>
      <c r="C85" s="1062" t="s">
        <v>1549</v>
      </c>
      <c r="D85" s="1062" t="s">
        <v>1550</v>
      </c>
      <c r="E85" s="1133">
        <v>0.5</v>
      </c>
      <c r="F85" s="1148">
        <v>80</v>
      </c>
    </row>
    <row r="86" spans="1:6" s="1099" customFormat="1" ht="36">
      <c r="A86" s="1148">
        <v>26</v>
      </c>
      <c r="B86" s="3424"/>
      <c r="C86" s="1062" t="s">
        <v>1551</v>
      </c>
      <c r="D86" s="1062" t="s">
        <v>1552</v>
      </c>
      <c r="E86" s="1133">
        <v>0.2</v>
      </c>
      <c r="F86" s="1148">
        <v>30</v>
      </c>
    </row>
    <row r="87" spans="1:6" s="1099" customFormat="1" ht="36">
      <c r="A87" s="1148">
        <v>27</v>
      </c>
      <c r="B87" s="3424"/>
      <c r="C87" s="1062" t="s">
        <v>1553</v>
      </c>
      <c r="D87" s="1062" t="s">
        <v>1554</v>
      </c>
      <c r="E87" s="1133">
        <v>0.2</v>
      </c>
      <c r="F87" s="1148">
        <v>30</v>
      </c>
    </row>
    <row r="88" spans="1:6" s="1099" customFormat="1" ht="36">
      <c r="A88" s="1148">
        <v>28</v>
      </c>
      <c r="B88" s="3424"/>
      <c r="C88" s="1062" t="s">
        <v>1555</v>
      </c>
      <c r="D88" s="1062" t="s">
        <v>1556</v>
      </c>
      <c r="E88" s="1133">
        <v>0.2</v>
      </c>
      <c r="F88" s="1148">
        <v>30</v>
      </c>
    </row>
    <row r="89" spans="1:6" s="1099" customFormat="1" ht="24">
      <c r="A89" s="1148">
        <v>29</v>
      </c>
      <c r="B89" s="3424"/>
      <c r="C89" s="1062" t="s">
        <v>1557</v>
      </c>
      <c r="D89" s="1062" t="s">
        <v>1558</v>
      </c>
      <c r="E89" s="1133">
        <v>0.2</v>
      </c>
      <c r="F89" s="1148">
        <v>30</v>
      </c>
    </row>
    <row r="90" spans="1:6" s="1099" customFormat="1" ht="24">
      <c r="A90" s="1148">
        <v>30</v>
      </c>
      <c r="B90" s="3424"/>
      <c r="C90" s="1062" t="s">
        <v>1559</v>
      </c>
      <c r="D90" s="1062" t="s">
        <v>1560</v>
      </c>
      <c r="E90" s="1133">
        <v>0.2</v>
      </c>
      <c r="F90" s="1148">
        <v>30</v>
      </c>
    </row>
    <row r="91" spans="1:6" s="1099" customFormat="1" ht="36">
      <c r="A91" s="1148">
        <v>31</v>
      </c>
      <c r="B91" s="3424"/>
      <c r="C91" s="1062" t="s">
        <v>1561</v>
      </c>
      <c r="D91" s="1062" t="s">
        <v>1562</v>
      </c>
      <c r="E91" s="1133">
        <v>0.2</v>
      </c>
      <c r="F91" s="1148">
        <v>30</v>
      </c>
    </row>
    <row r="92" spans="1:6" s="1099" customFormat="1" ht="24">
      <c r="A92" s="1148">
        <v>32</v>
      </c>
      <c r="B92" s="3424" t="s">
        <v>1563</v>
      </c>
      <c r="C92" s="1148" t="s">
        <v>1564</v>
      </c>
      <c r="D92" s="1062" t="s">
        <v>1565</v>
      </c>
      <c r="E92" s="1133">
        <v>0.2</v>
      </c>
      <c r="F92" s="1148">
        <v>30</v>
      </c>
    </row>
    <row r="93" spans="1:6" s="1099" customFormat="1" ht="36">
      <c r="A93" s="1148">
        <v>33</v>
      </c>
      <c r="B93" s="3424"/>
      <c r="C93" s="1148" t="s">
        <v>1566</v>
      </c>
      <c r="D93" s="1062" t="s">
        <v>1567</v>
      </c>
      <c r="E93" s="1133">
        <v>0.2</v>
      </c>
      <c r="F93" s="1148">
        <v>30</v>
      </c>
    </row>
    <row r="94" spans="1:6" s="1099" customFormat="1" ht="48">
      <c r="A94" s="1148">
        <v>34</v>
      </c>
      <c r="B94" s="3424"/>
      <c r="C94" s="1148" t="s">
        <v>1568</v>
      </c>
      <c r="D94" s="1062" t="s">
        <v>1569</v>
      </c>
      <c r="E94" s="1133">
        <v>0.2</v>
      </c>
      <c r="F94" s="1148">
        <v>30</v>
      </c>
    </row>
    <row r="95" spans="1:6" s="1099" customFormat="1" ht="36">
      <c r="A95" s="1148">
        <v>35</v>
      </c>
      <c r="B95" s="3424"/>
      <c r="C95" s="1148" t="s">
        <v>1570</v>
      </c>
      <c r="D95" s="1062" t="s">
        <v>1571</v>
      </c>
      <c r="E95" s="1133">
        <v>0.2</v>
      </c>
      <c r="F95" s="1148">
        <v>30</v>
      </c>
    </row>
    <row r="96" spans="1:6" s="1099" customFormat="1" ht="48">
      <c r="A96" s="1148">
        <v>36</v>
      </c>
      <c r="B96" s="3424"/>
      <c r="C96" s="1062" t="s">
        <v>1572</v>
      </c>
      <c r="D96" s="1062" t="s">
        <v>1573</v>
      </c>
      <c r="E96" s="1133">
        <v>0.2</v>
      </c>
      <c r="F96" s="1148">
        <v>30</v>
      </c>
    </row>
    <row r="97" spans="1:6" s="1099" customFormat="1" ht="36">
      <c r="A97" s="1148">
        <v>37</v>
      </c>
      <c r="B97" s="3424"/>
      <c r="C97" s="1148" t="s">
        <v>1574</v>
      </c>
      <c r="D97" s="1062" t="s">
        <v>1575</v>
      </c>
      <c r="E97" s="1133">
        <v>0.2</v>
      </c>
      <c r="F97" s="1148">
        <v>30</v>
      </c>
    </row>
    <row r="98" spans="1:6" s="1099" customFormat="1" ht="36">
      <c r="A98" s="1148">
        <v>38</v>
      </c>
      <c r="B98" s="3424"/>
      <c r="C98" s="1148" t="s">
        <v>1576</v>
      </c>
      <c r="D98" s="1062" t="s">
        <v>1577</v>
      </c>
      <c r="E98" s="1133">
        <v>0.2</v>
      </c>
      <c r="F98" s="1148">
        <v>30</v>
      </c>
    </row>
    <row r="99" spans="1:6" s="1099" customFormat="1" ht="36">
      <c r="A99" s="1148">
        <v>39</v>
      </c>
      <c r="B99" s="3424" t="s">
        <v>1578</v>
      </c>
      <c r="C99" s="1148" t="s">
        <v>1579</v>
      </c>
      <c r="D99" s="1062" t="s">
        <v>1580</v>
      </c>
      <c r="E99" s="1133">
        <v>0.3</v>
      </c>
      <c r="F99" s="1148">
        <v>50</v>
      </c>
    </row>
    <row r="100" spans="1:6" s="1099" customFormat="1" ht="24">
      <c r="A100" s="1148">
        <v>40</v>
      </c>
      <c r="B100" s="3424"/>
      <c r="C100" s="1148" t="s">
        <v>1581</v>
      </c>
      <c r="D100" s="1062" t="s">
        <v>1582</v>
      </c>
      <c r="E100" s="1133">
        <v>0.2</v>
      </c>
      <c r="F100" s="1148">
        <v>30</v>
      </c>
    </row>
    <row r="101" spans="1:6" s="1099" customFormat="1" ht="36">
      <c r="A101" s="1148">
        <v>41</v>
      </c>
      <c r="B101" s="3424"/>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24" t="s">
        <v>1593</v>
      </c>
      <c r="C105" s="1148" t="s">
        <v>1594</v>
      </c>
      <c r="D105" s="1062" t="s">
        <v>1595</v>
      </c>
      <c r="E105" s="1133">
        <v>0.2</v>
      </c>
      <c r="F105" s="1148">
        <v>30</v>
      </c>
    </row>
    <row r="106" spans="1:6" s="1099" customFormat="1" ht="36">
      <c r="A106" s="1148">
        <v>46</v>
      </c>
      <c r="B106" s="3424"/>
      <c r="C106" s="1148" t="s">
        <v>1596</v>
      </c>
      <c r="D106" s="1062" t="s">
        <v>1597</v>
      </c>
      <c r="E106" s="1133">
        <v>0.2</v>
      </c>
      <c r="F106" s="1148">
        <v>30</v>
      </c>
    </row>
    <row r="107" spans="1:6" s="1099" customFormat="1" ht="36">
      <c r="A107" s="1148">
        <v>47</v>
      </c>
      <c r="B107" s="3424" t="s">
        <v>1598</v>
      </c>
      <c r="C107" s="1148" t="s">
        <v>1599</v>
      </c>
      <c r="D107" s="1062" t="s">
        <v>1600</v>
      </c>
      <c r="E107" s="1133">
        <v>0.3</v>
      </c>
      <c r="F107" s="1148">
        <v>50</v>
      </c>
    </row>
    <row r="108" spans="1:6" s="1099" customFormat="1" ht="36">
      <c r="A108" s="1148">
        <v>48</v>
      </c>
      <c r="B108" s="3424"/>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24" t="s">
        <v>1609</v>
      </c>
      <c r="C111" s="1148" t="s">
        <v>1610</v>
      </c>
      <c r="D111" s="1062" t="s">
        <v>1611</v>
      </c>
      <c r="E111" s="1133">
        <v>0.2</v>
      </c>
      <c r="F111" s="1148">
        <v>30</v>
      </c>
    </row>
    <row r="112" spans="1:6" s="1099" customFormat="1" ht="24">
      <c r="A112" s="1148">
        <v>52</v>
      </c>
      <c r="B112" s="3424"/>
      <c r="C112" s="1148" t="s">
        <v>1612</v>
      </c>
      <c r="D112" s="1062" t="s">
        <v>1613</v>
      </c>
      <c r="E112" s="1133">
        <v>0.2</v>
      </c>
      <c r="F112" s="1148">
        <v>30</v>
      </c>
    </row>
    <row r="113" spans="1:14" s="1099" customFormat="1" ht="24">
      <c r="A113" s="1148">
        <v>53</v>
      </c>
      <c r="B113" s="3424"/>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24" t="s">
        <v>1622</v>
      </c>
      <c r="C116" s="1148" t="s">
        <v>1623</v>
      </c>
      <c r="D116" s="1062" t="s">
        <v>1624</v>
      </c>
      <c r="E116" s="1133">
        <v>0.2</v>
      </c>
      <c r="F116" s="1148">
        <v>30</v>
      </c>
    </row>
    <row r="117" spans="1:14" ht="36">
      <c r="A117" s="1148">
        <v>57</v>
      </c>
      <c r="B117" s="3424"/>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23" t="s">
        <v>1631</v>
      </c>
      <c r="B121" s="3423"/>
      <c r="C121" s="3423"/>
      <c r="D121" s="3423"/>
      <c r="E121" s="3423"/>
      <c r="F121" s="3423"/>
      <c r="G121" s="3423"/>
      <c r="H121" s="3423"/>
      <c r="I121" s="3423"/>
      <c r="J121" s="342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8" t="s">
        <v>1037</v>
      </c>
      <c r="B1" s="3498"/>
      <c r="C1" s="3498"/>
      <c r="D1" s="3498"/>
      <c r="E1" s="3498"/>
      <c r="F1" s="3498"/>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9" t="s">
        <v>1050</v>
      </c>
      <c r="B2" s="3499"/>
      <c r="C2" s="3499"/>
      <c r="D2" s="3499"/>
      <c r="E2" s="3499"/>
      <c r="F2" s="3499"/>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500"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501"/>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980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1.2383999999999999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11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02" t="s">
        <v>2075</v>
      </c>
      <c r="B1" s="3502"/>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6669</v>
      </c>
      <c r="C2" s="3051" t="s">
        <v>2938</v>
      </c>
      <c r="D2" s="3050"/>
      <c r="E2" s="3050"/>
      <c r="F2" s="3050"/>
    </row>
    <row r="3" spans="1:6" ht="14.25">
      <c r="A3" s="3051" t="s">
        <v>2970</v>
      </c>
      <c r="B3" s="3052">
        <f ca="1">ROUND(B2*10000/E3,0)</f>
        <v>1046</v>
      </c>
      <c r="C3" s="3051" t="s">
        <v>2074</v>
      </c>
      <c r="D3" s="3051" t="s">
        <v>2939</v>
      </c>
      <c r="E3" s="3052">
        <f ca="1">SUMIF(E7:E14,"&lt;&gt;#ref!",E7:E14)</f>
        <v>63755.58</v>
      </c>
      <c r="F3" s="3050"/>
    </row>
    <row r="4" spans="1:6" ht="14.25">
      <c r="A4" s="3051" t="s">
        <v>2946</v>
      </c>
      <c r="B4" s="3052">
        <f ca="1">ROUND(B2*10000/E4,0)</f>
        <v>1046</v>
      </c>
      <c r="C4" s="3051" t="s">
        <v>2074</v>
      </c>
      <c r="D4" s="3051" t="s">
        <v>2947</v>
      </c>
      <c r="E4" s="3052">
        <f ca="1">SUMIF(F7:F14,"&lt;&gt;#ref!",F7:F14)</f>
        <v>63755.58</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6669</v>
      </c>
      <c r="C7" s="3051" t="s">
        <v>2938</v>
      </c>
      <c r="D7" s="1865"/>
      <c r="E7" s="3056">
        <f ca="1">SUMIF(INDIRECT("'"&amp;A7&amp;"'"&amp;"!C:C"),"建筑面积",INDIRECT("'"&amp;A7&amp;"'"&amp;"!D:D"))</f>
        <v>63755.58</v>
      </c>
      <c r="F7" s="3056">
        <f ca="1">SUMIF(INDIRECT("'"&amp;A7&amp;"'"&amp;"!E:E"),"土地面积",INDIRECT("'"&amp;A7&amp;"'"&amp;"!F:F"))</f>
        <v>63755.58</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24.37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28502</v>
      </c>
      <c r="C2" s="2041"/>
      <c r="D2" s="2039"/>
      <c r="E2" s="2040"/>
      <c r="F2" s="2040"/>
      <c r="G2" s="1575"/>
      <c r="H2" s="2041"/>
      <c r="I2" s="2041"/>
      <c r="J2" s="2041"/>
      <c r="K2" s="2042"/>
      <c r="L2" s="2041"/>
      <c r="M2" s="2041"/>
    </row>
    <row r="3" spans="1:33" ht="18" customHeight="1" thickBot="1">
      <c r="A3" s="832" t="s">
        <v>1725</v>
      </c>
      <c r="B3" s="833">
        <f ca="1">IF(ISERROR(B2*10000/F43),0,ROUND(B2*10000/F43,0))</f>
        <v>4471</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2097</v>
      </c>
      <c r="D5" s="2459" t="s">
        <v>2456</v>
      </c>
      <c r="E5" s="2453"/>
      <c r="F5" s="2454"/>
      <c r="G5" s="1577"/>
      <c r="H5" s="780">
        <v>1</v>
      </c>
      <c r="I5" s="781" t="s">
        <v>2453</v>
      </c>
      <c r="J5" s="55">
        <f ca="1">J6+J10+J12</f>
        <v>0</v>
      </c>
      <c r="K5" s="2459" t="s">
        <v>2456</v>
      </c>
      <c r="L5" s="2453"/>
      <c r="M5" s="2454"/>
    </row>
    <row r="6" spans="1:33" ht="18" customHeight="1">
      <c r="A6" s="1814" t="s">
        <v>1822</v>
      </c>
      <c r="B6" s="3505" t="s">
        <v>2458</v>
      </c>
      <c r="C6" s="782">
        <f ca="1">ROUND(F6*F8*F7*(1-F9)/10000,0)</f>
        <v>2094</v>
      </c>
      <c r="D6" s="2460" t="s">
        <v>2457</v>
      </c>
      <c r="E6" s="783" t="s">
        <v>1736</v>
      </c>
      <c r="F6" s="784">
        <f ca="1">INDIRECT("'数据-取费表'!u"&amp;$G$1)</f>
        <v>1</v>
      </c>
      <c r="G6" s="1577"/>
      <c r="H6" s="2467" t="s">
        <v>2463</v>
      </c>
      <c r="I6" s="3505" t="s">
        <v>2458</v>
      </c>
      <c r="J6" s="782">
        <f ca="1">ROUND(M6*M8*M7*(1-M9)/10000,0)</f>
        <v>0</v>
      </c>
      <c r="K6" s="341" t="s">
        <v>1735</v>
      </c>
      <c r="L6" s="783" t="s">
        <v>1736</v>
      </c>
      <c r="M6" s="784">
        <f ca="1">INDIRECT("'数据-取费表'!z"&amp;$G$1)</f>
        <v>0</v>
      </c>
    </row>
    <row r="7" spans="1:33" ht="18" customHeight="1">
      <c r="A7" s="2463"/>
      <c r="B7" s="3506"/>
      <c r="C7" s="787"/>
      <c r="D7" s="788"/>
      <c r="E7" s="783" t="s">
        <v>1737</v>
      </c>
      <c r="F7" s="784">
        <f ca="1">IF(INDIRECT("'数据-取费表'!ah"&amp;$G$1)="",INDIRECT("'数据-取费表'!k"&amp;$G$1),INDIRECT("'数据-取费表'!ah"&amp;$G$1))</f>
        <v>63755.58</v>
      </c>
      <c r="G7" s="1577"/>
      <c r="H7" s="2452"/>
      <c r="I7" s="3506"/>
      <c r="J7" s="787"/>
      <c r="K7" s="788"/>
      <c r="L7" s="783" t="s">
        <v>1737</v>
      </c>
      <c r="M7" s="784">
        <f ca="1">F7</f>
        <v>63755.58</v>
      </c>
    </row>
    <row r="8" spans="1:33" ht="18" customHeight="1">
      <c r="A8" s="2456"/>
      <c r="B8" s="3507"/>
      <c r="C8" s="787"/>
      <c r="D8" s="788"/>
      <c r="E8" s="783" t="s">
        <v>1738</v>
      </c>
      <c r="F8" s="784">
        <f ca="1">INDIRECT("'数据-取费表'!ai"&amp;$G$1)</f>
        <v>365</v>
      </c>
      <c r="G8" s="1577"/>
      <c r="H8" s="2452"/>
      <c r="I8" s="3507"/>
      <c r="J8" s="787"/>
      <c r="K8" s="788"/>
      <c r="L8" s="783" t="s">
        <v>1738</v>
      </c>
      <c r="M8" s="784">
        <f ca="1">INDIRECT("'数据-取费表'!ai"&amp;$G$1)</f>
        <v>365</v>
      </c>
    </row>
    <row r="9" spans="1:33" ht="18" customHeight="1">
      <c r="A9" s="785"/>
      <c r="B9" s="3508"/>
      <c r="C9" s="787"/>
      <c r="D9" s="788"/>
      <c r="E9" s="783" t="s">
        <v>1739</v>
      </c>
      <c r="F9" s="793">
        <f ca="1">INDIRECT("'数据-取费表'!w"&amp;$G$1)</f>
        <v>0.1</v>
      </c>
      <c r="G9" s="1577"/>
      <c r="H9" s="2468"/>
      <c r="I9" s="3507"/>
      <c r="J9" s="787"/>
      <c r="K9" s="788"/>
      <c r="L9" s="794" t="s">
        <v>1739</v>
      </c>
      <c r="M9" s="795">
        <f ca="1">INDIRECT("'数据-取费表'!ab"&amp;$G$1)</f>
        <v>0</v>
      </c>
    </row>
    <row r="10" spans="1:33" ht="18" customHeight="1">
      <c r="A10" s="1814" t="s">
        <v>2461</v>
      </c>
      <c r="B10" s="2457" t="s">
        <v>2454</v>
      </c>
      <c r="C10" s="798">
        <f ca="1">ROUND(IF(F10="押一",C6/12*F11,IF(F10="押二",C6/12*2*F11,IF(F10="押三",C6/12*3*F11,C11*F11))),0)</f>
        <v>3</v>
      </c>
      <c r="D10" s="2464" t="s">
        <v>2967</v>
      </c>
      <c r="E10" s="2461" t="s">
        <v>2459</v>
      </c>
      <c r="F10" s="2584" t="s">
        <v>3171</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13957</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9563</v>
      </c>
      <c r="D14" s="1963" t="s">
        <v>1743</v>
      </c>
      <c r="E14" s="1964"/>
      <c r="F14" s="804"/>
      <c r="G14" s="1577"/>
      <c r="H14" s="1633" t="s">
        <v>1828</v>
      </c>
      <c r="I14" s="2215" t="s">
        <v>2819</v>
      </c>
      <c r="J14" s="53">
        <f ca="1">C29</f>
        <v>13957</v>
      </c>
      <c r="K14" s="26"/>
      <c r="L14" s="800"/>
      <c r="M14" s="801"/>
    </row>
    <row r="15" spans="1:33" s="2048" customFormat="1" ht="18" customHeight="1" thickBot="1">
      <c r="A15" s="1632" t="s">
        <v>1883</v>
      </c>
      <c r="B15" s="783" t="s">
        <v>647</v>
      </c>
      <c r="C15" s="53">
        <f ca="1">ROUND(C14*F15,0)</f>
        <v>287</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406</v>
      </c>
      <c r="K16" s="1805" t="s">
        <v>1748</v>
      </c>
      <c r="L16" s="2449"/>
      <c r="M16" s="2454"/>
    </row>
    <row r="17" spans="1:33" s="2048" customFormat="1" ht="18" customHeight="1">
      <c r="A17" s="1632" t="s">
        <v>1885</v>
      </c>
      <c r="B17" s="783" t="s">
        <v>653</v>
      </c>
      <c r="C17" s="53">
        <f ca="1">ROUND(F17*(F43+INDIRECT("'数据-取费表'!S"&amp;$G$1))/10000,0)</f>
        <v>1275</v>
      </c>
      <c r="D17" s="783" t="s">
        <v>1749</v>
      </c>
      <c r="E17" s="783" t="s">
        <v>1750</v>
      </c>
      <c r="F17" s="56">
        <f>'数据-取费表'!B35</f>
        <v>200</v>
      </c>
      <c r="G17" s="1578"/>
      <c r="H17" s="1633" t="s">
        <v>1828</v>
      </c>
      <c r="I17" s="783" t="s">
        <v>656</v>
      </c>
      <c r="J17" s="53">
        <f ca="1">ROUND(IF(项目基本情况!B11="自然人",J6*M17/(1+'数据-取费表'!C42),J18+J19+J20),0)</f>
        <v>127</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143</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11268</v>
      </c>
      <c r="D19" s="261" t="s">
        <v>1755</v>
      </c>
      <c r="E19" s="1966"/>
      <c r="F19" s="56"/>
      <c r="G19" s="1577"/>
      <c r="H19" s="1632" t="s">
        <v>1883</v>
      </c>
      <c r="I19" s="783" t="s">
        <v>1756</v>
      </c>
      <c r="J19" s="53">
        <f ca="1">IF(K19="按租金收入计税",ROUND(J6*M19/(1+'数据-取费表'!C42),1),ROUND(C29*F33*0.7,1))</f>
        <v>117.2</v>
      </c>
      <c r="K19" s="810" t="s">
        <v>665</v>
      </c>
      <c r="L19" s="783" t="s">
        <v>1745</v>
      </c>
      <c r="M19" s="808">
        <f>IF(K19="按租金收入计税",'数据-取费表'!B51,'数据-取费表'!B50)</f>
        <v>1.2E-2</v>
      </c>
    </row>
    <row r="20" spans="1:33" s="2048" customFormat="1" ht="18" customHeight="1">
      <c r="A20" s="1633" t="s">
        <v>1887</v>
      </c>
      <c r="B20" s="783" t="s">
        <v>666</v>
      </c>
      <c r="C20" s="53">
        <f ca="1">ROUND(C19*F20,0)</f>
        <v>225</v>
      </c>
      <c r="D20" s="811" t="s">
        <v>1757</v>
      </c>
      <c r="E20" s="783" t="s">
        <v>1745</v>
      </c>
      <c r="F20" s="808">
        <f>'数据-取费表'!B37</f>
        <v>0.02</v>
      </c>
      <c r="G20" s="1578"/>
      <c r="H20" s="1635" t="s">
        <v>1878</v>
      </c>
      <c r="I20" s="341" t="s">
        <v>1758</v>
      </c>
      <c r="J20" s="54">
        <f ca="1">ROUND(M20*M21/10000,0)</f>
        <v>10</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63755.58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279</v>
      </c>
      <c r="K22" s="2447" t="s">
        <v>1767</v>
      </c>
      <c r="L22" s="783" t="s">
        <v>1745</v>
      </c>
      <c r="M22" s="816">
        <f ca="1">INDIRECT("'数据-取费表'!Ak"&amp;$G$1)</f>
        <v>0.02</v>
      </c>
    </row>
    <row r="23" spans="1:33" s="2048" customFormat="1" ht="18" customHeight="1">
      <c r="A23" s="1632" t="s">
        <v>1829</v>
      </c>
      <c r="B23" s="783" t="s">
        <v>2530</v>
      </c>
      <c r="C23" s="53">
        <f ca="1">ROUND(IF('数据-取费表'!B22&lt;=1,(C19+C20)*F24*F23/2,(C19+C20)*(POWER((1+F24),F23/2)-1)),0)</f>
        <v>270</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-406</v>
      </c>
      <c r="K25" s="2511" t="s">
        <v>1775</v>
      </c>
      <c r="L25" s="2512"/>
      <c r="M25" s="2513"/>
    </row>
    <row r="26" spans="1:33" ht="18" customHeight="1">
      <c r="A26" s="1632" t="s">
        <v>1829</v>
      </c>
      <c r="B26" s="783" t="s">
        <v>2433</v>
      </c>
      <c r="C26" s="53">
        <f ca="1">ROUND((C19+C20)*F26,0)</f>
        <v>1149</v>
      </c>
      <c r="D26" s="811" t="s">
        <v>1776</v>
      </c>
      <c r="E26" s="794" t="s">
        <v>1777</v>
      </c>
      <c r="F26" s="793">
        <f ca="1">INDIRECT("'数据-取费表'!q"&amp;$G$1)</f>
        <v>0.1</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2E-3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13957</v>
      </c>
      <c r="D29" s="2508"/>
      <c r="E29" s="2509"/>
      <c r="F29" s="2510"/>
      <c r="G29" s="1578"/>
      <c r="H29" s="822" t="s">
        <v>1785</v>
      </c>
      <c r="I29" s="823" t="s">
        <v>1786</v>
      </c>
      <c r="J29" s="824">
        <f ca="1">ROUND(J26/(1+F40)^F41,0)</f>
        <v>0</v>
      </c>
      <c r="K29" s="825" t="s">
        <v>1787</v>
      </c>
      <c r="L29" s="826"/>
      <c r="M29" s="827">
        <f ca="1">INDIRECT("'数据-取费表'!k"&amp;$G$1)</f>
        <v>63755.58</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585</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236.5</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109.7</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117.2</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9.6</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63755.58</v>
      </c>
      <c r="G35" s="2046"/>
      <c r="H35" s="2049"/>
      <c r="I35" s="836" t="s">
        <v>1812</v>
      </c>
      <c r="J35" s="837">
        <f ca="1">ROUND(C13*J36,0)</f>
        <v>1117</v>
      </c>
      <c r="K35" s="2062"/>
      <c r="L35" s="2061"/>
      <c r="M35" s="2061"/>
    </row>
    <row r="36" spans="1:18" ht="18" customHeight="1">
      <c r="A36" s="1633" t="s">
        <v>1887</v>
      </c>
      <c r="B36" s="783" t="s">
        <v>1800</v>
      </c>
      <c r="C36" s="53">
        <f ca="1">ROUND(C29*F36,1)</f>
        <v>279.10000000000002</v>
      </c>
      <c r="D36" s="1961" t="s">
        <v>1801</v>
      </c>
      <c r="E36" s="783" t="s">
        <v>1794</v>
      </c>
      <c r="F36" s="816">
        <f ca="1">INDIRECT("'数据-取费表'!Ak"&amp;$G$1)</f>
        <v>0.02</v>
      </c>
      <c r="G36" s="2046"/>
      <c r="H36" s="2061"/>
      <c r="I36" s="838" t="s">
        <v>1813</v>
      </c>
      <c r="J36" s="839">
        <f ca="1">INDIRECT("'数据-取费表'!j"&amp;$G$1)</f>
        <v>0.08</v>
      </c>
      <c r="K36" s="2066"/>
      <c r="L36" s="2061"/>
      <c r="M36" s="2061"/>
    </row>
    <row r="37" spans="1:18" ht="18" customHeight="1">
      <c r="A37" s="1633" t="s">
        <v>1888</v>
      </c>
      <c r="B37" s="783" t="s">
        <v>679</v>
      </c>
      <c r="C37" s="53">
        <f ca="1">ROUND(C13*F37,1)</f>
        <v>27.9</v>
      </c>
      <c r="D37" s="1961" t="s">
        <v>1802</v>
      </c>
      <c r="E37" s="783" t="s">
        <v>1794</v>
      </c>
      <c r="F37" s="817">
        <f ca="1">INDIRECT("'数据-取费表'!Al"&amp;$G$1)</f>
        <v>2E-3</v>
      </c>
      <c r="G37" s="2046"/>
      <c r="H37" s="2061"/>
      <c r="I37" s="840" t="s">
        <v>1814</v>
      </c>
      <c r="J37" s="841"/>
      <c r="K37" s="2066"/>
      <c r="L37" s="2061"/>
      <c r="M37" s="2061"/>
    </row>
    <row r="38" spans="1:18" ht="18" customHeight="1" thickBot="1">
      <c r="A38" s="2514" t="s">
        <v>1889</v>
      </c>
      <c r="B38" s="2509" t="s">
        <v>666</v>
      </c>
      <c r="C38" s="2507">
        <f ca="1">ROUND(C5*F38,1)</f>
        <v>41.9</v>
      </c>
      <c r="D38" s="2508" t="s">
        <v>1803</v>
      </c>
      <c r="E38" s="2509" t="s">
        <v>1794</v>
      </c>
      <c r="F38" s="2505">
        <f ca="1">INDIRECT("'数据-取费表'!Am"&amp;$G$1)</f>
        <v>0.02</v>
      </c>
      <c r="G38" s="2046"/>
      <c r="H38" s="2061"/>
      <c r="I38" s="842" t="s">
        <v>1815</v>
      </c>
      <c r="J38" s="843"/>
      <c r="K38" s="2067"/>
      <c r="L38" s="2061"/>
      <c r="M38" s="2061"/>
    </row>
    <row r="39" spans="1:18" ht="24.6" customHeight="1" thickTop="1">
      <c r="A39" s="1813" t="s">
        <v>1892</v>
      </c>
      <c r="B39" s="2961" t="s">
        <v>2815</v>
      </c>
      <c r="C39" s="791">
        <f ca="1">C5-C30</f>
        <v>1512</v>
      </c>
      <c r="D39" s="2511" t="s">
        <v>1804</v>
      </c>
      <c r="E39" s="2512"/>
      <c r="F39" s="2513"/>
      <c r="G39" s="2046"/>
      <c r="H39" s="2061"/>
      <c r="I39" s="836" t="s">
        <v>1816</v>
      </c>
      <c r="J39" s="844">
        <f ca="1">ROUND(J35/C39,3)</f>
        <v>0.73899999999999999</v>
      </c>
      <c r="K39" s="2067"/>
      <c r="L39" s="2061"/>
      <c r="M39" s="2061"/>
    </row>
    <row r="40" spans="1:18" ht="18" customHeight="1">
      <c r="A40" s="780" t="s">
        <v>1893</v>
      </c>
      <c r="B40" s="2216" t="s">
        <v>2296</v>
      </c>
      <c r="C40" s="782">
        <f ca="1">ROUND(C39*(1-((1+F42)/(1+F40))^F41)/(F40-F42),0)</f>
        <v>28502</v>
      </c>
      <c r="D40" s="813" t="s">
        <v>1805</v>
      </c>
      <c r="E40" s="783" t="s">
        <v>2414</v>
      </c>
      <c r="F40" s="793">
        <f ca="1">INDIRECT("'数据-取费表'!I"&amp;$G$1)</f>
        <v>0.04</v>
      </c>
      <c r="G40" s="2046"/>
      <c r="H40" s="2046"/>
      <c r="I40" s="836" t="s">
        <v>1817</v>
      </c>
      <c r="J40" s="844">
        <f ca="1">1-J39</f>
        <v>0.26100000000000001</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24.37</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0.49</v>
      </c>
      <c r="K42" s="2066"/>
      <c r="L42" s="1972"/>
      <c r="M42" s="1972"/>
    </row>
    <row r="43" spans="1:18" ht="18" customHeight="1" thickBot="1">
      <c r="A43" s="822" t="s">
        <v>1785</v>
      </c>
      <c r="B43" s="823" t="s">
        <v>1808</v>
      </c>
      <c r="C43" s="824">
        <f ca="1">ROUND(C40*10000/F43,0)</f>
        <v>4471</v>
      </c>
      <c r="D43" s="825" t="s">
        <v>1809</v>
      </c>
      <c r="E43" s="826" t="s">
        <v>1810</v>
      </c>
      <c r="F43" s="827">
        <f ca="1">INDIRECT("'数据-取费表'!k"&amp;$G$1)</f>
        <v>63755.58</v>
      </c>
      <c r="G43" s="2046"/>
      <c r="H43" s="1972"/>
      <c r="I43" s="846" t="s">
        <v>1820</v>
      </c>
      <c r="J43" s="847">
        <f ca="1">1-J42</f>
        <v>0.51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-35180</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3173</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24.37</v>
      </c>
      <c r="O48" s="2361" t="s">
        <v>2374</v>
      </c>
      <c r="P48" s="2362" t="s">
        <v>2400</v>
      </c>
      <c r="Q48" s="2363">
        <f ca="1">C40+J29</f>
        <v>28502</v>
      </c>
      <c r="R48" s="2362" t="s">
        <v>2375</v>
      </c>
    </row>
    <row r="49" spans="1:18" s="2043" customFormat="1" ht="18" customHeight="1" thickBot="1">
      <c r="A49" s="785"/>
      <c r="B49" s="786"/>
      <c r="C49" s="787"/>
      <c r="D49" s="788"/>
      <c r="E49" s="783" t="s">
        <v>1737</v>
      </c>
      <c r="F49" s="784">
        <f ca="1">F7</f>
        <v>63755.58</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13957</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9275</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24.37</v>
      </c>
      <c r="K53" s="3503" t="s">
        <v>2959</v>
      </c>
      <c r="L53" s="3504"/>
      <c r="O53" s="2364" t="s">
        <v>2383</v>
      </c>
      <c r="P53" s="2362" t="s">
        <v>2384</v>
      </c>
      <c r="Q53" s="2363">
        <f ca="1">J53</f>
        <v>24.37</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28502</v>
      </c>
      <c r="R54" s="2366" t="s">
        <v>2387</v>
      </c>
    </row>
    <row r="55" spans="1:18" s="2043" customFormat="1" ht="18" customHeight="1" thickTop="1" thickBot="1">
      <c r="A55" s="796">
        <v>2</v>
      </c>
      <c r="B55" s="797" t="s">
        <v>644</v>
      </c>
      <c r="C55" s="798">
        <f ca="1">C13</f>
        <v>13957</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13957</v>
      </c>
      <c r="D56" s="2602"/>
      <c r="E56" s="783"/>
      <c r="F56" s="808"/>
      <c r="I56" s="3108" t="s">
        <v>2352</v>
      </c>
      <c r="J56" s="3118" t="s">
        <v>1676</v>
      </c>
      <c r="K56" s="3071" t="s">
        <v>2357</v>
      </c>
      <c r="L56" s="1892" t="str">
        <f ca="1">IF(L48&lt;J51,"——",L48-J51)</f>
        <v>——</v>
      </c>
      <c r="O56" s="2358" t="s">
        <v>2370</v>
      </c>
      <c r="P56" s="2359" t="s">
        <v>2371</v>
      </c>
      <c r="Q56" s="2360" t="s">
        <v>2372</v>
      </c>
      <c r="R56" s="2359" t="s">
        <v>2373</v>
      </c>
    </row>
    <row r="57" spans="1:18" s="2043" customFormat="1" ht="28.5" customHeight="1" thickBot="1">
      <c r="A57" s="796" t="s">
        <v>1746</v>
      </c>
      <c r="B57" s="797" t="s">
        <v>651</v>
      </c>
      <c r="C57" s="798">
        <f ca="1">ROUND(C58+C63+C64+C65,0)</f>
        <v>434</v>
      </c>
      <c r="D57" s="26" t="s">
        <v>1748</v>
      </c>
      <c r="E57" s="2603"/>
      <c r="F57" s="56"/>
      <c r="I57" s="3109" t="s">
        <v>2353</v>
      </c>
      <c r="J57" s="3110" t="str">
        <f ca="1">IF(OR(M47="住宅",J51&lt;L48,J56="是"),"——",J51-L48)</f>
        <v>——</v>
      </c>
      <c r="K57" s="3071" t="s">
        <v>2358</v>
      </c>
      <c r="L57" s="1892" t="str">
        <f ca="1">IF(L48&lt;J51,"——",IF(L55="比较法",L49,IF(L55="基准地价",L50,L51)))</f>
        <v>——</v>
      </c>
      <c r="O57" s="2361" t="s">
        <v>2374</v>
      </c>
      <c r="P57" s="2362" t="s">
        <v>2404</v>
      </c>
      <c r="Q57" s="2363">
        <f ca="1">C40+J29</f>
        <v>28502</v>
      </c>
      <c r="R57" s="2362" t="s">
        <v>2375</v>
      </c>
    </row>
    <row r="58" spans="1:18" s="2043" customFormat="1" ht="28.5" customHeight="1" thickBot="1">
      <c r="A58" s="1633" t="s">
        <v>1822</v>
      </c>
      <c r="B58" s="783" t="s">
        <v>656</v>
      </c>
      <c r="C58" s="53">
        <f ca="1">ROUND(IF(项目基本情况!B11="自然人",C47*F58,C59+C60+C61),1)</f>
        <v>126.8</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117.2</v>
      </c>
      <c r="D60" s="2602" t="str">
        <f>D33</f>
        <v>按房产原值计税</v>
      </c>
      <c r="E60" s="783" t="s">
        <v>1745</v>
      </c>
      <c r="F60" s="808">
        <f t="shared" si="0"/>
        <v>1.2E-2</v>
      </c>
      <c r="I60" s="3111" t="s">
        <v>2356</v>
      </c>
      <c r="J60" s="3112" t="str">
        <f ca="1">IF(OR(M47="住宅",J51&lt;L48,J56="是"),"0",ROUND(J59/(1+J52)^J53,0))</f>
        <v>0</v>
      </c>
      <c r="K60" s="3113" t="s">
        <v>2361</v>
      </c>
      <c r="L60" s="3112">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9.6</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63755.58</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279.10000000000002</v>
      </c>
      <c r="D63" s="2602" t="s">
        <v>1801</v>
      </c>
      <c r="E63" s="783" t="s">
        <v>1745</v>
      </c>
      <c r="F63" s="816">
        <f t="shared" ca="1" si="0"/>
        <v>0.02</v>
      </c>
      <c r="I63" s="3114" t="s">
        <v>2365</v>
      </c>
      <c r="J63" s="3115">
        <v>70</v>
      </c>
      <c r="K63" s="3115">
        <v>50</v>
      </c>
      <c r="L63" s="3115">
        <v>80</v>
      </c>
      <c r="M63" s="3117">
        <v>0.02</v>
      </c>
      <c r="O63" s="2361" t="s">
        <v>2386</v>
      </c>
      <c r="P63" s="2362" t="s">
        <v>2403</v>
      </c>
      <c r="Q63" s="2363">
        <f ca="1">Q57+Q58</f>
        <v>28502</v>
      </c>
      <c r="R63" s="2366" t="s">
        <v>2387</v>
      </c>
    </row>
    <row r="64" spans="1:18" s="2043" customFormat="1" ht="16.5" thickBot="1">
      <c r="A64" s="1633" t="s">
        <v>1888</v>
      </c>
      <c r="B64" s="783" t="s">
        <v>679</v>
      </c>
      <c r="C64" s="53">
        <f ca="1">ROUND(C55*F64,1)</f>
        <v>27.9</v>
      </c>
      <c r="D64" s="2602" t="s">
        <v>680</v>
      </c>
      <c r="E64" s="783" t="s">
        <v>1745</v>
      </c>
      <c r="F64" s="817">
        <f t="shared" ca="1" si="0"/>
        <v>2E-3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-434</v>
      </c>
      <c r="D66" s="2601" t="s">
        <v>700</v>
      </c>
      <c r="E66" s="2600"/>
      <c r="F66" s="819"/>
      <c r="K66" s="2070"/>
      <c r="O66" s="2361" t="s">
        <v>2374</v>
      </c>
      <c r="P66" s="2362" t="s">
        <v>2404</v>
      </c>
      <c r="Q66" s="2363">
        <f ca="1">C40+J29</f>
        <v>28502</v>
      </c>
      <c r="R66" s="2362" t="s">
        <v>2375</v>
      </c>
    </row>
    <row r="67" spans="1:18" s="2043" customFormat="1" ht="20.25" thickBot="1">
      <c r="A67" s="780" t="s">
        <v>1778</v>
      </c>
      <c r="B67" s="2216" t="s">
        <v>2296</v>
      </c>
      <c r="C67" s="782">
        <f ca="1">ROUND(C66*(1-((1+F69)/(1+F67))^F68)/(F67-F69),0)</f>
        <v>-6678</v>
      </c>
      <c r="D67" s="813" t="s">
        <v>704</v>
      </c>
      <c r="E67" s="783" t="s">
        <v>705</v>
      </c>
      <c r="F67" s="793">
        <f ca="1">F40</f>
        <v>0.04</v>
      </c>
      <c r="K67" s="2070"/>
      <c r="O67" s="2361" t="s">
        <v>2376</v>
      </c>
      <c r="P67" s="2362" t="s">
        <v>2407</v>
      </c>
      <c r="Q67" s="2363">
        <f ca="1">L60</f>
        <v>0</v>
      </c>
      <c r="R67" s="2366" t="s">
        <v>2409</v>
      </c>
    </row>
    <row r="68" spans="1:18" ht="21.75" thickBot="1">
      <c r="A68" s="785"/>
      <c r="B68" s="786"/>
      <c r="C68" s="787"/>
      <c r="D68" s="820" t="s">
        <v>1806</v>
      </c>
      <c r="E68" s="783" t="s">
        <v>1782</v>
      </c>
      <c r="F68" s="821">
        <f ca="1">F41</f>
        <v>24.37</v>
      </c>
      <c r="O68" s="2364" t="s">
        <v>2378</v>
      </c>
      <c r="P68" s="2362" t="s">
        <v>2408</v>
      </c>
      <c r="Q68" s="2368">
        <f ca="1">L51</f>
        <v>9275</v>
      </c>
      <c r="R68" s="2369" t="s">
        <v>2411</v>
      </c>
    </row>
    <row r="69" spans="1:18" ht="20.25" thickBot="1">
      <c r="A69" s="789"/>
      <c r="B69" s="790"/>
      <c r="C69" s="791"/>
      <c r="D69" s="815"/>
      <c r="E69" s="783" t="s">
        <v>710</v>
      </c>
      <c r="F69" s="2334"/>
      <c r="O69" s="2364" t="s">
        <v>2379</v>
      </c>
      <c r="P69" s="2370" t="s">
        <v>2393</v>
      </c>
      <c r="Q69" s="2363">
        <f ca="1">ROUND(Q70-Q71*Q72,0)</f>
        <v>395</v>
      </c>
      <c r="R69" s="2366"/>
    </row>
    <row r="70" spans="1:18" ht="15.75" thickBot="1">
      <c r="A70" s="822" t="s">
        <v>1785</v>
      </c>
      <c r="B70" s="823" t="s">
        <v>1808</v>
      </c>
      <c r="C70" s="824">
        <f ca="1">ROUND(C67*10000/F70,0)</f>
        <v>-1047</v>
      </c>
      <c r="D70" s="825" t="s">
        <v>1809</v>
      </c>
      <c r="E70" s="826" t="s">
        <v>1810</v>
      </c>
      <c r="F70" s="827">
        <f ca="1">F43</f>
        <v>63755.58</v>
      </c>
      <c r="O70" s="2364" t="s">
        <v>2394</v>
      </c>
      <c r="P70" s="2370" t="s">
        <v>2395</v>
      </c>
      <c r="Q70" s="2363">
        <f ca="1">C39</f>
        <v>1512</v>
      </c>
      <c r="R70" s="2362" t="s">
        <v>2375</v>
      </c>
    </row>
    <row r="71" spans="1:18" ht="15.75" thickBot="1">
      <c r="O71" s="2364" t="s">
        <v>2396</v>
      </c>
      <c r="P71" s="2370" t="s">
        <v>2397</v>
      </c>
      <c r="Q71" s="2363">
        <f ca="1">C13</f>
        <v>13957</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28502</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5" t="s">
        <v>2466</v>
      </c>
      <c r="B1" s="3526"/>
      <c r="C1" s="3527"/>
      <c r="D1" s="3528">
        <f>SUM(I10,I15,I20,I21,I23)</f>
        <v>0</v>
      </c>
      <c r="E1" s="3528"/>
      <c r="F1" s="3528"/>
      <c r="G1" s="3528"/>
      <c r="H1" s="3528"/>
      <c r="I1" s="3529"/>
    </row>
    <row r="2" spans="1:9">
      <c r="A2" s="3515" t="s">
        <v>2467</v>
      </c>
      <c r="B2" s="3516" t="s">
        <v>2468</v>
      </c>
      <c r="C2" s="3516"/>
      <c r="D2" s="2470" t="s">
        <v>2469</v>
      </c>
      <c r="E2" s="2470" t="s">
        <v>2470</v>
      </c>
      <c r="F2" s="2470" t="s">
        <v>2471</v>
      </c>
      <c r="G2" s="2470" t="s">
        <v>2472</v>
      </c>
      <c r="H2" s="2470" t="s">
        <v>2473</v>
      </c>
      <c r="I2" s="2471" t="s">
        <v>2474</v>
      </c>
    </row>
    <row r="3" spans="1:9">
      <c r="A3" s="3515"/>
      <c r="B3" s="3516" t="s">
        <v>2475</v>
      </c>
      <c r="C3" s="3516"/>
      <c r="D3" s="2472"/>
      <c r="E3" s="2470"/>
      <c r="F3" s="2473"/>
      <c r="G3" s="2473"/>
      <c r="H3" s="2474"/>
      <c r="I3" s="2475">
        <f>ROUND(D3*E3*F3*G3*H3/10000,0)</f>
        <v>0</v>
      </c>
    </row>
    <row r="4" spans="1:9">
      <c r="A4" s="3515"/>
      <c r="B4" s="3516" t="s">
        <v>2476</v>
      </c>
      <c r="C4" s="3516"/>
      <c r="D4" s="2472"/>
      <c r="E4" s="2470"/>
      <c r="F4" s="2473"/>
      <c r="G4" s="2473"/>
      <c r="H4" s="2474"/>
      <c r="I4" s="2475">
        <f t="shared" ref="I4:I9" si="0">ROUND(D4*E4*F4*G4*H4/10000,0)</f>
        <v>0</v>
      </c>
    </row>
    <row r="5" spans="1:9">
      <c r="A5" s="3515"/>
      <c r="B5" s="3516" t="s">
        <v>2477</v>
      </c>
      <c r="C5" s="3516"/>
      <c r="D5" s="2472"/>
      <c r="E5" s="2470"/>
      <c r="F5" s="2473"/>
      <c r="G5" s="2473"/>
      <c r="H5" s="2474"/>
      <c r="I5" s="2475">
        <f t="shared" si="0"/>
        <v>0</v>
      </c>
    </row>
    <row r="6" spans="1:9">
      <c r="A6" s="3515"/>
      <c r="B6" s="3516" t="s">
        <v>2478</v>
      </c>
      <c r="C6" s="3516"/>
      <c r="D6" s="2472"/>
      <c r="E6" s="2470"/>
      <c r="F6" s="2473"/>
      <c r="G6" s="2473"/>
      <c r="H6" s="2474"/>
      <c r="I6" s="2475">
        <f t="shared" si="0"/>
        <v>0</v>
      </c>
    </row>
    <row r="7" spans="1:9">
      <c r="A7" s="3515"/>
      <c r="B7" s="3516" t="s">
        <v>2479</v>
      </c>
      <c r="C7" s="3516"/>
      <c r="D7" s="2472"/>
      <c r="E7" s="2470"/>
      <c r="F7" s="2473"/>
      <c r="G7" s="2473"/>
      <c r="H7" s="2474"/>
      <c r="I7" s="2475">
        <f t="shared" si="0"/>
        <v>0</v>
      </c>
    </row>
    <row r="8" spans="1:9">
      <c r="A8" s="3515"/>
      <c r="B8" s="3516" t="s">
        <v>2480</v>
      </c>
      <c r="C8" s="3516"/>
      <c r="D8" s="2472"/>
      <c r="E8" s="2470"/>
      <c r="F8" s="2473"/>
      <c r="G8" s="2473"/>
      <c r="H8" s="2474"/>
      <c r="I8" s="2475">
        <f t="shared" si="0"/>
        <v>0</v>
      </c>
    </row>
    <row r="9" spans="1:9">
      <c r="A9" s="3515"/>
      <c r="B9" s="3516" t="s">
        <v>2481</v>
      </c>
      <c r="C9" s="3516"/>
      <c r="D9" s="2472"/>
      <c r="E9" s="2470"/>
      <c r="F9" s="2473"/>
      <c r="G9" s="2473"/>
      <c r="H9" s="2474"/>
      <c r="I9" s="2475">
        <f t="shared" si="0"/>
        <v>0</v>
      </c>
    </row>
    <row r="10" spans="1:9">
      <c r="A10" s="3515"/>
      <c r="B10" s="3517" t="s">
        <v>2482</v>
      </c>
      <c r="C10" s="3517"/>
      <c r="D10" s="2476">
        <v>527</v>
      </c>
      <c r="E10" s="2476" t="e">
        <f>ROUND(D1*10000/D10/H9,0)</f>
        <v>#DIV/0!</v>
      </c>
      <c r="F10" s="2477"/>
      <c r="G10" s="2477"/>
      <c r="H10" s="2478"/>
      <c r="I10" s="2479">
        <f>SUM(I3:I9)</f>
        <v>0</v>
      </c>
    </row>
    <row r="11" spans="1:9" ht="14.25">
      <c r="A11" s="3515" t="s">
        <v>2483</v>
      </c>
      <c r="B11" s="3516" t="s">
        <v>2484</v>
      </c>
      <c r="C11" s="3516"/>
      <c r="D11" s="2472" t="s">
        <v>2485</v>
      </c>
      <c r="E11" s="2472" t="s">
        <v>2486</v>
      </c>
      <c r="F11" s="2473" t="s">
        <v>2487</v>
      </c>
      <c r="G11" s="2473" t="s">
        <v>2488</v>
      </c>
      <c r="H11" s="2480" t="s">
        <v>2489</v>
      </c>
      <c r="I11" s="2471" t="s">
        <v>2490</v>
      </c>
    </row>
    <row r="12" spans="1:9">
      <c r="A12" s="3515"/>
      <c r="B12" s="3516" t="s">
        <v>2491</v>
      </c>
      <c r="C12" s="3516"/>
      <c r="D12" s="2472"/>
      <c r="E12" s="2472"/>
      <c r="F12" s="2473"/>
      <c r="G12" s="2474"/>
      <c r="H12" s="2481"/>
      <c r="I12" s="2471">
        <f>ROUND(D12*E12*F12*G12/10000,0)</f>
        <v>0</v>
      </c>
    </row>
    <row r="13" spans="1:9">
      <c r="A13" s="3515"/>
      <c r="B13" s="3516" t="s">
        <v>2492</v>
      </c>
      <c r="C13" s="3516"/>
      <c r="D13" s="2472"/>
      <c r="E13" s="2472"/>
      <c r="F13" s="2473"/>
      <c r="G13" s="2474"/>
      <c r="H13" s="2481"/>
      <c r="I13" s="2471">
        <f>ROUND(D13*E13*F13*G13/10000,0)</f>
        <v>0</v>
      </c>
    </row>
    <row r="14" spans="1:9">
      <c r="A14" s="3515"/>
      <c r="B14" s="3516" t="s">
        <v>2493</v>
      </c>
      <c r="C14" s="3516"/>
      <c r="D14" s="2472"/>
      <c r="E14" s="2472"/>
      <c r="F14" s="2473"/>
      <c r="G14" s="2474"/>
      <c r="H14" s="2481"/>
      <c r="I14" s="2471">
        <f>ROUND(D14*E14*F14*G14/10000,0)</f>
        <v>0</v>
      </c>
    </row>
    <row r="15" spans="1:9">
      <c r="A15" s="3515"/>
      <c r="B15" s="3517" t="s">
        <v>2482</v>
      </c>
      <c r="C15" s="3517"/>
      <c r="D15" s="2476"/>
      <c r="E15" s="2476">
        <f>SUM(E12:E14)</f>
        <v>0</v>
      </c>
      <c r="F15" s="2477"/>
      <c r="G15" s="2474"/>
      <c r="H15" s="2481"/>
      <c r="I15" s="2482">
        <f>SUM(I12:I14)</f>
        <v>0</v>
      </c>
    </row>
    <row r="16" spans="1:9" ht="24">
      <c r="A16" s="3515" t="s">
        <v>2494</v>
      </c>
      <c r="B16" s="3516" t="s">
        <v>2495</v>
      </c>
      <c r="C16" s="3516"/>
      <c r="D16" s="2472" t="s">
        <v>2496</v>
      </c>
      <c r="E16" s="2483" t="s">
        <v>2497</v>
      </c>
      <c r="F16" s="2473" t="s">
        <v>2498</v>
      </c>
      <c r="G16" s="2474" t="s">
        <v>2488</v>
      </c>
      <c r="H16" s="2480" t="s">
        <v>2489</v>
      </c>
      <c r="I16" s="2471" t="s">
        <v>2490</v>
      </c>
    </row>
    <row r="17" spans="1:9" ht="14.25">
      <c r="A17" s="3515"/>
      <c r="B17" s="3516" t="s">
        <v>2499</v>
      </c>
      <c r="C17" s="3516"/>
      <c r="D17" s="2472"/>
      <c r="E17" s="2472"/>
      <c r="F17" s="2473"/>
      <c r="G17" s="2474"/>
      <c r="H17" s="2484"/>
      <c r="I17" s="2485">
        <f>ROUND(D17*E17*F17*G17/10000,0)</f>
        <v>0</v>
      </c>
    </row>
    <row r="18" spans="1:9" ht="14.25">
      <c r="A18" s="3515"/>
      <c r="B18" s="3516" t="s">
        <v>2500</v>
      </c>
      <c r="C18" s="3516"/>
      <c r="D18" s="2472"/>
      <c r="E18" s="2472"/>
      <c r="F18" s="2473"/>
      <c r="G18" s="2474"/>
      <c r="H18" s="2484"/>
      <c r="I18" s="2485">
        <f>ROUND(D18*E18*F18*G18/10000,0)</f>
        <v>0</v>
      </c>
    </row>
    <row r="19" spans="1:9" ht="14.25">
      <c r="A19" s="3515"/>
      <c r="B19" s="3516" t="s">
        <v>2501</v>
      </c>
      <c r="C19" s="3516"/>
      <c r="D19" s="2472"/>
      <c r="E19" s="2472"/>
      <c r="F19" s="2473"/>
      <c r="G19" s="2474"/>
      <c r="H19" s="2484"/>
      <c r="I19" s="2485">
        <f>ROUND(D19*E19*F19*G19/10000,0)</f>
        <v>0</v>
      </c>
    </row>
    <row r="20" spans="1:9">
      <c r="A20" s="3515"/>
      <c r="B20" s="3517" t="s">
        <v>2482</v>
      </c>
      <c r="C20" s="3517"/>
      <c r="D20" s="2476">
        <f>SUM(D17:D19)</f>
        <v>0</v>
      </c>
      <c r="E20" s="2476"/>
      <c r="F20" s="2477"/>
      <c r="G20" s="2474"/>
      <c r="H20" s="2481"/>
      <c r="I20" s="2482">
        <f>SUM(I17:I19)</f>
        <v>0</v>
      </c>
    </row>
    <row r="21" spans="1:9">
      <c r="A21" s="3515" t="s">
        <v>2502</v>
      </c>
      <c r="B21" s="3518"/>
      <c r="C21" s="3518"/>
      <c r="D21" s="3518"/>
      <c r="E21" s="3518"/>
      <c r="F21" s="3518"/>
      <c r="G21" s="3518"/>
      <c r="H21" s="2486">
        <v>0.1</v>
      </c>
      <c r="I21" s="2479">
        <f>ROUND(I10*H21,0)</f>
        <v>0</v>
      </c>
    </row>
    <row r="22" spans="1:9" ht="14.25">
      <c r="A22" s="3519" t="s">
        <v>2503</v>
      </c>
      <c r="B22" s="3520"/>
      <c r="C22" s="3521"/>
      <c r="D22" s="2487" t="s">
        <v>2504</v>
      </c>
      <c r="E22" s="2487" t="s">
        <v>2505</v>
      </c>
      <c r="F22" s="2488" t="s">
        <v>2506</v>
      </c>
      <c r="G22" s="2488" t="s">
        <v>2507</v>
      </c>
      <c r="H22" s="2480" t="s">
        <v>2508</v>
      </c>
      <c r="I22" s="2471" t="s">
        <v>2509</v>
      </c>
    </row>
    <row r="23" spans="1:9" ht="14.25" thickBot="1">
      <c r="A23" s="3522"/>
      <c r="B23" s="3523"/>
      <c r="C23" s="3524"/>
      <c r="D23" s="2489"/>
      <c r="E23" s="2489"/>
      <c r="F23" s="2489"/>
      <c r="G23" s="2490"/>
      <c r="H23" s="2491"/>
      <c r="I23" s="2492">
        <f>ROUND(E23*D23*F23*(1-G23)/10000,0)</f>
        <v>0</v>
      </c>
    </row>
    <row r="26" spans="1:9">
      <c r="A26" s="2493" t="s">
        <v>2510</v>
      </c>
      <c r="B26" s="2493"/>
      <c r="C26" s="2493"/>
      <c r="D26" s="2493"/>
      <c r="E26" s="3512">
        <f>C27-C30-C31-C32</f>
        <v>0</v>
      </c>
      <c r="F26" s="3512"/>
      <c r="G26" s="3512"/>
      <c r="H26" s="2994" t="s">
        <v>2835</v>
      </c>
    </row>
    <row r="27" spans="1:9">
      <c r="A27" s="2494">
        <v>1</v>
      </c>
      <c r="B27" s="2495" t="s">
        <v>2511</v>
      </c>
      <c r="C27" s="2495"/>
      <c r="D27" s="2495"/>
      <c r="E27" s="3513"/>
      <c r="F27" s="3513"/>
      <c r="G27" s="3513"/>
    </row>
    <row r="28" spans="1:9">
      <c r="A28" s="2496" t="s">
        <v>2512</v>
      </c>
      <c r="B28" s="2495" t="s">
        <v>2513</v>
      </c>
      <c r="C28" s="2495"/>
      <c r="D28" s="2495"/>
      <c r="E28" s="3513"/>
      <c r="F28" s="3513"/>
      <c r="G28" s="3513"/>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14"/>
      <c r="F32" s="3514"/>
      <c r="G32" s="3514"/>
    </row>
    <row r="33" spans="1:7" hidden="1">
      <c r="A33" s="3509" t="s">
        <v>2521</v>
      </c>
      <c r="B33" s="3510"/>
      <c r="C33" s="3510"/>
      <c r="D33" s="3511"/>
      <c r="E33" s="3512"/>
      <c r="F33" s="3512"/>
      <c r="G33" s="3512"/>
    </row>
    <row r="34" spans="1:7" hidden="1">
      <c r="A34" s="2498">
        <v>1</v>
      </c>
      <c r="B34" s="2495" t="s">
        <v>2522</v>
      </c>
      <c r="C34" s="2495"/>
      <c r="D34" s="2495"/>
      <c r="E34" s="3513"/>
      <c r="F34" s="3513"/>
      <c r="G34" s="3513"/>
    </row>
    <row r="35" spans="1:7" hidden="1">
      <c r="A35" s="2498">
        <v>2</v>
      </c>
      <c r="B35" s="2495" t="s">
        <v>2523</v>
      </c>
      <c r="C35" s="2495"/>
      <c r="D35" s="2495"/>
      <c r="E35" s="3513"/>
      <c r="F35" s="3513"/>
      <c r="G35" s="3513"/>
    </row>
    <row r="36" spans="1:7" hidden="1">
      <c r="A36" s="2498">
        <v>3</v>
      </c>
      <c r="B36" s="2495" t="s">
        <v>2524</v>
      </c>
      <c r="C36" s="2495"/>
      <c r="D36" s="2495"/>
      <c r="E36" s="3513"/>
      <c r="F36" s="3513"/>
      <c r="G36" s="3513"/>
    </row>
    <row r="37" spans="1:7" hidden="1">
      <c r="A37" s="2498">
        <v>4</v>
      </c>
      <c r="B37" s="2495" t="s">
        <v>2525</v>
      </c>
      <c r="C37" s="2495"/>
      <c r="D37" s="2495"/>
      <c r="E37" s="3513"/>
      <c r="F37" s="3513"/>
      <c r="G37" s="3513"/>
    </row>
    <row r="38" spans="1:7" hidden="1">
      <c r="A38" s="3509" t="s">
        <v>2526</v>
      </c>
      <c r="B38" s="3510"/>
      <c r="C38" s="3510"/>
      <c r="D38" s="3511"/>
      <c r="E38" s="3512"/>
      <c r="F38" s="3512"/>
      <c r="G38" s="35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68" t="s">
        <v>522</v>
      </c>
      <c r="D4" s="3469"/>
      <c r="E4" s="3492" t="s">
        <v>523</v>
      </c>
      <c r="F4" s="3493"/>
      <c r="G4" s="3468" t="s">
        <v>524</v>
      </c>
      <c r="H4" s="3469"/>
      <c r="I4" s="3468" t="s">
        <v>525</v>
      </c>
      <c r="J4" s="3469"/>
      <c r="K4" s="852" t="s">
        <v>526</v>
      </c>
      <c r="L4" s="2117"/>
      <c r="M4" s="2118"/>
      <c r="N4" s="2118"/>
      <c r="O4" s="2118"/>
      <c r="P4" s="3470" t="s">
        <v>527</v>
      </c>
      <c r="Q4" s="3471"/>
      <c r="R4" s="3456" t="s">
        <v>523</v>
      </c>
      <c r="S4" s="3457"/>
      <c r="T4" s="3456" t="s">
        <v>524</v>
      </c>
      <c r="U4" s="3457"/>
      <c r="V4" s="3476" t="s">
        <v>525</v>
      </c>
      <c r="W4" s="3476"/>
      <c r="X4" s="1552"/>
      <c r="Y4" s="3456" t="s">
        <v>527</v>
      </c>
      <c r="Z4" s="3457"/>
      <c r="AA4" s="3451" t="s">
        <v>523</v>
      </c>
      <c r="AB4" s="3451" t="s">
        <v>524</v>
      </c>
      <c r="AC4" s="3451" t="s">
        <v>525</v>
      </c>
    </row>
    <row r="5" spans="1:29" ht="15">
      <c r="A5" s="515"/>
      <c r="B5" s="516"/>
      <c r="C5" s="3479" t="s">
        <v>2923</v>
      </c>
      <c r="D5" s="3480"/>
      <c r="E5" s="3494" t="s">
        <v>2924</v>
      </c>
      <c r="F5" s="3495"/>
      <c r="G5" s="3479" t="s">
        <v>2925</v>
      </c>
      <c r="H5" s="3480"/>
      <c r="I5" s="3479" t="s">
        <v>2926</v>
      </c>
      <c r="J5" s="3480"/>
      <c r="K5" s="853"/>
      <c r="L5" s="2117"/>
      <c r="M5" s="2118"/>
      <c r="N5" s="2118"/>
      <c r="O5" s="2118"/>
      <c r="P5" s="3472"/>
      <c r="Q5" s="3473"/>
      <c r="R5" s="3458"/>
      <c r="S5" s="3459"/>
      <c r="T5" s="3458"/>
      <c r="U5" s="3459"/>
      <c r="V5" s="3476"/>
      <c r="W5" s="3476"/>
      <c r="X5" s="1552"/>
      <c r="Y5" s="3458"/>
      <c r="Z5" s="3459"/>
      <c r="AA5" s="3452"/>
      <c r="AB5" s="3452"/>
      <c r="AC5" s="3452"/>
    </row>
    <row r="6" spans="1:29" ht="15.75" thickBot="1">
      <c r="A6" s="517"/>
      <c r="B6" s="518"/>
      <c r="C6" s="3477" t="s">
        <v>2927</v>
      </c>
      <c r="D6" s="3478"/>
      <c r="E6" s="3496" t="s">
        <v>2927</v>
      </c>
      <c r="F6" s="3497"/>
      <c r="G6" s="3477" t="s">
        <v>2927</v>
      </c>
      <c r="H6" s="3478"/>
      <c r="I6" s="3477" t="s">
        <v>2927</v>
      </c>
      <c r="J6" s="3478"/>
      <c r="K6" s="853" t="s">
        <v>528</v>
      </c>
      <c r="L6" s="2117"/>
      <c r="M6" s="2118"/>
      <c r="N6" s="2118"/>
      <c r="O6" s="2118"/>
      <c r="P6" s="3474"/>
      <c r="Q6" s="3475"/>
      <c r="R6" s="3458"/>
      <c r="S6" s="3459"/>
      <c r="T6" s="3460"/>
      <c r="U6" s="3461"/>
      <c r="V6" s="3476"/>
      <c r="W6" s="3476"/>
      <c r="X6" s="1552"/>
      <c r="Y6" s="3460"/>
      <c r="Z6" s="3461"/>
      <c r="AA6" s="3453"/>
      <c r="AB6" s="3453"/>
      <c r="AC6" s="3453"/>
    </row>
    <row r="7" spans="1:29" s="1214" customFormat="1" ht="15.75" thickBot="1">
      <c r="A7" s="2866"/>
      <c r="B7" s="2873" t="s">
        <v>529</v>
      </c>
      <c r="C7" s="519">
        <f>'数据-取费表'!B2</f>
        <v>44010</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54" t="s">
        <v>530</v>
      </c>
      <c r="Q7" s="3463"/>
      <c r="R7" s="1553" t="s">
        <v>13</v>
      </c>
      <c r="S7" s="1554">
        <f t="shared" ref="S7:S15" si="0">F7</f>
        <v>0</v>
      </c>
      <c r="T7" s="1553" t="s">
        <v>13</v>
      </c>
      <c r="U7" s="1554">
        <f t="shared" ref="U7:U15" si="1">H7</f>
        <v>0</v>
      </c>
      <c r="V7" s="1553" t="s">
        <v>13</v>
      </c>
      <c r="W7" s="1554">
        <f t="shared" ref="W7:W15" si="2">J7</f>
        <v>0</v>
      </c>
      <c r="X7" s="1555"/>
      <c r="Y7" s="3454" t="s">
        <v>530</v>
      </c>
      <c r="Z7" s="3455"/>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54" t="s">
        <v>533</v>
      </c>
      <c r="Q8" s="3455"/>
      <c r="R8" s="1553" t="s">
        <v>13</v>
      </c>
      <c r="S8" s="1554">
        <f t="shared" si="0"/>
        <v>0</v>
      </c>
      <c r="T8" s="1553" t="s">
        <v>13</v>
      </c>
      <c r="U8" s="1554">
        <f t="shared" si="1"/>
        <v>0</v>
      </c>
      <c r="V8" s="1553" t="s">
        <v>13</v>
      </c>
      <c r="W8" s="1554">
        <f t="shared" si="2"/>
        <v>0</v>
      </c>
      <c r="X8" s="1555"/>
      <c r="Y8" s="3454" t="s">
        <v>533</v>
      </c>
      <c r="Z8" s="3455"/>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62" t="s">
        <v>535</v>
      </c>
      <c r="Q9" s="1145" t="str">
        <f t="shared" ref="Q9:Q15" si="6">B9</f>
        <v>用途</v>
      </c>
      <c r="R9" s="1553" t="s">
        <v>8</v>
      </c>
      <c r="S9" s="1554">
        <f t="shared" si="0"/>
        <v>100</v>
      </c>
      <c r="T9" s="1553" t="s">
        <v>8</v>
      </c>
      <c r="U9" s="1554">
        <f t="shared" si="1"/>
        <v>100</v>
      </c>
      <c r="V9" s="1553" t="s">
        <v>8</v>
      </c>
      <c r="W9" s="1554">
        <f t="shared" si="2"/>
        <v>100</v>
      </c>
      <c r="X9" s="1555"/>
      <c r="Y9" s="3387"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62"/>
      <c r="Q10" s="1145" t="str">
        <f t="shared" si="6"/>
        <v>土地使用年限（年）</v>
      </c>
      <c r="R10" s="1553" t="s">
        <v>8</v>
      </c>
      <c r="S10" s="1554">
        <f t="shared" si="0"/>
        <v>100</v>
      </c>
      <c r="T10" s="1553" t="s">
        <v>8</v>
      </c>
      <c r="U10" s="1554">
        <f t="shared" si="1"/>
        <v>100</v>
      </c>
      <c r="V10" s="1553" t="s">
        <v>8</v>
      </c>
      <c r="W10" s="1554">
        <f t="shared" si="2"/>
        <v>100</v>
      </c>
      <c r="X10" s="1555"/>
      <c r="Y10" s="3387"/>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62"/>
      <c r="Q11" s="1145" t="str">
        <f t="shared" si="6"/>
        <v>容积率</v>
      </c>
      <c r="R11" s="1553" t="s">
        <v>11</v>
      </c>
      <c r="S11" s="1554" t="e">
        <f t="shared" si="0"/>
        <v>#N/A</v>
      </c>
      <c r="T11" s="1553" t="s">
        <v>11</v>
      </c>
      <c r="U11" s="1554" t="e">
        <f t="shared" si="1"/>
        <v>#N/A</v>
      </c>
      <c r="V11" s="1553" t="s">
        <v>11</v>
      </c>
      <c r="W11" s="1554" t="e">
        <f t="shared" si="2"/>
        <v>#N/A</v>
      </c>
      <c r="X11" s="1555"/>
      <c r="Y11" s="3387"/>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62"/>
      <c r="Q12" s="1145">
        <f t="shared" si="6"/>
        <v>111</v>
      </c>
      <c r="R12" s="1553" t="s">
        <v>11</v>
      </c>
      <c r="S12" s="1554">
        <f t="shared" si="0"/>
        <v>100</v>
      </c>
      <c r="T12" s="1553" t="s">
        <v>11</v>
      </c>
      <c r="U12" s="1554">
        <f t="shared" si="1"/>
        <v>100</v>
      </c>
      <c r="V12" s="1553" t="s">
        <v>11</v>
      </c>
      <c r="W12" s="1554">
        <f t="shared" si="2"/>
        <v>100</v>
      </c>
      <c r="X12" s="1555"/>
      <c r="Y12" s="3387"/>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62"/>
      <c r="Q13" s="1145">
        <f t="shared" si="6"/>
        <v>111</v>
      </c>
      <c r="R13" s="1553" t="s">
        <v>11</v>
      </c>
      <c r="S13" s="1554">
        <f t="shared" si="0"/>
        <v>100</v>
      </c>
      <c r="T13" s="1553" t="s">
        <v>11</v>
      </c>
      <c r="U13" s="1554">
        <f t="shared" si="1"/>
        <v>100</v>
      </c>
      <c r="V13" s="1553" t="s">
        <v>11</v>
      </c>
      <c r="W13" s="1554">
        <f t="shared" si="2"/>
        <v>100</v>
      </c>
      <c r="X13" s="1555"/>
      <c r="Y13" s="3387"/>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62"/>
      <c r="Q14" s="1145">
        <f t="shared" si="6"/>
        <v>111</v>
      </c>
      <c r="R14" s="1553" t="s">
        <v>11</v>
      </c>
      <c r="S14" s="1554">
        <f t="shared" si="0"/>
        <v>100</v>
      </c>
      <c r="T14" s="1553" t="s">
        <v>11</v>
      </c>
      <c r="U14" s="1554">
        <f t="shared" si="1"/>
        <v>100</v>
      </c>
      <c r="V14" s="1553" t="s">
        <v>11</v>
      </c>
      <c r="W14" s="1554">
        <f t="shared" si="2"/>
        <v>100</v>
      </c>
      <c r="X14" s="1555"/>
      <c r="Y14" s="3387"/>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64" t="s">
        <v>540</v>
      </c>
      <c r="Q15" s="1557" t="str">
        <f t="shared" si="6"/>
        <v>居住社区成熟度</v>
      </c>
      <c r="R15" s="1558" t="s">
        <v>11</v>
      </c>
      <c r="S15" s="1559">
        <f t="shared" si="0"/>
        <v>100</v>
      </c>
      <c r="T15" s="1558" t="s">
        <v>11</v>
      </c>
      <c r="U15" s="1559">
        <f t="shared" si="1"/>
        <v>100</v>
      </c>
      <c r="V15" s="1558" t="s">
        <v>11</v>
      </c>
      <c r="W15" s="1559">
        <f t="shared" si="2"/>
        <v>100</v>
      </c>
      <c r="X15" s="1552"/>
      <c r="Y15" s="3464"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65"/>
      <c r="Q16" s="1557"/>
      <c r="R16" s="1558"/>
      <c r="S16" s="1559"/>
      <c r="T16" s="1558"/>
      <c r="U16" s="1559"/>
      <c r="V16" s="1558"/>
      <c r="W16" s="1559"/>
      <c r="X16" s="1552"/>
      <c r="Y16" s="3465"/>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65"/>
      <c r="Q17" s="1557" t="str">
        <f>B17</f>
        <v>交通便捷度</v>
      </c>
      <c r="R17" s="1558" t="s">
        <v>11</v>
      </c>
      <c r="S17" s="1559">
        <f>F17</f>
        <v>100</v>
      </c>
      <c r="T17" s="1558" t="s">
        <v>11</v>
      </c>
      <c r="U17" s="1559">
        <f>H17</f>
        <v>100</v>
      </c>
      <c r="V17" s="1558" t="s">
        <v>11</v>
      </c>
      <c r="W17" s="1559">
        <f>J17</f>
        <v>100</v>
      </c>
      <c r="X17" s="1552"/>
      <c r="Y17" s="3465"/>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65"/>
      <c r="Q18" s="1557"/>
      <c r="R18" s="1558"/>
      <c r="S18" s="1559"/>
      <c r="T18" s="1558"/>
      <c r="U18" s="1559"/>
      <c r="V18" s="1558"/>
      <c r="W18" s="1559"/>
      <c r="X18" s="1552"/>
      <c r="Y18" s="3465"/>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65"/>
      <c r="Q19" s="1557" t="str">
        <f>B19</f>
        <v>公共配套设施</v>
      </c>
      <c r="R19" s="1558" t="s">
        <v>11</v>
      </c>
      <c r="S19" s="1559">
        <f>F19</f>
        <v>100</v>
      </c>
      <c r="T19" s="1558" t="s">
        <v>11</v>
      </c>
      <c r="U19" s="1559">
        <f>H19</f>
        <v>100</v>
      </c>
      <c r="V19" s="1558" t="s">
        <v>11</v>
      </c>
      <c r="W19" s="1559">
        <f>J19</f>
        <v>100</v>
      </c>
      <c r="X19" s="1552"/>
      <c r="Y19" s="346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65"/>
      <c r="Q20" s="1557"/>
      <c r="R20" s="1558"/>
      <c r="S20" s="1559"/>
      <c r="T20" s="1558"/>
      <c r="U20" s="1559"/>
      <c r="V20" s="1558"/>
      <c r="W20" s="1559"/>
      <c r="X20" s="1552"/>
      <c r="Y20" s="3465"/>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65"/>
      <c r="Q21" s="2542" t="str">
        <f>B21</f>
        <v>基础设施水平</v>
      </c>
      <c r="R21" s="1558" t="s">
        <v>11</v>
      </c>
      <c r="S21" s="1559">
        <f>F21</f>
        <v>100</v>
      </c>
      <c r="T21" s="1558" t="s">
        <v>11</v>
      </c>
      <c r="U21" s="1559">
        <f>H21</f>
        <v>100</v>
      </c>
      <c r="V21" s="1558" t="s">
        <v>11</v>
      </c>
      <c r="W21" s="1559">
        <f>J21</f>
        <v>100</v>
      </c>
      <c r="X21" s="2544"/>
      <c r="Y21" s="3465"/>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65"/>
      <c r="Q22" s="2542"/>
      <c r="R22" s="1558"/>
      <c r="S22" s="1559"/>
      <c r="T22" s="1558"/>
      <c r="U22" s="1559"/>
      <c r="V22" s="1558"/>
      <c r="W22" s="1559"/>
      <c r="X22" s="2544"/>
      <c r="Y22" s="3465"/>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65"/>
      <c r="Q23" s="1557" t="str">
        <f>B23</f>
        <v>自然及人文环境</v>
      </c>
      <c r="R23" s="1558" t="s">
        <v>11</v>
      </c>
      <c r="S23" s="1559">
        <f>F23</f>
        <v>100</v>
      </c>
      <c r="T23" s="1558" t="s">
        <v>11</v>
      </c>
      <c r="U23" s="1559">
        <f>H23</f>
        <v>100</v>
      </c>
      <c r="V23" s="1558" t="s">
        <v>11</v>
      </c>
      <c r="W23" s="1559">
        <f>J23</f>
        <v>100</v>
      </c>
      <c r="X23" s="1552"/>
      <c r="Y23" s="346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65"/>
      <c r="Q24" s="1557"/>
      <c r="R24" s="1558"/>
      <c r="S24" s="1559"/>
      <c r="T24" s="1558"/>
      <c r="U24" s="1559"/>
      <c r="V24" s="1558"/>
      <c r="W24" s="1559"/>
      <c r="X24" s="1552"/>
      <c r="Y24" s="3465"/>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65"/>
      <c r="Q25" s="1557" t="str">
        <f t="shared" ref="Q25:Q46" si="11">B25</f>
        <v>楼层-1</v>
      </c>
      <c r="R25" s="1558" t="s">
        <v>11</v>
      </c>
      <c r="S25" s="1559">
        <f>F25</f>
        <v>100</v>
      </c>
      <c r="T25" s="1558" t="s">
        <v>11</v>
      </c>
      <c r="U25" s="1559">
        <f>H25</f>
        <v>100</v>
      </c>
      <c r="V25" s="1558" t="s">
        <v>11</v>
      </c>
      <c r="W25" s="1559">
        <f>J25</f>
        <v>100</v>
      </c>
      <c r="X25" s="1552"/>
      <c r="Y25" s="3465"/>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65"/>
      <c r="Q26" s="1557" t="str">
        <f t="shared" si="11"/>
        <v>朝向</v>
      </c>
      <c r="R26" s="1558" t="s">
        <v>11</v>
      </c>
      <c r="S26" s="1559">
        <f>F26</f>
        <v>100</v>
      </c>
      <c r="T26" s="1558" t="s">
        <v>11</v>
      </c>
      <c r="U26" s="1559">
        <f>H26</f>
        <v>100</v>
      </c>
      <c r="V26" s="1558" t="s">
        <v>11</v>
      </c>
      <c r="W26" s="1559">
        <f>J26</f>
        <v>100</v>
      </c>
      <c r="X26" s="1552"/>
      <c r="Y26" s="3465"/>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65"/>
      <c r="Q27" s="1145" t="str">
        <f t="shared" si="11"/>
        <v>道路级别</v>
      </c>
      <c r="R27" s="1553" t="s">
        <v>11</v>
      </c>
      <c r="S27" s="1554">
        <f>F27</f>
        <v>100</v>
      </c>
      <c r="T27" s="1553" t="s">
        <v>11</v>
      </c>
      <c r="U27" s="1554">
        <f>H27</f>
        <v>100</v>
      </c>
      <c r="V27" s="1553" t="s">
        <v>11</v>
      </c>
      <c r="W27" s="1554">
        <f>J27</f>
        <v>100</v>
      </c>
      <c r="X27" s="1555"/>
      <c r="Y27" s="3465"/>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65"/>
      <c r="Q28" s="1557">
        <f t="shared" si="11"/>
        <v>111</v>
      </c>
      <c r="R28" s="1558" t="s">
        <v>11</v>
      </c>
      <c r="S28" s="1559">
        <f t="shared" ref="S28:S46" si="12">F28</f>
        <v>100</v>
      </c>
      <c r="T28" s="1558" t="s">
        <v>11</v>
      </c>
      <c r="U28" s="1559">
        <f t="shared" ref="U28:U46" si="13">H28</f>
        <v>100</v>
      </c>
      <c r="V28" s="1558" t="s">
        <v>11</v>
      </c>
      <c r="W28" s="1559">
        <f t="shared" ref="W28:W46" si="14">J28</f>
        <v>100</v>
      </c>
      <c r="X28" s="1552"/>
      <c r="Y28" s="3465"/>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65"/>
      <c r="Q29" s="1557">
        <f t="shared" si="11"/>
        <v>111</v>
      </c>
      <c r="R29" s="1558" t="s">
        <v>11</v>
      </c>
      <c r="S29" s="1559">
        <f t="shared" si="12"/>
        <v>100</v>
      </c>
      <c r="T29" s="1558" t="s">
        <v>11</v>
      </c>
      <c r="U29" s="1559">
        <f t="shared" si="13"/>
        <v>100</v>
      </c>
      <c r="V29" s="1558" t="s">
        <v>11</v>
      </c>
      <c r="W29" s="1559">
        <f t="shared" si="14"/>
        <v>100</v>
      </c>
      <c r="X29" s="1552"/>
      <c r="Y29" s="3465"/>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65"/>
      <c r="Q30" s="1557">
        <f t="shared" si="11"/>
        <v>111</v>
      </c>
      <c r="R30" s="1558" t="s">
        <v>11</v>
      </c>
      <c r="S30" s="1559">
        <f t="shared" si="12"/>
        <v>100</v>
      </c>
      <c r="T30" s="1558" t="s">
        <v>11</v>
      </c>
      <c r="U30" s="1559">
        <f t="shared" si="13"/>
        <v>100</v>
      </c>
      <c r="V30" s="1558" t="s">
        <v>11</v>
      </c>
      <c r="W30" s="1559">
        <f t="shared" si="14"/>
        <v>100</v>
      </c>
      <c r="X30" s="1552"/>
      <c r="Y30" s="3465"/>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65"/>
      <c r="Q31" s="1557">
        <f t="shared" si="11"/>
        <v>111</v>
      </c>
      <c r="R31" s="1558" t="s">
        <v>11</v>
      </c>
      <c r="S31" s="1559">
        <f t="shared" si="12"/>
        <v>100</v>
      </c>
      <c r="T31" s="1558" t="s">
        <v>11</v>
      </c>
      <c r="U31" s="1559">
        <f t="shared" si="13"/>
        <v>100</v>
      </c>
      <c r="V31" s="1558" t="s">
        <v>11</v>
      </c>
      <c r="W31" s="1559">
        <f t="shared" si="14"/>
        <v>100</v>
      </c>
      <c r="X31" s="1552"/>
      <c r="Y31" s="3465"/>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66" t="s">
        <v>550</v>
      </c>
      <c r="Q32" s="1557" t="str">
        <f t="shared" si="11"/>
        <v>建筑类型</v>
      </c>
      <c r="R32" s="1558" t="s">
        <v>11</v>
      </c>
      <c r="S32" s="1559">
        <f t="shared" si="12"/>
        <v>100</v>
      </c>
      <c r="T32" s="1558" t="s">
        <v>11</v>
      </c>
      <c r="U32" s="1559">
        <f t="shared" si="13"/>
        <v>100</v>
      </c>
      <c r="V32" s="1558" t="s">
        <v>11</v>
      </c>
      <c r="W32" s="1559">
        <f t="shared" si="14"/>
        <v>100</v>
      </c>
      <c r="X32" s="1552"/>
      <c r="Y32" s="3467"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67"/>
      <c r="Q33" s="1589" t="str">
        <f t="shared" si="11"/>
        <v>项目建筑规模</v>
      </c>
      <c r="R33" s="1562" t="s">
        <v>11</v>
      </c>
      <c r="S33" s="1563" t="e">
        <f t="shared" si="12"/>
        <v>#N/A</v>
      </c>
      <c r="T33" s="1562" t="s">
        <v>11</v>
      </c>
      <c r="U33" s="1563" t="e">
        <f t="shared" si="13"/>
        <v>#N/A</v>
      </c>
      <c r="V33" s="1562" t="s">
        <v>11</v>
      </c>
      <c r="W33" s="1563" t="e">
        <f t="shared" si="14"/>
        <v>#N/A</v>
      </c>
      <c r="X33" s="1564"/>
      <c r="Y33" s="3467"/>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67"/>
      <c r="Q34" s="1557" t="str">
        <f t="shared" si="11"/>
        <v>建筑结构</v>
      </c>
      <c r="R34" s="1558" t="s">
        <v>11</v>
      </c>
      <c r="S34" s="1559">
        <f t="shared" si="12"/>
        <v>100</v>
      </c>
      <c r="T34" s="1558" t="s">
        <v>11</v>
      </c>
      <c r="U34" s="1559">
        <f t="shared" si="13"/>
        <v>100</v>
      </c>
      <c r="V34" s="1558" t="s">
        <v>11</v>
      </c>
      <c r="W34" s="1559">
        <f t="shared" si="14"/>
        <v>100</v>
      </c>
      <c r="X34" s="1552"/>
      <c r="Y34" s="3467"/>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67"/>
      <c r="Q35" s="1557" t="str">
        <f t="shared" si="11"/>
        <v>建筑品质</v>
      </c>
      <c r="R35" s="1558" t="s">
        <v>11</v>
      </c>
      <c r="S35" s="1559">
        <f t="shared" si="12"/>
        <v>100</v>
      </c>
      <c r="T35" s="1558" t="s">
        <v>11</v>
      </c>
      <c r="U35" s="1559">
        <f t="shared" si="13"/>
        <v>100</v>
      </c>
      <c r="V35" s="1558" t="s">
        <v>11</v>
      </c>
      <c r="W35" s="1559">
        <f t="shared" si="14"/>
        <v>100</v>
      </c>
      <c r="X35" s="1552"/>
      <c r="Y35" s="3467"/>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67"/>
      <c r="Q36" s="1557" t="str">
        <f t="shared" si="11"/>
        <v>公共部分装修</v>
      </c>
      <c r="R36" s="1558" t="s">
        <v>11</v>
      </c>
      <c r="S36" s="1559">
        <f t="shared" si="12"/>
        <v>100</v>
      </c>
      <c r="T36" s="1558" t="s">
        <v>11</v>
      </c>
      <c r="U36" s="1559">
        <f t="shared" si="13"/>
        <v>100</v>
      </c>
      <c r="V36" s="1558" t="s">
        <v>11</v>
      </c>
      <c r="W36" s="1559">
        <f t="shared" si="14"/>
        <v>100</v>
      </c>
      <c r="X36" s="1552"/>
      <c r="Y36" s="3467"/>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67"/>
      <c r="Q37" s="1145" t="str">
        <f t="shared" si="11"/>
        <v>成新度</v>
      </c>
      <c r="R37" s="1553" t="s">
        <v>11</v>
      </c>
      <c r="S37" s="1554" t="e">
        <f t="shared" si="12"/>
        <v>#N/A</v>
      </c>
      <c r="T37" s="1553" t="s">
        <v>11</v>
      </c>
      <c r="U37" s="1554" t="e">
        <f t="shared" si="13"/>
        <v>#N/A</v>
      </c>
      <c r="V37" s="1553" t="s">
        <v>11</v>
      </c>
      <c r="W37" s="1554" t="e">
        <f t="shared" si="14"/>
        <v>#N/A</v>
      </c>
      <c r="X37" s="1555"/>
      <c r="Y37" s="3467"/>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67" t="s">
        <v>550</v>
      </c>
      <c r="Q38" s="1557" t="str">
        <f t="shared" si="11"/>
        <v>物业管理</v>
      </c>
      <c r="R38" s="1558" t="s">
        <v>11</v>
      </c>
      <c r="S38" s="1559">
        <f t="shared" si="12"/>
        <v>100</v>
      </c>
      <c r="T38" s="1558" t="s">
        <v>11</v>
      </c>
      <c r="U38" s="1559">
        <f t="shared" si="13"/>
        <v>100</v>
      </c>
      <c r="V38" s="1558" t="s">
        <v>11</v>
      </c>
      <c r="W38" s="1559">
        <f t="shared" si="14"/>
        <v>100</v>
      </c>
      <c r="X38" s="1552"/>
      <c r="Y38" s="3467"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67"/>
      <c r="Q39" s="1557" t="str">
        <f t="shared" si="11"/>
        <v>市政基础设施</v>
      </c>
      <c r="R39" s="1558" t="s">
        <v>11</v>
      </c>
      <c r="S39" s="1559">
        <f t="shared" si="12"/>
        <v>100</v>
      </c>
      <c r="T39" s="1558" t="s">
        <v>11</v>
      </c>
      <c r="U39" s="1559">
        <f t="shared" si="13"/>
        <v>100</v>
      </c>
      <c r="V39" s="1558" t="s">
        <v>11</v>
      </c>
      <c r="W39" s="1559">
        <f t="shared" si="14"/>
        <v>100</v>
      </c>
      <c r="X39" s="1552"/>
      <c r="Y39" s="3467"/>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67"/>
      <c r="Q40" s="1557" t="str">
        <f t="shared" si="11"/>
        <v>房型</v>
      </c>
      <c r="R40" s="1558" t="s">
        <v>11</v>
      </c>
      <c r="S40" s="1559">
        <f t="shared" si="12"/>
        <v>100</v>
      </c>
      <c r="T40" s="1558" t="s">
        <v>11</v>
      </c>
      <c r="U40" s="1559">
        <f t="shared" si="13"/>
        <v>100</v>
      </c>
      <c r="V40" s="1558" t="s">
        <v>11</v>
      </c>
      <c r="W40" s="1559">
        <f t="shared" si="14"/>
        <v>100</v>
      </c>
      <c r="X40" s="1552"/>
      <c r="Y40" s="3467"/>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67"/>
      <c r="Q41" s="1589" t="str">
        <f t="shared" si="11"/>
        <v>单套/主力户型建筑面积</v>
      </c>
      <c r="R41" s="1562" t="s">
        <v>11</v>
      </c>
      <c r="S41" s="1563">
        <f t="shared" si="12"/>
        <v>100</v>
      </c>
      <c r="T41" s="1562" t="s">
        <v>11</v>
      </c>
      <c r="U41" s="1563">
        <f t="shared" si="13"/>
        <v>100</v>
      </c>
      <c r="V41" s="1562" t="s">
        <v>11</v>
      </c>
      <c r="W41" s="1563">
        <f t="shared" si="14"/>
        <v>100</v>
      </c>
      <c r="X41" s="1564"/>
      <c r="Y41" s="3467"/>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67"/>
      <c r="Q42" s="1557" t="str">
        <f t="shared" si="11"/>
        <v>内部装修</v>
      </c>
      <c r="R42" s="1558" t="s">
        <v>11</v>
      </c>
      <c r="S42" s="1559">
        <f t="shared" si="12"/>
        <v>100</v>
      </c>
      <c r="T42" s="1558" t="s">
        <v>11</v>
      </c>
      <c r="U42" s="1559">
        <f t="shared" si="13"/>
        <v>100</v>
      </c>
      <c r="V42" s="1558" t="s">
        <v>11</v>
      </c>
      <c r="W42" s="1559">
        <f t="shared" si="14"/>
        <v>100</v>
      </c>
      <c r="X42" s="1552"/>
      <c r="Y42" s="3467"/>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67"/>
      <c r="Q43" s="1557" t="str">
        <f t="shared" si="11"/>
        <v>内部装修维护情况</v>
      </c>
      <c r="R43" s="1558" t="s">
        <v>11</v>
      </c>
      <c r="S43" s="1559">
        <f t="shared" si="12"/>
        <v>100</v>
      </c>
      <c r="T43" s="1558" t="s">
        <v>11</v>
      </c>
      <c r="U43" s="1559">
        <f t="shared" si="13"/>
        <v>100</v>
      </c>
      <c r="V43" s="1558" t="s">
        <v>11</v>
      </c>
      <c r="W43" s="1559">
        <f t="shared" si="14"/>
        <v>100</v>
      </c>
      <c r="X43" s="1552"/>
      <c r="Y43" s="3467"/>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67"/>
      <c r="Q44" s="1145">
        <f t="shared" si="11"/>
        <v>111</v>
      </c>
      <c r="R44" s="1553" t="s">
        <v>11</v>
      </c>
      <c r="S44" s="1554">
        <f t="shared" si="12"/>
        <v>100</v>
      </c>
      <c r="T44" s="1553" t="s">
        <v>11</v>
      </c>
      <c r="U44" s="1554">
        <f t="shared" si="13"/>
        <v>100</v>
      </c>
      <c r="V44" s="1553" t="s">
        <v>11</v>
      </c>
      <c r="W44" s="1554">
        <f t="shared" si="14"/>
        <v>100</v>
      </c>
      <c r="X44" s="1555"/>
      <c r="Y44" s="3467"/>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67"/>
      <c r="Q45" s="1557">
        <f t="shared" si="11"/>
        <v>111</v>
      </c>
      <c r="R45" s="1558" t="s">
        <v>11</v>
      </c>
      <c r="S45" s="1559">
        <f t="shared" si="12"/>
        <v>100</v>
      </c>
      <c r="T45" s="1558" t="s">
        <v>11</v>
      </c>
      <c r="U45" s="1559">
        <f t="shared" si="13"/>
        <v>100</v>
      </c>
      <c r="V45" s="1558" t="s">
        <v>11</v>
      </c>
      <c r="W45" s="1559">
        <f t="shared" si="14"/>
        <v>100</v>
      </c>
      <c r="X45" s="1552"/>
      <c r="Y45" s="3467"/>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32"/>
      <c r="Q46" s="1557">
        <f t="shared" si="11"/>
        <v>111</v>
      </c>
      <c r="R46" s="1558" t="s">
        <v>10</v>
      </c>
      <c r="S46" s="1559">
        <f t="shared" si="12"/>
        <v>100</v>
      </c>
      <c r="T46" s="1558" t="s">
        <v>10</v>
      </c>
      <c r="U46" s="1559">
        <f t="shared" si="13"/>
        <v>100</v>
      </c>
      <c r="V46" s="1558" t="s">
        <v>10</v>
      </c>
      <c r="W46" s="1559">
        <f t="shared" si="14"/>
        <v>100</v>
      </c>
      <c r="X46" s="1552"/>
      <c r="Y46" s="3532"/>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62" t="str">
        <f>A47</f>
        <v>成交单价（元/平方米）</v>
      </c>
      <c r="Q47" s="3462"/>
      <c r="R47" s="3531">
        <f>E47</f>
        <v>0</v>
      </c>
      <c r="S47" s="3531"/>
      <c r="T47" s="3531">
        <f>G47</f>
        <v>0</v>
      </c>
      <c r="U47" s="3531"/>
      <c r="V47" s="3531">
        <f>I47</f>
        <v>0</v>
      </c>
      <c r="W47" s="3531"/>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62" t="str">
        <f>A48</f>
        <v>比较价格（元/平方米）</v>
      </c>
      <c r="Q48" s="3462"/>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83" t="str">
        <f>A49</f>
        <v>估价对象XX用房的比较价格（楼面单价，元/平方米）</v>
      </c>
      <c r="Q49" s="3484"/>
      <c r="R49" s="3530" t="e">
        <f>IF(F1="售价",ROUND(AVERAGE(R48:V48),0),ROUND(AVERAGE(R48:V48),1))</f>
        <v>#DIV/0!</v>
      </c>
      <c r="S49" s="3530"/>
      <c r="T49" s="3530"/>
      <c r="U49" s="3530"/>
      <c r="V49" s="3530"/>
      <c r="W49" s="353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68" t="s">
        <v>522</v>
      </c>
      <c r="D4" s="3469"/>
      <c r="E4" s="3492" t="s">
        <v>523</v>
      </c>
      <c r="F4" s="3493"/>
      <c r="G4" s="3468" t="s">
        <v>524</v>
      </c>
      <c r="H4" s="3469"/>
      <c r="I4" s="3468" t="s">
        <v>525</v>
      </c>
      <c r="J4" s="3469"/>
      <c r="K4" s="514" t="s">
        <v>526</v>
      </c>
      <c r="L4" s="2117"/>
      <c r="M4" s="2118"/>
      <c r="N4" s="2118"/>
      <c r="O4" s="2118"/>
      <c r="P4" s="3470" t="s">
        <v>527</v>
      </c>
      <c r="Q4" s="3471"/>
      <c r="R4" s="3456" t="s">
        <v>523</v>
      </c>
      <c r="S4" s="3457"/>
      <c r="T4" s="3456" t="s">
        <v>524</v>
      </c>
      <c r="U4" s="3457"/>
      <c r="V4" s="3476" t="s">
        <v>525</v>
      </c>
      <c r="W4" s="3476"/>
      <c r="X4" s="1552"/>
      <c r="Y4" s="3456" t="s">
        <v>527</v>
      </c>
      <c r="Z4" s="3457"/>
      <c r="AA4" s="3451" t="s">
        <v>523</v>
      </c>
      <c r="AB4" s="3476" t="s">
        <v>524</v>
      </c>
      <c r="AC4" s="3451" t="s">
        <v>525</v>
      </c>
    </row>
    <row r="5" spans="1:29" ht="15">
      <c r="A5" s="515"/>
      <c r="B5" s="516"/>
      <c r="C5" s="3479" t="s">
        <v>2923</v>
      </c>
      <c r="D5" s="3480"/>
      <c r="E5" s="3494" t="s">
        <v>2924</v>
      </c>
      <c r="F5" s="3495"/>
      <c r="G5" s="3479" t="s">
        <v>2925</v>
      </c>
      <c r="H5" s="3480"/>
      <c r="I5" s="3479" t="s">
        <v>2926</v>
      </c>
      <c r="J5" s="3480"/>
      <c r="K5" s="514"/>
      <c r="L5" s="2117"/>
      <c r="M5" s="2118"/>
      <c r="N5" s="2118"/>
      <c r="O5" s="2118"/>
      <c r="P5" s="3472"/>
      <c r="Q5" s="3473"/>
      <c r="R5" s="3458"/>
      <c r="S5" s="3459"/>
      <c r="T5" s="3458"/>
      <c r="U5" s="3459"/>
      <c r="V5" s="3476"/>
      <c r="W5" s="3476"/>
      <c r="X5" s="1552"/>
      <c r="Y5" s="3458"/>
      <c r="Z5" s="3459"/>
      <c r="AA5" s="3452"/>
      <c r="AB5" s="3476"/>
      <c r="AC5" s="3452"/>
    </row>
    <row r="6" spans="1:29" ht="15.75" thickBot="1">
      <c r="A6" s="517"/>
      <c r="B6" s="518"/>
      <c r="C6" s="3477" t="s">
        <v>2927</v>
      </c>
      <c r="D6" s="3478"/>
      <c r="E6" s="3496" t="s">
        <v>2927</v>
      </c>
      <c r="F6" s="3497"/>
      <c r="G6" s="3477" t="s">
        <v>2927</v>
      </c>
      <c r="H6" s="3478"/>
      <c r="I6" s="3477" t="s">
        <v>2927</v>
      </c>
      <c r="J6" s="3478"/>
      <c r="K6" s="514" t="s">
        <v>528</v>
      </c>
      <c r="L6" s="2117"/>
      <c r="M6" s="2118"/>
      <c r="N6" s="2118"/>
      <c r="O6" s="2118"/>
      <c r="P6" s="3474"/>
      <c r="Q6" s="3475"/>
      <c r="R6" s="3458"/>
      <c r="S6" s="3459"/>
      <c r="T6" s="3460"/>
      <c r="U6" s="3461"/>
      <c r="V6" s="3476"/>
      <c r="W6" s="3476"/>
      <c r="X6" s="1552"/>
      <c r="Y6" s="3460"/>
      <c r="Z6" s="3461"/>
      <c r="AA6" s="3453"/>
      <c r="AB6" s="3476"/>
      <c r="AC6" s="3453"/>
    </row>
    <row r="7" spans="1:29" s="1214" customFormat="1" ht="15.75" thickBot="1">
      <c r="A7" s="2866"/>
      <c r="B7" s="2873" t="s">
        <v>529</v>
      </c>
      <c r="C7" s="519">
        <f>'数据-取费表'!B2</f>
        <v>44010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54" t="s">
        <v>530</v>
      </c>
      <c r="Q7" s="3463"/>
      <c r="R7" s="1553" t="s">
        <v>8</v>
      </c>
      <c r="S7" s="1554">
        <f t="shared" ref="S7:S15" si="0">F7</f>
        <v>0</v>
      </c>
      <c r="T7" s="1553" t="s">
        <v>8</v>
      </c>
      <c r="U7" s="1554">
        <f t="shared" ref="U7:U15" si="1">H7</f>
        <v>0</v>
      </c>
      <c r="V7" s="1553" t="s">
        <v>8</v>
      </c>
      <c r="W7" s="1554">
        <f t="shared" ref="W7:W15" si="2">J7</f>
        <v>0</v>
      </c>
      <c r="X7" s="1555"/>
      <c r="Y7" s="3454" t="s">
        <v>530</v>
      </c>
      <c r="Z7" s="3455"/>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54" t="s">
        <v>533</v>
      </c>
      <c r="Q8" s="3455"/>
      <c r="R8" s="1553" t="s">
        <v>8</v>
      </c>
      <c r="S8" s="1554">
        <f t="shared" si="0"/>
        <v>0</v>
      </c>
      <c r="T8" s="1553" t="s">
        <v>8</v>
      </c>
      <c r="U8" s="1554">
        <f t="shared" si="1"/>
        <v>0</v>
      </c>
      <c r="V8" s="1553" t="s">
        <v>8</v>
      </c>
      <c r="W8" s="1554">
        <f t="shared" si="2"/>
        <v>0</v>
      </c>
      <c r="X8" s="1555"/>
      <c r="Y8" s="3454" t="s">
        <v>533</v>
      </c>
      <c r="Z8" s="3455"/>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62" t="s">
        <v>535</v>
      </c>
      <c r="Q9" s="1145" t="str">
        <f t="shared" ref="Q9:Q15" si="6">B9</f>
        <v>用途</v>
      </c>
      <c r="R9" s="1553" t="s">
        <v>8</v>
      </c>
      <c r="S9" s="1554">
        <f t="shared" si="0"/>
        <v>100</v>
      </c>
      <c r="T9" s="1553" t="s">
        <v>8</v>
      </c>
      <c r="U9" s="1554">
        <f t="shared" si="1"/>
        <v>100</v>
      </c>
      <c r="V9" s="1553" t="s">
        <v>8</v>
      </c>
      <c r="W9" s="1554">
        <f t="shared" si="2"/>
        <v>100</v>
      </c>
      <c r="X9" s="1555"/>
      <c r="Y9" s="3387"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62"/>
      <c r="Q10" s="1145" t="str">
        <f t="shared" si="6"/>
        <v>土地使用年限（年）</v>
      </c>
      <c r="R10" s="1553" t="s">
        <v>8</v>
      </c>
      <c r="S10" s="1554">
        <f t="shared" si="0"/>
        <v>100</v>
      </c>
      <c r="T10" s="1553" t="s">
        <v>8</v>
      </c>
      <c r="U10" s="1554">
        <f t="shared" si="1"/>
        <v>100</v>
      </c>
      <c r="V10" s="1553" t="s">
        <v>8</v>
      </c>
      <c r="W10" s="1554">
        <f t="shared" si="2"/>
        <v>100</v>
      </c>
      <c r="X10" s="1555"/>
      <c r="Y10" s="3387"/>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62"/>
      <c r="Q11" s="1145" t="str">
        <f t="shared" si="6"/>
        <v>容积率</v>
      </c>
      <c r="R11" s="1553" t="s">
        <v>8</v>
      </c>
      <c r="S11" s="1554" t="e">
        <f t="shared" si="0"/>
        <v>#N/A</v>
      </c>
      <c r="T11" s="1553" t="s">
        <v>8</v>
      </c>
      <c r="U11" s="1554" t="e">
        <f t="shared" si="1"/>
        <v>#N/A</v>
      </c>
      <c r="V11" s="1553" t="s">
        <v>8</v>
      </c>
      <c r="W11" s="1554" t="e">
        <f t="shared" si="2"/>
        <v>#N/A</v>
      </c>
      <c r="X11" s="1555"/>
      <c r="Y11" s="3387"/>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62"/>
      <c r="Q12" s="1145">
        <f t="shared" si="6"/>
        <v>111</v>
      </c>
      <c r="R12" s="1553" t="s">
        <v>8</v>
      </c>
      <c r="S12" s="1554">
        <f t="shared" si="0"/>
        <v>100</v>
      </c>
      <c r="T12" s="1553" t="s">
        <v>8</v>
      </c>
      <c r="U12" s="1554">
        <f t="shared" si="1"/>
        <v>100</v>
      </c>
      <c r="V12" s="1553" t="s">
        <v>8</v>
      </c>
      <c r="W12" s="1554">
        <f t="shared" si="2"/>
        <v>100</v>
      </c>
      <c r="X12" s="1555"/>
      <c r="Y12" s="3387"/>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62"/>
      <c r="Q13" s="1145">
        <f t="shared" si="6"/>
        <v>111</v>
      </c>
      <c r="R13" s="1553" t="s">
        <v>8</v>
      </c>
      <c r="S13" s="1554">
        <f t="shared" si="0"/>
        <v>100</v>
      </c>
      <c r="T13" s="1553" t="s">
        <v>8</v>
      </c>
      <c r="U13" s="1554">
        <f t="shared" si="1"/>
        <v>100</v>
      </c>
      <c r="V13" s="1553" t="s">
        <v>8</v>
      </c>
      <c r="W13" s="1554">
        <f t="shared" si="2"/>
        <v>100</v>
      </c>
      <c r="X13" s="1555"/>
      <c r="Y13" s="3387"/>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62"/>
      <c r="Q14" s="1145">
        <f t="shared" si="6"/>
        <v>111</v>
      </c>
      <c r="R14" s="1553" t="s">
        <v>8</v>
      </c>
      <c r="S14" s="1554">
        <f t="shared" si="0"/>
        <v>100</v>
      </c>
      <c r="T14" s="1553" t="s">
        <v>8</v>
      </c>
      <c r="U14" s="1554">
        <f t="shared" si="1"/>
        <v>100</v>
      </c>
      <c r="V14" s="1553" t="s">
        <v>8</v>
      </c>
      <c r="W14" s="1554">
        <f t="shared" si="2"/>
        <v>100</v>
      </c>
      <c r="X14" s="1555"/>
      <c r="Y14" s="3387"/>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64" t="s">
        <v>540</v>
      </c>
      <c r="Q15" s="1557" t="str">
        <f t="shared" si="6"/>
        <v>商业繁华度</v>
      </c>
      <c r="R15" s="1558" t="s">
        <v>8</v>
      </c>
      <c r="S15" s="1559">
        <f t="shared" si="0"/>
        <v>100</v>
      </c>
      <c r="T15" s="1558" t="s">
        <v>8</v>
      </c>
      <c r="U15" s="1559">
        <f t="shared" si="1"/>
        <v>100</v>
      </c>
      <c r="V15" s="1558" t="s">
        <v>8</v>
      </c>
      <c r="W15" s="1559">
        <f t="shared" si="2"/>
        <v>100</v>
      </c>
      <c r="X15" s="1552"/>
      <c r="Y15" s="3464"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65"/>
      <c r="Q16" s="1557"/>
      <c r="R16" s="1558"/>
      <c r="S16" s="1559"/>
      <c r="T16" s="1558"/>
      <c r="U16" s="1559"/>
      <c r="V16" s="1558"/>
      <c r="W16" s="1559"/>
      <c r="X16" s="1552"/>
      <c r="Y16" s="3465"/>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65"/>
      <c r="Q17" s="1557" t="str">
        <f>B17</f>
        <v>交通便捷度</v>
      </c>
      <c r="R17" s="1558" t="s">
        <v>8</v>
      </c>
      <c r="S17" s="1559">
        <f>F17</f>
        <v>100</v>
      </c>
      <c r="T17" s="1558" t="s">
        <v>8</v>
      </c>
      <c r="U17" s="1559">
        <f>H17</f>
        <v>100</v>
      </c>
      <c r="V17" s="1558" t="s">
        <v>8</v>
      </c>
      <c r="W17" s="1559">
        <f>J17</f>
        <v>100</v>
      </c>
      <c r="X17" s="1552"/>
      <c r="Y17" s="3465"/>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65"/>
      <c r="Q18" s="1557"/>
      <c r="R18" s="1558"/>
      <c r="S18" s="1559"/>
      <c r="T18" s="1558"/>
      <c r="U18" s="1559"/>
      <c r="V18" s="1558"/>
      <c r="W18" s="1559"/>
      <c r="X18" s="1552"/>
      <c r="Y18" s="3465"/>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65"/>
      <c r="Q19" s="1557" t="str">
        <f>B19</f>
        <v>公共配套设施</v>
      </c>
      <c r="R19" s="1558" t="s">
        <v>8</v>
      </c>
      <c r="S19" s="1559">
        <f>F19</f>
        <v>100</v>
      </c>
      <c r="T19" s="1558" t="s">
        <v>8</v>
      </c>
      <c r="U19" s="1559">
        <f>H19</f>
        <v>100</v>
      </c>
      <c r="V19" s="1558" t="s">
        <v>8</v>
      </c>
      <c r="W19" s="1559">
        <f>J19</f>
        <v>100</v>
      </c>
      <c r="X19" s="1552"/>
      <c r="Y19" s="346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65"/>
      <c r="Q20" s="1557"/>
      <c r="R20" s="1558"/>
      <c r="S20" s="1559"/>
      <c r="T20" s="1558"/>
      <c r="U20" s="1559"/>
      <c r="V20" s="1558"/>
      <c r="W20" s="1559"/>
      <c r="X20" s="1552"/>
      <c r="Y20" s="3465"/>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65"/>
      <c r="Q21" s="2542" t="str">
        <f>B21</f>
        <v>基础设施水平</v>
      </c>
      <c r="R21" s="1558" t="s">
        <v>8</v>
      </c>
      <c r="S21" s="1559">
        <f>F21</f>
        <v>100</v>
      </c>
      <c r="T21" s="1558" t="s">
        <v>8</v>
      </c>
      <c r="U21" s="1559">
        <f>H21</f>
        <v>100</v>
      </c>
      <c r="V21" s="1558" t="s">
        <v>8</v>
      </c>
      <c r="W21" s="1559">
        <f>J21</f>
        <v>100</v>
      </c>
      <c r="X21" s="2544"/>
      <c r="Y21" s="3465"/>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65"/>
      <c r="Q22" s="2542"/>
      <c r="R22" s="1558"/>
      <c r="S22" s="1559"/>
      <c r="T22" s="1558"/>
      <c r="U22" s="1559"/>
      <c r="V22" s="1558"/>
      <c r="W22" s="1559"/>
      <c r="X22" s="2544"/>
      <c r="Y22" s="3465"/>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65"/>
      <c r="Q23" s="1557" t="str">
        <f>B23</f>
        <v>自然及人文环境</v>
      </c>
      <c r="R23" s="1558" t="s">
        <v>8</v>
      </c>
      <c r="S23" s="1559">
        <f>F23</f>
        <v>100</v>
      </c>
      <c r="T23" s="1558" t="s">
        <v>8</v>
      </c>
      <c r="U23" s="1559">
        <f>H23</f>
        <v>100</v>
      </c>
      <c r="V23" s="1558" t="s">
        <v>8</v>
      </c>
      <c r="W23" s="1559">
        <f>J23</f>
        <v>100</v>
      </c>
      <c r="X23" s="1552"/>
      <c r="Y23" s="346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65"/>
      <c r="Q24" s="1557"/>
      <c r="R24" s="1558"/>
      <c r="S24" s="1559"/>
      <c r="T24" s="1558"/>
      <c r="U24" s="1559"/>
      <c r="V24" s="1558"/>
      <c r="W24" s="1559"/>
      <c r="X24" s="1552"/>
      <c r="Y24" s="346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65"/>
      <c r="Q25" s="1557" t="str">
        <f t="shared" ref="Q25:Q46" si="11">B25</f>
        <v>临街状况</v>
      </c>
      <c r="R25" s="1558" t="s">
        <v>8</v>
      </c>
      <c r="S25" s="1559">
        <f>F25</f>
        <v>100</v>
      </c>
      <c r="T25" s="1558" t="s">
        <v>8</v>
      </c>
      <c r="U25" s="1559">
        <f>H25</f>
        <v>100</v>
      </c>
      <c r="V25" s="1558" t="s">
        <v>8</v>
      </c>
      <c r="W25" s="1559">
        <f>J25</f>
        <v>100</v>
      </c>
      <c r="X25" s="1552"/>
      <c r="Y25" s="3465"/>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65"/>
      <c r="Q26" s="1557" t="str">
        <f t="shared" si="11"/>
        <v>平面位置/可视性</v>
      </c>
      <c r="R26" s="1558" t="s">
        <v>8</v>
      </c>
      <c r="S26" s="1559">
        <f>F26</f>
        <v>100</v>
      </c>
      <c r="T26" s="1558" t="s">
        <v>8</v>
      </c>
      <c r="U26" s="1559">
        <f>H26</f>
        <v>100</v>
      </c>
      <c r="V26" s="1558" t="s">
        <v>8</v>
      </c>
      <c r="W26" s="1559">
        <f>J26</f>
        <v>100</v>
      </c>
      <c r="X26" s="1552"/>
      <c r="Y26" s="3465"/>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65"/>
      <c r="Q27" s="1145" t="str">
        <f t="shared" si="11"/>
        <v>人流量</v>
      </c>
      <c r="R27" s="1553" t="s">
        <v>8</v>
      </c>
      <c r="S27" s="1554">
        <f>F27</f>
        <v>100</v>
      </c>
      <c r="T27" s="1553" t="s">
        <v>8</v>
      </c>
      <c r="U27" s="1554">
        <f>H27</f>
        <v>100</v>
      </c>
      <c r="V27" s="1553" t="s">
        <v>8</v>
      </c>
      <c r="W27" s="1554">
        <f>J27</f>
        <v>100</v>
      </c>
      <c r="X27" s="1555"/>
      <c r="Y27" s="3465"/>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6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65"/>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65"/>
      <c r="Q29" s="1557">
        <f t="shared" si="11"/>
        <v>111</v>
      </c>
      <c r="R29" s="1558" t="s">
        <v>8</v>
      </c>
      <c r="S29" s="1559">
        <f t="shared" si="12"/>
        <v>100</v>
      </c>
      <c r="T29" s="1558" t="s">
        <v>8</v>
      </c>
      <c r="U29" s="1559">
        <f t="shared" si="13"/>
        <v>100</v>
      </c>
      <c r="V29" s="1558" t="s">
        <v>8</v>
      </c>
      <c r="W29" s="1559">
        <f t="shared" si="14"/>
        <v>100</v>
      </c>
      <c r="X29" s="1552"/>
      <c r="Y29" s="3465"/>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65"/>
      <c r="Q30" s="1557">
        <f t="shared" si="11"/>
        <v>111</v>
      </c>
      <c r="R30" s="1558" t="s">
        <v>8</v>
      </c>
      <c r="S30" s="1559">
        <f t="shared" si="12"/>
        <v>100</v>
      </c>
      <c r="T30" s="1558" t="s">
        <v>8</v>
      </c>
      <c r="U30" s="1559">
        <f t="shared" si="13"/>
        <v>100</v>
      </c>
      <c r="V30" s="1558" t="s">
        <v>8</v>
      </c>
      <c r="W30" s="1559">
        <f t="shared" si="14"/>
        <v>100</v>
      </c>
      <c r="X30" s="1552"/>
      <c r="Y30" s="3465"/>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65"/>
      <c r="Q31" s="1557">
        <f t="shared" si="11"/>
        <v>111</v>
      </c>
      <c r="R31" s="1558" t="s">
        <v>8</v>
      </c>
      <c r="S31" s="1559">
        <f t="shared" si="12"/>
        <v>100</v>
      </c>
      <c r="T31" s="1558" t="s">
        <v>8</v>
      </c>
      <c r="U31" s="1559">
        <f t="shared" si="13"/>
        <v>100</v>
      </c>
      <c r="V31" s="1558" t="s">
        <v>8</v>
      </c>
      <c r="W31" s="1559">
        <f t="shared" si="14"/>
        <v>100</v>
      </c>
      <c r="X31" s="1552"/>
      <c r="Y31" s="3465"/>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66" t="s">
        <v>550</v>
      </c>
      <c r="Q32" s="1557" t="str">
        <f t="shared" si="11"/>
        <v>商业类型</v>
      </c>
      <c r="R32" s="1558" t="s">
        <v>8</v>
      </c>
      <c r="S32" s="1559">
        <f t="shared" si="12"/>
        <v>100</v>
      </c>
      <c r="T32" s="1558" t="s">
        <v>8</v>
      </c>
      <c r="U32" s="1559">
        <f t="shared" si="13"/>
        <v>100</v>
      </c>
      <c r="V32" s="1558" t="s">
        <v>8</v>
      </c>
      <c r="W32" s="1559">
        <f t="shared" si="14"/>
        <v>100</v>
      </c>
      <c r="X32" s="1552"/>
      <c r="Y32" s="3467"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67"/>
      <c r="Q33" s="1589" t="str">
        <f t="shared" si="11"/>
        <v>项目建筑规模</v>
      </c>
      <c r="R33" s="1562" t="s">
        <v>8</v>
      </c>
      <c r="S33" s="1563" t="e">
        <f t="shared" si="12"/>
        <v>#N/A</v>
      </c>
      <c r="T33" s="1562" t="s">
        <v>8</v>
      </c>
      <c r="U33" s="1563" t="e">
        <f t="shared" si="13"/>
        <v>#N/A</v>
      </c>
      <c r="V33" s="1562" t="s">
        <v>8</v>
      </c>
      <c r="W33" s="1563" t="e">
        <f t="shared" si="14"/>
        <v>#N/A</v>
      </c>
      <c r="X33" s="1564"/>
      <c r="Y33" s="3467"/>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67"/>
      <c r="Q34" s="1557" t="str">
        <f t="shared" si="11"/>
        <v>建筑结构</v>
      </c>
      <c r="R34" s="1558" t="s">
        <v>8</v>
      </c>
      <c r="S34" s="1559">
        <f t="shared" si="12"/>
        <v>100</v>
      </c>
      <c r="T34" s="1558" t="s">
        <v>8</v>
      </c>
      <c r="U34" s="1559">
        <f t="shared" si="13"/>
        <v>100</v>
      </c>
      <c r="V34" s="1558" t="s">
        <v>8</v>
      </c>
      <c r="W34" s="1559">
        <f t="shared" si="14"/>
        <v>100</v>
      </c>
      <c r="X34" s="1552"/>
      <c r="Y34" s="3467"/>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67"/>
      <c r="Q35" s="1557" t="str">
        <f t="shared" si="11"/>
        <v>公共部分装修</v>
      </c>
      <c r="R35" s="1558" t="s">
        <v>8</v>
      </c>
      <c r="S35" s="1559">
        <f t="shared" si="12"/>
        <v>100</v>
      </c>
      <c r="T35" s="1558" t="s">
        <v>8</v>
      </c>
      <c r="U35" s="1559">
        <f t="shared" si="13"/>
        <v>100</v>
      </c>
      <c r="V35" s="1558" t="s">
        <v>8</v>
      </c>
      <c r="W35" s="1559">
        <f t="shared" si="14"/>
        <v>100</v>
      </c>
      <c r="X35" s="1552"/>
      <c r="Y35" s="3467"/>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67"/>
      <c r="Q36" s="1557" t="str">
        <f t="shared" si="11"/>
        <v>成新度</v>
      </c>
      <c r="R36" s="1558" t="s">
        <v>8</v>
      </c>
      <c r="S36" s="1559" t="e">
        <f t="shared" si="12"/>
        <v>#N/A</v>
      </c>
      <c r="T36" s="1558" t="s">
        <v>8</v>
      </c>
      <c r="U36" s="1559" t="e">
        <f t="shared" si="13"/>
        <v>#N/A</v>
      </c>
      <c r="V36" s="1558" t="s">
        <v>8</v>
      </c>
      <c r="W36" s="1559" t="e">
        <f t="shared" si="14"/>
        <v>#N/A</v>
      </c>
      <c r="X36" s="1552"/>
      <c r="Y36" s="3467"/>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67"/>
      <c r="Q37" s="1145" t="str">
        <f t="shared" si="11"/>
        <v>市政基础设施</v>
      </c>
      <c r="R37" s="1553" t="s">
        <v>8</v>
      </c>
      <c r="S37" s="1554">
        <f t="shared" si="12"/>
        <v>100</v>
      </c>
      <c r="T37" s="1553" t="s">
        <v>8</v>
      </c>
      <c r="U37" s="1554">
        <f t="shared" si="13"/>
        <v>100</v>
      </c>
      <c r="V37" s="1553" t="s">
        <v>8</v>
      </c>
      <c r="W37" s="1554">
        <f t="shared" si="14"/>
        <v>100</v>
      </c>
      <c r="X37" s="1555"/>
      <c r="Y37" s="3467"/>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67" t="s">
        <v>766</v>
      </c>
      <c r="Q38" s="1557" t="str">
        <f t="shared" si="11"/>
        <v>业态</v>
      </c>
      <c r="R38" s="1558" t="s">
        <v>8</v>
      </c>
      <c r="S38" s="1559">
        <f t="shared" si="12"/>
        <v>100</v>
      </c>
      <c r="T38" s="1558" t="s">
        <v>8</v>
      </c>
      <c r="U38" s="1559">
        <f t="shared" si="13"/>
        <v>100</v>
      </c>
      <c r="V38" s="1558" t="s">
        <v>8</v>
      </c>
      <c r="W38" s="1559">
        <f t="shared" si="14"/>
        <v>100</v>
      </c>
      <c r="X38" s="1552"/>
      <c r="Y38" s="3467"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7"/>
      <c r="Q39" s="1557" t="str">
        <f t="shared" si="11"/>
        <v>层高</v>
      </c>
      <c r="R39" s="1558" t="s">
        <v>8</v>
      </c>
      <c r="S39" s="1559">
        <f t="shared" si="12"/>
        <v>100</v>
      </c>
      <c r="T39" s="1558" t="s">
        <v>8</v>
      </c>
      <c r="U39" s="1559">
        <f t="shared" si="13"/>
        <v>100</v>
      </c>
      <c r="V39" s="1558" t="s">
        <v>8</v>
      </c>
      <c r="W39" s="1559">
        <f t="shared" si="14"/>
        <v>100</v>
      </c>
      <c r="X39" s="1552"/>
      <c r="Y39" s="3467"/>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67"/>
      <c r="Q40" s="1557" t="str">
        <f t="shared" si="11"/>
        <v>单套建筑面积</v>
      </c>
      <c r="R40" s="1558" t="s">
        <v>8</v>
      </c>
      <c r="S40" s="1559">
        <f t="shared" si="12"/>
        <v>100</v>
      </c>
      <c r="T40" s="1558" t="s">
        <v>8</v>
      </c>
      <c r="U40" s="1559">
        <f t="shared" si="13"/>
        <v>100</v>
      </c>
      <c r="V40" s="1558" t="s">
        <v>8</v>
      </c>
      <c r="W40" s="1559">
        <f t="shared" si="14"/>
        <v>100</v>
      </c>
      <c r="X40" s="1552"/>
      <c r="Y40" s="3467"/>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67"/>
      <c r="Q41" s="1589" t="str">
        <f t="shared" si="11"/>
        <v>进深比</v>
      </c>
      <c r="R41" s="1562" t="s">
        <v>8</v>
      </c>
      <c r="S41" s="1563">
        <f t="shared" si="12"/>
        <v>100</v>
      </c>
      <c r="T41" s="1562" t="s">
        <v>8</v>
      </c>
      <c r="U41" s="1563">
        <f t="shared" si="13"/>
        <v>100</v>
      </c>
      <c r="V41" s="1562" t="s">
        <v>8</v>
      </c>
      <c r="W41" s="1563">
        <f t="shared" si="14"/>
        <v>100</v>
      </c>
      <c r="X41" s="1564"/>
      <c r="Y41" s="3467"/>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67"/>
      <c r="Q42" s="1557" t="str">
        <f t="shared" si="11"/>
        <v>内部装修</v>
      </c>
      <c r="R42" s="1558" t="s">
        <v>8</v>
      </c>
      <c r="S42" s="1559">
        <f t="shared" si="12"/>
        <v>100</v>
      </c>
      <c r="T42" s="1558" t="s">
        <v>8</v>
      </c>
      <c r="U42" s="1559">
        <f t="shared" si="13"/>
        <v>100</v>
      </c>
      <c r="V42" s="1558" t="s">
        <v>8</v>
      </c>
      <c r="W42" s="1559">
        <f t="shared" si="14"/>
        <v>100</v>
      </c>
      <c r="X42" s="1552"/>
      <c r="Y42" s="3467"/>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67"/>
      <c r="Q43" s="1557" t="str">
        <f t="shared" si="11"/>
        <v>内部装修维护情况</v>
      </c>
      <c r="R43" s="1558" t="s">
        <v>8</v>
      </c>
      <c r="S43" s="1559">
        <f t="shared" si="12"/>
        <v>100</v>
      </c>
      <c r="T43" s="1558" t="s">
        <v>8</v>
      </c>
      <c r="U43" s="1559">
        <f t="shared" si="13"/>
        <v>100</v>
      </c>
      <c r="V43" s="1558" t="s">
        <v>8</v>
      </c>
      <c r="W43" s="1559">
        <f t="shared" si="14"/>
        <v>100</v>
      </c>
      <c r="X43" s="1552"/>
      <c r="Y43" s="3467"/>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67"/>
      <c r="Q44" s="1145">
        <f t="shared" si="11"/>
        <v>111</v>
      </c>
      <c r="R44" s="1553" t="s">
        <v>8</v>
      </c>
      <c r="S44" s="1554">
        <f t="shared" si="12"/>
        <v>100</v>
      </c>
      <c r="T44" s="1553" t="s">
        <v>8</v>
      </c>
      <c r="U44" s="1554">
        <f t="shared" si="13"/>
        <v>100</v>
      </c>
      <c r="V44" s="1553" t="s">
        <v>8</v>
      </c>
      <c r="W44" s="1554">
        <f t="shared" si="14"/>
        <v>100</v>
      </c>
      <c r="X44" s="1555"/>
      <c r="Y44" s="3467"/>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67"/>
      <c r="Q45" s="1557">
        <f t="shared" si="11"/>
        <v>111</v>
      </c>
      <c r="R45" s="1558" t="s">
        <v>8</v>
      </c>
      <c r="S45" s="1559">
        <f t="shared" si="12"/>
        <v>100</v>
      </c>
      <c r="T45" s="1558" t="s">
        <v>8</v>
      </c>
      <c r="U45" s="1559">
        <f t="shared" si="13"/>
        <v>100</v>
      </c>
      <c r="V45" s="1558" t="s">
        <v>8</v>
      </c>
      <c r="W45" s="1559">
        <f t="shared" si="14"/>
        <v>100</v>
      </c>
      <c r="X45" s="1552"/>
      <c r="Y45" s="3467"/>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32"/>
      <c r="Q46" s="1557">
        <f t="shared" si="11"/>
        <v>111</v>
      </c>
      <c r="R46" s="1558" t="s">
        <v>8</v>
      </c>
      <c r="S46" s="1559">
        <f t="shared" si="12"/>
        <v>100</v>
      </c>
      <c r="T46" s="1558" t="s">
        <v>8</v>
      </c>
      <c r="U46" s="1559">
        <f t="shared" si="13"/>
        <v>100</v>
      </c>
      <c r="V46" s="1558" t="s">
        <v>8</v>
      </c>
      <c r="W46" s="1559">
        <f t="shared" si="14"/>
        <v>100</v>
      </c>
      <c r="X46" s="1552"/>
      <c r="Y46" s="3532"/>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62" t="str">
        <f>A47</f>
        <v>成交单价（元/平方米）</v>
      </c>
      <c r="Q47" s="3462"/>
      <c r="R47" s="3531">
        <f>E47</f>
        <v>0</v>
      </c>
      <c r="S47" s="3531"/>
      <c r="T47" s="3531">
        <f>G47</f>
        <v>0</v>
      </c>
      <c r="U47" s="3531"/>
      <c r="V47" s="3531">
        <f>I47</f>
        <v>0</v>
      </c>
      <c r="W47" s="3531"/>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62" t="str">
        <f>A48</f>
        <v>比较价格（元/平方米）</v>
      </c>
      <c r="Q48" s="3462"/>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83" t="str">
        <f>A49</f>
        <v>估价对象XX用房的比较价格（楼面单价，元/平方米）</v>
      </c>
      <c r="Q49" s="3484"/>
      <c r="R49" s="3530" t="e">
        <f>IF(F1="售价",ROUND(AVERAGE(R48:V48),0),ROUND(AVERAGE(R48:V48),1))</f>
        <v>#DIV/0!</v>
      </c>
      <c r="S49" s="3530"/>
      <c r="T49" s="3530"/>
      <c r="U49" s="3530"/>
      <c r="V49" s="3530"/>
      <c r="W49" s="353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68" t="s">
        <v>522</v>
      </c>
      <c r="D4" s="3469"/>
      <c r="E4" s="3492" t="s">
        <v>523</v>
      </c>
      <c r="F4" s="3493"/>
      <c r="G4" s="3468" t="s">
        <v>524</v>
      </c>
      <c r="H4" s="3469"/>
      <c r="I4" s="3468" t="s">
        <v>525</v>
      </c>
      <c r="J4" s="3469"/>
      <c r="K4" s="514" t="s">
        <v>526</v>
      </c>
      <c r="L4" s="2117"/>
      <c r="M4" s="2118"/>
      <c r="N4" s="2118"/>
      <c r="O4" s="2118"/>
      <c r="P4" s="3533" t="s">
        <v>527</v>
      </c>
      <c r="Q4" s="3471"/>
      <c r="R4" s="3456" t="s">
        <v>523</v>
      </c>
      <c r="S4" s="3457"/>
      <c r="T4" s="3456" t="s">
        <v>524</v>
      </c>
      <c r="U4" s="3457"/>
      <c r="V4" s="3476" t="s">
        <v>525</v>
      </c>
      <c r="W4" s="3476"/>
      <c r="X4" s="1552"/>
      <c r="Y4" s="3456" t="s">
        <v>527</v>
      </c>
      <c r="Z4" s="3457"/>
      <c r="AA4" s="3451" t="s">
        <v>523</v>
      </c>
      <c r="AB4" s="3451" t="s">
        <v>524</v>
      </c>
      <c r="AC4" s="3451" t="s">
        <v>525</v>
      </c>
    </row>
    <row r="5" spans="1:29" ht="15">
      <c r="A5" s="515"/>
      <c r="B5" s="516"/>
      <c r="C5" s="3479" t="s">
        <v>2923</v>
      </c>
      <c r="D5" s="3480"/>
      <c r="E5" s="3494" t="s">
        <v>2924</v>
      </c>
      <c r="F5" s="3495"/>
      <c r="G5" s="3479" t="s">
        <v>2925</v>
      </c>
      <c r="H5" s="3480"/>
      <c r="I5" s="3479" t="s">
        <v>2926</v>
      </c>
      <c r="J5" s="3480"/>
      <c r="K5" s="514"/>
      <c r="L5" s="2117"/>
      <c r="M5" s="2118"/>
      <c r="N5" s="2118"/>
      <c r="O5" s="2118"/>
      <c r="P5" s="3534"/>
      <c r="Q5" s="3473"/>
      <c r="R5" s="3458"/>
      <c r="S5" s="3459"/>
      <c r="T5" s="3458"/>
      <c r="U5" s="3459"/>
      <c r="V5" s="3476"/>
      <c r="W5" s="3476"/>
      <c r="X5" s="1552"/>
      <c r="Y5" s="3458"/>
      <c r="Z5" s="3459"/>
      <c r="AA5" s="3452"/>
      <c r="AB5" s="3452"/>
      <c r="AC5" s="3452"/>
    </row>
    <row r="6" spans="1:29" ht="15.75" thickBot="1">
      <c r="A6" s="517"/>
      <c r="B6" s="518"/>
      <c r="C6" s="3477" t="s">
        <v>2927</v>
      </c>
      <c r="D6" s="3478"/>
      <c r="E6" s="3496" t="s">
        <v>2927</v>
      </c>
      <c r="F6" s="3497"/>
      <c r="G6" s="3477" t="s">
        <v>2927</v>
      </c>
      <c r="H6" s="3478"/>
      <c r="I6" s="3477" t="s">
        <v>2927</v>
      </c>
      <c r="J6" s="3478"/>
      <c r="K6" s="514" t="s">
        <v>528</v>
      </c>
      <c r="L6" s="2117"/>
      <c r="M6" s="2118"/>
      <c r="N6" s="2118"/>
      <c r="O6" s="2118"/>
      <c r="P6" s="3535"/>
      <c r="Q6" s="3475"/>
      <c r="R6" s="3458"/>
      <c r="S6" s="3459"/>
      <c r="T6" s="3460"/>
      <c r="U6" s="3461"/>
      <c r="V6" s="3476"/>
      <c r="W6" s="3476"/>
      <c r="X6" s="1552"/>
      <c r="Y6" s="3460"/>
      <c r="Z6" s="3461"/>
      <c r="AA6" s="3453"/>
      <c r="AB6" s="3453"/>
      <c r="AC6" s="3453"/>
    </row>
    <row r="7" spans="1:29" s="1214" customFormat="1" ht="15.75" thickBot="1">
      <c r="A7" s="2866"/>
      <c r="B7" s="2873" t="s">
        <v>529</v>
      </c>
      <c r="C7" s="519">
        <f>'数据-取费表'!B2</f>
        <v>44010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63" t="s">
        <v>530</v>
      </c>
      <c r="Q7" s="3463"/>
      <c r="R7" s="1553" t="s">
        <v>8</v>
      </c>
      <c r="S7" s="1554">
        <f t="shared" ref="S7:S15" si="0">F7</f>
        <v>0</v>
      </c>
      <c r="T7" s="1553" t="s">
        <v>8</v>
      </c>
      <c r="U7" s="1554">
        <f t="shared" ref="U7:U15" si="1">H7</f>
        <v>0</v>
      </c>
      <c r="V7" s="1553" t="s">
        <v>8</v>
      </c>
      <c r="W7" s="1554">
        <f t="shared" ref="W7:W15" si="2">J7</f>
        <v>0</v>
      </c>
      <c r="X7" s="1555"/>
      <c r="Y7" s="3454" t="s">
        <v>530</v>
      </c>
      <c r="Z7" s="3455"/>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63" t="s">
        <v>533</v>
      </c>
      <c r="Q8" s="3455"/>
      <c r="R8" s="1553" t="s">
        <v>8</v>
      </c>
      <c r="S8" s="1554">
        <f t="shared" si="0"/>
        <v>0</v>
      </c>
      <c r="T8" s="1553" t="s">
        <v>8</v>
      </c>
      <c r="U8" s="1554">
        <f t="shared" si="1"/>
        <v>0</v>
      </c>
      <c r="V8" s="1553" t="s">
        <v>8</v>
      </c>
      <c r="W8" s="1554">
        <f t="shared" si="2"/>
        <v>0</v>
      </c>
      <c r="X8" s="1555"/>
      <c r="Y8" s="3454" t="s">
        <v>533</v>
      </c>
      <c r="Z8" s="3455"/>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62" t="s">
        <v>535</v>
      </c>
      <c r="Q9" s="1145" t="str">
        <f t="shared" ref="Q9:Q15" si="6">B9</f>
        <v>用途</v>
      </c>
      <c r="R9" s="1553" t="s">
        <v>8</v>
      </c>
      <c r="S9" s="1554">
        <f t="shared" si="0"/>
        <v>100</v>
      </c>
      <c r="T9" s="1553" t="s">
        <v>8</v>
      </c>
      <c r="U9" s="1554">
        <f t="shared" si="1"/>
        <v>100</v>
      </c>
      <c r="V9" s="1553" t="s">
        <v>8</v>
      </c>
      <c r="W9" s="1554">
        <f t="shared" si="2"/>
        <v>100</v>
      </c>
      <c r="X9" s="1555"/>
      <c r="Y9" s="3387"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62"/>
      <c r="Q10" s="1145" t="str">
        <f t="shared" si="6"/>
        <v>土地使用年限（年）</v>
      </c>
      <c r="R10" s="1553" t="s">
        <v>8</v>
      </c>
      <c r="S10" s="1554">
        <f t="shared" si="0"/>
        <v>100</v>
      </c>
      <c r="T10" s="1553" t="s">
        <v>8</v>
      </c>
      <c r="U10" s="1554">
        <f t="shared" si="1"/>
        <v>100</v>
      </c>
      <c r="V10" s="1553" t="s">
        <v>8</v>
      </c>
      <c r="W10" s="1554">
        <f t="shared" si="2"/>
        <v>100</v>
      </c>
      <c r="X10" s="1555"/>
      <c r="Y10" s="3387"/>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62"/>
      <c r="Q11" s="1145" t="str">
        <f t="shared" si="6"/>
        <v>容积率</v>
      </c>
      <c r="R11" s="1553" t="s">
        <v>8</v>
      </c>
      <c r="S11" s="1554" t="e">
        <f t="shared" si="0"/>
        <v>#N/A</v>
      </c>
      <c r="T11" s="1553" t="s">
        <v>8</v>
      </c>
      <c r="U11" s="1554" t="e">
        <f t="shared" si="1"/>
        <v>#N/A</v>
      </c>
      <c r="V11" s="1553" t="s">
        <v>8</v>
      </c>
      <c r="W11" s="1554" t="e">
        <f t="shared" si="2"/>
        <v>#N/A</v>
      </c>
      <c r="X11" s="1555"/>
      <c r="Y11" s="3387"/>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62"/>
      <c r="Q12" s="1145">
        <f t="shared" si="6"/>
        <v>111</v>
      </c>
      <c r="R12" s="1553" t="s">
        <v>8</v>
      </c>
      <c r="S12" s="1554">
        <f t="shared" si="0"/>
        <v>100</v>
      </c>
      <c r="T12" s="1553" t="s">
        <v>8</v>
      </c>
      <c r="U12" s="1554">
        <f t="shared" si="1"/>
        <v>100</v>
      </c>
      <c r="V12" s="1553" t="s">
        <v>8</v>
      </c>
      <c r="W12" s="1554">
        <f t="shared" si="2"/>
        <v>100</v>
      </c>
      <c r="X12" s="1555"/>
      <c r="Y12" s="3387"/>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62"/>
      <c r="Q13" s="1145">
        <f t="shared" si="6"/>
        <v>111</v>
      </c>
      <c r="R13" s="1553" t="s">
        <v>8</v>
      </c>
      <c r="S13" s="1554">
        <f t="shared" si="0"/>
        <v>100</v>
      </c>
      <c r="T13" s="1553" t="s">
        <v>8</v>
      </c>
      <c r="U13" s="1554">
        <f t="shared" si="1"/>
        <v>100</v>
      </c>
      <c r="V13" s="1553" t="s">
        <v>8</v>
      </c>
      <c r="W13" s="1554">
        <f t="shared" si="2"/>
        <v>100</v>
      </c>
      <c r="X13" s="1555"/>
      <c r="Y13" s="3387"/>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62"/>
      <c r="Q14" s="1145">
        <f t="shared" si="6"/>
        <v>111</v>
      </c>
      <c r="R14" s="1553" t="s">
        <v>8</v>
      </c>
      <c r="S14" s="1554">
        <f t="shared" si="0"/>
        <v>100</v>
      </c>
      <c r="T14" s="1553" t="s">
        <v>8</v>
      </c>
      <c r="U14" s="1554">
        <f t="shared" si="1"/>
        <v>100</v>
      </c>
      <c r="V14" s="1553" t="s">
        <v>8</v>
      </c>
      <c r="W14" s="1554">
        <f t="shared" si="2"/>
        <v>100</v>
      </c>
      <c r="X14" s="1555"/>
      <c r="Y14" s="3387"/>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64" t="s">
        <v>540</v>
      </c>
      <c r="Q15" s="1557" t="str">
        <f t="shared" si="6"/>
        <v>办公集聚程度</v>
      </c>
      <c r="R15" s="1558" t="s">
        <v>8</v>
      </c>
      <c r="S15" s="1559">
        <f t="shared" si="0"/>
        <v>100</v>
      </c>
      <c r="T15" s="1558" t="s">
        <v>8</v>
      </c>
      <c r="U15" s="1559">
        <f t="shared" si="1"/>
        <v>100</v>
      </c>
      <c r="V15" s="1558" t="s">
        <v>8</v>
      </c>
      <c r="W15" s="1559">
        <f t="shared" si="2"/>
        <v>100</v>
      </c>
      <c r="X15" s="1552"/>
      <c r="Y15" s="346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65"/>
      <c r="Q16" s="1557"/>
      <c r="R16" s="1558"/>
      <c r="S16" s="1559"/>
      <c r="T16" s="1558"/>
      <c r="U16" s="1559"/>
      <c r="V16" s="1558"/>
      <c r="W16" s="1559"/>
      <c r="X16" s="1552"/>
      <c r="Y16" s="3465"/>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65"/>
      <c r="Q17" s="1557" t="str">
        <f>B17</f>
        <v>交通便捷度</v>
      </c>
      <c r="R17" s="1558" t="s">
        <v>8</v>
      </c>
      <c r="S17" s="1559">
        <f>F17</f>
        <v>100</v>
      </c>
      <c r="T17" s="1558" t="s">
        <v>8</v>
      </c>
      <c r="U17" s="1559">
        <f>H17</f>
        <v>100</v>
      </c>
      <c r="V17" s="1558" t="s">
        <v>8</v>
      </c>
      <c r="W17" s="1559">
        <f>J17</f>
        <v>100</v>
      </c>
      <c r="X17" s="1552"/>
      <c r="Y17" s="346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65"/>
      <c r="Q18" s="1557"/>
      <c r="R18" s="1558"/>
      <c r="S18" s="1559"/>
      <c r="T18" s="1558"/>
      <c r="U18" s="1559"/>
      <c r="V18" s="1558"/>
      <c r="W18" s="1559"/>
      <c r="X18" s="1552"/>
      <c r="Y18" s="3465"/>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65"/>
      <c r="Q19" s="1557" t="str">
        <f>B19</f>
        <v>公共配套设施</v>
      </c>
      <c r="R19" s="1558" t="s">
        <v>8</v>
      </c>
      <c r="S19" s="1559">
        <f>F19</f>
        <v>100</v>
      </c>
      <c r="T19" s="1558" t="s">
        <v>8</v>
      </c>
      <c r="U19" s="1559">
        <f>H19</f>
        <v>100</v>
      </c>
      <c r="V19" s="1558" t="s">
        <v>8</v>
      </c>
      <c r="W19" s="1559">
        <f>J19</f>
        <v>100</v>
      </c>
      <c r="X19" s="1552"/>
      <c r="Y19" s="346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65"/>
      <c r="Q20" s="1557"/>
      <c r="R20" s="1558"/>
      <c r="S20" s="1559"/>
      <c r="T20" s="1558"/>
      <c r="U20" s="1559"/>
      <c r="V20" s="1558"/>
      <c r="W20" s="1559"/>
      <c r="X20" s="1552"/>
      <c r="Y20" s="3465"/>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65"/>
      <c r="Q21" s="2542" t="str">
        <f>B21</f>
        <v>基础设施水平</v>
      </c>
      <c r="R21" s="1558" t="s">
        <v>8</v>
      </c>
      <c r="S21" s="1559">
        <f>F21</f>
        <v>100</v>
      </c>
      <c r="T21" s="1558" t="s">
        <v>8</v>
      </c>
      <c r="U21" s="1559">
        <f>H21</f>
        <v>100</v>
      </c>
      <c r="V21" s="1558" t="s">
        <v>8</v>
      </c>
      <c r="W21" s="1559">
        <f>J21</f>
        <v>100</v>
      </c>
      <c r="X21" s="2544"/>
      <c r="Y21" s="3465"/>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65"/>
      <c r="Q22" s="2542"/>
      <c r="R22" s="1558"/>
      <c r="S22" s="1559"/>
      <c r="T22" s="1558"/>
      <c r="U22" s="1559"/>
      <c r="V22" s="1558"/>
      <c r="W22" s="1559"/>
      <c r="X22" s="2544"/>
      <c r="Y22" s="3465"/>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65"/>
      <c r="Q23" s="1557" t="str">
        <f>B23</f>
        <v>环境质量</v>
      </c>
      <c r="R23" s="1558" t="s">
        <v>8</v>
      </c>
      <c r="S23" s="1559">
        <f>F23</f>
        <v>100</v>
      </c>
      <c r="T23" s="1558" t="s">
        <v>8</v>
      </c>
      <c r="U23" s="1559">
        <f>H23</f>
        <v>100</v>
      </c>
      <c r="V23" s="1558" t="s">
        <v>8</v>
      </c>
      <c r="W23" s="1559">
        <f>J23</f>
        <v>100</v>
      </c>
      <c r="X23" s="1552"/>
      <c r="Y23" s="346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65"/>
      <c r="Q24" s="1557"/>
      <c r="R24" s="1558"/>
      <c r="S24" s="1559"/>
      <c r="T24" s="1558"/>
      <c r="U24" s="1559"/>
      <c r="V24" s="1558"/>
      <c r="W24" s="1559"/>
      <c r="X24" s="1552"/>
      <c r="Y24" s="3465"/>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65"/>
      <c r="Q25" s="1557" t="str">
        <f>B25</f>
        <v>毗邻道路的类型与等级</v>
      </c>
      <c r="R25" s="1558" t="s">
        <v>8</v>
      </c>
      <c r="S25" s="1559">
        <f>F25</f>
        <v>100</v>
      </c>
      <c r="T25" s="1558" t="s">
        <v>8</v>
      </c>
      <c r="U25" s="1559">
        <f>H25</f>
        <v>100</v>
      </c>
      <c r="V25" s="1558" t="s">
        <v>8</v>
      </c>
      <c r="W25" s="1559">
        <f>J25</f>
        <v>100</v>
      </c>
      <c r="X25" s="1552"/>
      <c r="Y25" s="346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65"/>
      <c r="Q26" s="1557"/>
      <c r="R26" s="1558"/>
      <c r="S26" s="1559"/>
      <c r="T26" s="1558"/>
      <c r="U26" s="1559"/>
      <c r="V26" s="1558"/>
      <c r="W26" s="1559"/>
      <c r="X26" s="1552"/>
      <c r="Y26" s="346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65"/>
      <c r="Q27" s="1557" t="str">
        <f t="shared" ref="Q27:Q47" si="11">B27</f>
        <v>楼层</v>
      </c>
      <c r="R27" s="1558" t="s">
        <v>8</v>
      </c>
      <c r="S27" s="1559">
        <f>F27</f>
        <v>100</v>
      </c>
      <c r="T27" s="1558" t="s">
        <v>8</v>
      </c>
      <c r="U27" s="1559">
        <f>H27</f>
        <v>100</v>
      </c>
      <c r="V27" s="1558" t="s">
        <v>8</v>
      </c>
      <c r="W27" s="1559">
        <f>J27</f>
        <v>100</v>
      </c>
      <c r="X27" s="1552"/>
      <c r="Y27" s="3465"/>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65"/>
      <c r="Q28" s="1145" t="str">
        <f t="shared" si="11"/>
        <v>朝向</v>
      </c>
      <c r="R28" s="1553" t="s">
        <v>8</v>
      </c>
      <c r="S28" s="1554">
        <f>F28</f>
        <v>100</v>
      </c>
      <c r="T28" s="1553" t="s">
        <v>8</v>
      </c>
      <c r="U28" s="1554">
        <f>H28</f>
        <v>100</v>
      </c>
      <c r="V28" s="1553" t="s">
        <v>8</v>
      </c>
      <c r="W28" s="1554">
        <f>J28</f>
        <v>100</v>
      </c>
      <c r="X28" s="1555"/>
      <c r="Y28" s="3465"/>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65"/>
      <c r="Q29" s="1557">
        <f t="shared" si="11"/>
        <v>111</v>
      </c>
      <c r="R29" s="1558" t="s">
        <v>8</v>
      </c>
      <c r="S29" s="1559">
        <f t="shared" ref="S29:S47" si="12">F29</f>
        <v>100</v>
      </c>
      <c r="T29" s="1558" t="s">
        <v>8</v>
      </c>
      <c r="U29" s="1559">
        <f t="shared" ref="U29:U47" si="13">H29</f>
        <v>100</v>
      </c>
      <c r="V29" s="1558" t="s">
        <v>8</v>
      </c>
      <c r="W29" s="1559">
        <f t="shared" ref="W29:W47" si="14">J29</f>
        <v>100</v>
      </c>
      <c r="X29" s="1552"/>
      <c r="Y29" s="3465"/>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65"/>
      <c r="Q30" s="1557">
        <f t="shared" si="11"/>
        <v>111</v>
      </c>
      <c r="R30" s="1558" t="s">
        <v>8</v>
      </c>
      <c r="S30" s="1559">
        <f t="shared" si="12"/>
        <v>100</v>
      </c>
      <c r="T30" s="1558" t="s">
        <v>8</v>
      </c>
      <c r="U30" s="1559">
        <f t="shared" si="13"/>
        <v>100</v>
      </c>
      <c r="V30" s="1558" t="s">
        <v>8</v>
      </c>
      <c r="W30" s="1559">
        <f t="shared" si="14"/>
        <v>100</v>
      </c>
      <c r="X30" s="1552"/>
      <c r="Y30" s="3465"/>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65"/>
      <c r="Q31" s="1557">
        <f t="shared" si="11"/>
        <v>111</v>
      </c>
      <c r="R31" s="1558" t="s">
        <v>8</v>
      </c>
      <c r="S31" s="1559">
        <f t="shared" si="12"/>
        <v>100</v>
      </c>
      <c r="T31" s="1558" t="s">
        <v>8</v>
      </c>
      <c r="U31" s="1559">
        <f t="shared" si="13"/>
        <v>100</v>
      </c>
      <c r="V31" s="1558" t="s">
        <v>8</v>
      </c>
      <c r="W31" s="1559">
        <f t="shared" si="14"/>
        <v>100</v>
      </c>
      <c r="X31" s="1552"/>
      <c r="Y31" s="3465"/>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65"/>
      <c r="Q32" s="1557">
        <f t="shared" si="11"/>
        <v>111</v>
      </c>
      <c r="R32" s="1558" t="s">
        <v>8</v>
      </c>
      <c r="S32" s="1559">
        <f t="shared" si="12"/>
        <v>100</v>
      </c>
      <c r="T32" s="1558" t="s">
        <v>8</v>
      </c>
      <c r="U32" s="1559">
        <f t="shared" si="13"/>
        <v>100</v>
      </c>
      <c r="V32" s="1558" t="s">
        <v>8</v>
      </c>
      <c r="W32" s="1559">
        <f t="shared" si="14"/>
        <v>100</v>
      </c>
      <c r="X32" s="1552"/>
      <c r="Y32" s="3465"/>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66" t="s">
        <v>550</v>
      </c>
      <c r="Q33" s="1557" t="str">
        <f t="shared" si="11"/>
        <v>建筑类型</v>
      </c>
      <c r="R33" s="1558" t="s">
        <v>8</v>
      </c>
      <c r="S33" s="1559">
        <f t="shared" si="12"/>
        <v>100</v>
      </c>
      <c r="T33" s="1558" t="s">
        <v>8</v>
      </c>
      <c r="U33" s="1559">
        <f t="shared" si="13"/>
        <v>100</v>
      </c>
      <c r="V33" s="1558" t="s">
        <v>8</v>
      </c>
      <c r="W33" s="1559">
        <f t="shared" si="14"/>
        <v>100</v>
      </c>
      <c r="X33" s="1552"/>
      <c r="Y33" s="3467"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67"/>
      <c r="Q34" s="1589" t="str">
        <f t="shared" si="11"/>
        <v>项目建筑规模</v>
      </c>
      <c r="R34" s="1562" t="s">
        <v>8</v>
      </c>
      <c r="S34" s="1563" t="e">
        <f t="shared" si="12"/>
        <v>#N/A</v>
      </c>
      <c r="T34" s="1562" t="s">
        <v>8</v>
      </c>
      <c r="U34" s="1563" t="e">
        <f t="shared" si="13"/>
        <v>#N/A</v>
      </c>
      <c r="V34" s="1562" t="s">
        <v>8</v>
      </c>
      <c r="W34" s="1563" t="e">
        <f t="shared" si="14"/>
        <v>#N/A</v>
      </c>
      <c r="X34" s="1564"/>
      <c r="Y34" s="3467"/>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67"/>
      <c r="Q35" s="1557" t="str">
        <f t="shared" si="11"/>
        <v>建筑结构</v>
      </c>
      <c r="R35" s="1558" t="s">
        <v>8</v>
      </c>
      <c r="S35" s="1559">
        <f t="shared" si="12"/>
        <v>100</v>
      </c>
      <c r="T35" s="1558" t="s">
        <v>8</v>
      </c>
      <c r="U35" s="1559">
        <f t="shared" si="13"/>
        <v>100</v>
      </c>
      <c r="V35" s="1558" t="s">
        <v>8</v>
      </c>
      <c r="W35" s="1559">
        <f t="shared" si="14"/>
        <v>100</v>
      </c>
      <c r="X35" s="1552"/>
      <c r="Y35" s="3467"/>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67"/>
      <c r="Q36" s="1557" t="str">
        <f t="shared" si="11"/>
        <v>公共部分装修</v>
      </c>
      <c r="R36" s="1558" t="s">
        <v>8</v>
      </c>
      <c r="S36" s="1559">
        <f t="shared" si="12"/>
        <v>100</v>
      </c>
      <c r="T36" s="1558" t="s">
        <v>8</v>
      </c>
      <c r="U36" s="1559">
        <f t="shared" si="13"/>
        <v>100</v>
      </c>
      <c r="V36" s="1558" t="s">
        <v>8</v>
      </c>
      <c r="W36" s="1559">
        <f t="shared" si="14"/>
        <v>100</v>
      </c>
      <c r="X36" s="1552"/>
      <c r="Y36" s="3467"/>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67"/>
      <c r="Q37" s="1557" t="str">
        <f t="shared" si="11"/>
        <v>成新度</v>
      </c>
      <c r="R37" s="1558" t="s">
        <v>8</v>
      </c>
      <c r="S37" s="1559" t="e">
        <f t="shared" si="12"/>
        <v>#N/A</v>
      </c>
      <c r="T37" s="1558" t="s">
        <v>8</v>
      </c>
      <c r="U37" s="1559" t="e">
        <f t="shared" si="13"/>
        <v>#N/A</v>
      </c>
      <c r="V37" s="1558" t="s">
        <v>8</v>
      </c>
      <c r="W37" s="1559" t="e">
        <f t="shared" si="14"/>
        <v>#N/A</v>
      </c>
      <c r="X37" s="1552"/>
      <c r="Y37" s="3467"/>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67"/>
      <c r="Q38" s="1145" t="str">
        <f t="shared" si="11"/>
        <v>写字楼等级</v>
      </c>
      <c r="R38" s="1553" t="s">
        <v>8</v>
      </c>
      <c r="S38" s="1554">
        <f t="shared" si="12"/>
        <v>100</v>
      </c>
      <c r="T38" s="1553" t="s">
        <v>8</v>
      </c>
      <c r="U38" s="1554">
        <f t="shared" si="13"/>
        <v>100</v>
      </c>
      <c r="V38" s="1553" t="s">
        <v>8</v>
      </c>
      <c r="W38" s="1554">
        <f t="shared" si="14"/>
        <v>100</v>
      </c>
      <c r="X38" s="1555"/>
      <c r="Y38" s="3467"/>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67" t="s">
        <v>550</v>
      </c>
      <c r="Q39" s="1557" t="str">
        <f t="shared" si="11"/>
        <v>物业管理</v>
      </c>
      <c r="R39" s="1558" t="s">
        <v>8</v>
      </c>
      <c r="S39" s="1559">
        <f t="shared" si="12"/>
        <v>100</v>
      </c>
      <c r="T39" s="1558" t="s">
        <v>8</v>
      </c>
      <c r="U39" s="1559">
        <f t="shared" si="13"/>
        <v>100</v>
      </c>
      <c r="V39" s="1558" t="s">
        <v>8</v>
      </c>
      <c r="W39" s="1559">
        <f t="shared" si="14"/>
        <v>100</v>
      </c>
      <c r="X39" s="1552"/>
      <c r="Y39" s="3467"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67"/>
      <c r="Q40" s="1557" t="str">
        <f t="shared" si="11"/>
        <v>市政基础设施</v>
      </c>
      <c r="R40" s="1558" t="s">
        <v>8</v>
      </c>
      <c r="S40" s="1559">
        <f t="shared" si="12"/>
        <v>100</v>
      </c>
      <c r="T40" s="1558" t="s">
        <v>8</v>
      </c>
      <c r="U40" s="1559">
        <f t="shared" si="13"/>
        <v>100</v>
      </c>
      <c r="V40" s="1558" t="s">
        <v>8</v>
      </c>
      <c r="W40" s="1559">
        <f t="shared" si="14"/>
        <v>100</v>
      </c>
      <c r="X40" s="1552"/>
      <c r="Y40" s="3467"/>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67"/>
      <c r="Q41" s="1557" t="str">
        <f t="shared" si="11"/>
        <v>层高</v>
      </c>
      <c r="R41" s="1558" t="s">
        <v>8</v>
      </c>
      <c r="S41" s="1559">
        <f t="shared" si="12"/>
        <v>100</v>
      </c>
      <c r="T41" s="1558" t="s">
        <v>8</v>
      </c>
      <c r="U41" s="1559">
        <f t="shared" si="13"/>
        <v>100</v>
      </c>
      <c r="V41" s="1558" t="s">
        <v>8</v>
      </c>
      <c r="W41" s="1559">
        <f t="shared" si="14"/>
        <v>100</v>
      </c>
      <c r="X41" s="1552"/>
      <c r="Y41" s="3467"/>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67"/>
      <c r="Q42" s="1589" t="str">
        <f t="shared" si="11"/>
        <v>单套建筑面积</v>
      </c>
      <c r="R42" s="1562" t="s">
        <v>8</v>
      </c>
      <c r="S42" s="1563">
        <f t="shared" si="12"/>
        <v>100</v>
      </c>
      <c r="T42" s="1562" t="s">
        <v>8</v>
      </c>
      <c r="U42" s="1563">
        <f t="shared" si="13"/>
        <v>100</v>
      </c>
      <c r="V42" s="1562" t="s">
        <v>8</v>
      </c>
      <c r="W42" s="1563">
        <f t="shared" si="14"/>
        <v>100</v>
      </c>
      <c r="X42" s="1564"/>
      <c r="Y42" s="3467"/>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67"/>
      <c r="Q43" s="1557" t="str">
        <f t="shared" si="11"/>
        <v>内部装修</v>
      </c>
      <c r="R43" s="1558" t="s">
        <v>8</v>
      </c>
      <c r="S43" s="1559">
        <f t="shared" si="12"/>
        <v>100</v>
      </c>
      <c r="T43" s="1558" t="s">
        <v>8</v>
      </c>
      <c r="U43" s="1559">
        <f t="shared" si="13"/>
        <v>100</v>
      </c>
      <c r="V43" s="1558" t="s">
        <v>8</v>
      </c>
      <c r="W43" s="1559">
        <f t="shared" si="14"/>
        <v>100</v>
      </c>
      <c r="X43" s="1552"/>
      <c r="Y43" s="3467"/>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67"/>
      <c r="Q44" s="1557" t="str">
        <f t="shared" si="11"/>
        <v>内部装修维护情况</v>
      </c>
      <c r="R44" s="1558" t="s">
        <v>8</v>
      </c>
      <c r="S44" s="1559">
        <f t="shared" si="12"/>
        <v>100</v>
      </c>
      <c r="T44" s="1558" t="s">
        <v>8</v>
      </c>
      <c r="U44" s="1559">
        <f t="shared" si="13"/>
        <v>100</v>
      </c>
      <c r="V44" s="1558" t="s">
        <v>8</v>
      </c>
      <c r="W44" s="1559">
        <f t="shared" si="14"/>
        <v>100</v>
      </c>
      <c r="X44" s="1552"/>
      <c r="Y44" s="3467"/>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67"/>
      <c r="Q45" s="1145">
        <f t="shared" si="11"/>
        <v>111</v>
      </c>
      <c r="R45" s="1553" t="s">
        <v>8</v>
      </c>
      <c r="S45" s="1554">
        <f t="shared" si="12"/>
        <v>100</v>
      </c>
      <c r="T45" s="1553" t="s">
        <v>8</v>
      </c>
      <c r="U45" s="1554">
        <f t="shared" si="13"/>
        <v>100</v>
      </c>
      <c r="V45" s="1553" t="s">
        <v>8</v>
      </c>
      <c r="W45" s="1554">
        <f t="shared" si="14"/>
        <v>100</v>
      </c>
      <c r="X45" s="1555"/>
      <c r="Y45" s="3467"/>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67"/>
      <c r="Q46" s="1557">
        <f t="shared" si="11"/>
        <v>111</v>
      </c>
      <c r="R46" s="1558" t="s">
        <v>8</v>
      </c>
      <c r="S46" s="1559">
        <f t="shared" si="12"/>
        <v>100</v>
      </c>
      <c r="T46" s="1558" t="s">
        <v>8</v>
      </c>
      <c r="U46" s="1559">
        <f t="shared" si="13"/>
        <v>100</v>
      </c>
      <c r="V46" s="1558" t="s">
        <v>8</v>
      </c>
      <c r="W46" s="1559">
        <f t="shared" si="14"/>
        <v>100</v>
      </c>
      <c r="X46" s="1552"/>
      <c r="Y46" s="3467"/>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32"/>
      <c r="Q47" s="1557">
        <f t="shared" si="11"/>
        <v>111</v>
      </c>
      <c r="R47" s="1558" t="s">
        <v>8</v>
      </c>
      <c r="S47" s="1559">
        <f t="shared" si="12"/>
        <v>100</v>
      </c>
      <c r="T47" s="1558" t="s">
        <v>8</v>
      </c>
      <c r="U47" s="1559">
        <f t="shared" si="13"/>
        <v>100</v>
      </c>
      <c r="V47" s="1558" t="s">
        <v>8</v>
      </c>
      <c r="W47" s="1559">
        <f t="shared" si="14"/>
        <v>100</v>
      </c>
      <c r="X47" s="1552"/>
      <c r="Y47" s="3532"/>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84" t="str">
        <f>A48</f>
        <v>成交单价（元/平方米）</v>
      </c>
      <c r="Q48" s="3462"/>
      <c r="R48" s="3531">
        <f>E48</f>
        <v>0</v>
      </c>
      <c r="S48" s="3531"/>
      <c r="T48" s="3531">
        <f>G48</f>
        <v>0</v>
      </c>
      <c r="U48" s="3531"/>
      <c r="V48" s="3531">
        <f>I48</f>
        <v>0</v>
      </c>
      <c r="W48" s="3531"/>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84" t="str">
        <f>A49</f>
        <v>比较价格（元/平方米）</v>
      </c>
      <c r="Q49" s="3462"/>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36" t="str">
        <f>A50</f>
        <v>估价对象XX用房的比较价格（楼面单价，元/平方米）</v>
      </c>
      <c r="Q50" s="3484"/>
      <c r="R50" s="3530" t="e">
        <f>IF(F1="售价",ROUND(AVERAGE(R49:V49),0),ROUND(AVERAGE(R49:V49),1))</f>
        <v>#DIV/0!</v>
      </c>
      <c r="S50" s="3530"/>
      <c r="T50" s="3530"/>
      <c r="U50" s="3530"/>
      <c r="V50" s="3530"/>
      <c r="W50" s="353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68" t="s">
        <v>522</v>
      </c>
      <c r="D4" s="3469"/>
      <c r="E4" s="3492" t="s">
        <v>523</v>
      </c>
      <c r="F4" s="3493"/>
      <c r="G4" s="3468" t="s">
        <v>524</v>
      </c>
      <c r="H4" s="3469"/>
      <c r="I4" s="3468" t="s">
        <v>525</v>
      </c>
      <c r="J4" s="3469"/>
      <c r="K4" s="514" t="s">
        <v>526</v>
      </c>
      <c r="L4" s="2117"/>
      <c r="M4" s="2118"/>
      <c r="N4" s="2118"/>
      <c r="O4" s="2118"/>
      <c r="P4" s="3470" t="s">
        <v>527</v>
      </c>
      <c r="Q4" s="3471"/>
      <c r="R4" s="3456" t="s">
        <v>523</v>
      </c>
      <c r="S4" s="3457"/>
      <c r="T4" s="3456" t="s">
        <v>524</v>
      </c>
      <c r="U4" s="3457"/>
      <c r="V4" s="3476" t="s">
        <v>525</v>
      </c>
      <c r="W4" s="3476"/>
      <c r="X4" s="1552"/>
      <c r="Y4" s="3456" t="s">
        <v>527</v>
      </c>
      <c r="Z4" s="3457"/>
      <c r="AA4" s="3451" t="s">
        <v>523</v>
      </c>
      <c r="AB4" s="3452" t="s">
        <v>524</v>
      </c>
      <c r="AC4" s="3451" t="s">
        <v>525</v>
      </c>
    </row>
    <row r="5" spans="1:29" ht="15">
      <c r="A5" s="515"/>
      <c r="B5" s="516"/>
      <c r="C5" s="3479" t="s">
        <v>2923</v>
      </c>
      <c r="D5" s="3480"/>
      <c r="E5" s="3494" t="s">
        <v>2924</v>
      </c>
      <c r="F5" s="3495"/>
      <c r="G5" s="3479" t="s">
        <v>2925</v>
      </c>
      <c r="H5" s="3480"/>
      <c r="I5" s="3479" t="s">
        <v>2926</v>
      </c>
      <c r="J5" s="3480"/>
      <c r="K5" s="514"/>
      <c r="L5" s="2117"/>
      <c r="M5" s="2118"/>
      <c r="N5" s="2118"/>
      <c r="O5" s="2118"/>
      <c r="P5" s="3472"/>
      <c r="Q5" s="3473"/>
      <c r="R5" s="3458"/>
      <c r="S5" s="3459"/>
      <c r="T5" s="3458"/>
      <c r="U5" s="3459"/>
      <c r="V5" s="3476"/>
      <c r="W5" s="3476"/>
      <c r="X5" s="1552"/>
      <c r="Y5" s="3458"/>
      <c r="Z5" s="3459"/>
      <c r="AA5" s="3452"/>
      <c r="AB5" s="3452"/>
      <c r="AC5" s="3452"/>
    </row>
    <row r="6" spans="1:29" ht="15.75" thickBot="1">
      <c r="A6" s="517"/>
      <c r="B6" s="518"/>
      <c r="C6" s="3477" t="s">
        <v>2927</v>
      </c>
      <c r="D6" s="3478"/>
      <c r="E6" s="3496" t="s">
        <v>2927</v>
      </c>
      <c r="F6" s="3497"/>
      <c r="G6" s="3477" t="s">
        <v>2927</v>
      </c>
      <c r="H6" s="3478"/>
      <c r="I6" s="3477" t="s">
        <v>2927</v>
      </c>
      <c r="J6" s="3478"/>
      <c r="K6" s="514" t="s">
        <v>528</v>
      </c>
      <c r="L6" s="2117"/>
      <c r="M6" s="2118"/>
      <c r="N6" s="2118"/>
      <c r="O6" s="2118"/>
      <c r="P6" s="3474"/>
      <c r="Q6" s="3475"/>
      <c r="R6" s="3458"/>
      <c r="S6" s="3459"/>
      <c r="T6" s="3460"/>
      <c r="U6" s="3461"/>
      <c r="V6" s="3476"/>
      <c r="W6" s="3476"/>
      <c r="X6" s="1552"/>
      <c r="Y6" s="3460"/>
      <c r="Z6" s="3461"/>
      <c r="AA6" s="3453"/>
      <c r="AB6" s="3453"/>
      <c r="AC6" s="3453"/>
    </row>
    <row r="7" spans="1:29" s="1214" customFormat="1" ht="15.75" thickBot="1">
      <c r="A7" s="2866"/>
      <c r="B7" s="2873" t="s">
        <v>529</v>
      </c>
      <c r="C7" s="519">
        <f>'数据-取费表'!B2</f>
        <v>44010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54" t="s">
        <v>530</v>
      </c>
      <c r="Q7" s="3463"/>
      <c r="R7" s="1553" t="s">
        <v>8</v>
      </c>
      <c r="S7" s="1554">
        <f t="shared" ref="S7:S15" si="0">F7</f>
        <v>0</v>
      </c>
      <c r="T7" s="1553" t="s">
        <v>8</v>
      </c>
      <c r="U7" s="1554">
        <f t="shared" ref="U7:U15" si="1">H7</f>
        <v>0</v>
      </c>
      <c r="V7" s="1553" t="s">
        <v>8</v>
      </c>
      <c r="W7" s="1554">
        <f t="shared" ref="W7:W15" si="2">J7</f>
        <v>0</v>
      </c>
      <c r="X7" s="1555"/>
      <c r="Y7" s="3454" t="s">
        <v>530</v>
      </c>
      <c r="Z7" s="3455"/>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54" t="s">
        <v>533</v>
      </c>
      <c r="Q8" s="3455"/>
      <c r="R8" s="1553" t="s">
        <v>8</v>
      </c>
      <c r="S8" s="1554">
        <f t="shared" si="0"/>
        <v>0</v>
      </c>
      <c r="T8" s="1553" t="s">
        <v>8</v>
      </c>
      <c r="U8" s="1554">
        <f t="shared" si="1"/>
        <v>0</v>
      </c>
      <c r="V8" s="1553" t="s">
        <v>8</v>
      </c>
      <c r="W8" s="1554">
        <f t="shared" si="2"/>
        <v>0</v>
      </c>
      <c r="X8" s="1555"/>
      <c r="Y8" s="3454" t="s">
        <v>533</v>
      </c>
      <c r="Z8" s="3455"/>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62" t="s">
        <v>535</v>
      </c>
      <c r="Q9" s="1145" t="str">
        <f t="shared" ref="Q9:Q15" si="6">B9</f>
        <v>用途</v>
      </c>
      <c r="R9" s="1553" t="s">
        <v>8</v>
      </c>
      <c r="S9" s="1554">
        <f t="shared" si="0"/>
        <v>100</v>
      </c>
      <c r="T9" s="1553" t="s">
        <v>8</v>
      </c>
      <c r="U9" s="1554">
        <f t="shared" si="1"/>
        <v>100</v>
      </c>
      <c r="V9" s="1553" t="s">
        <v>8</v>
      </c>
      <c r="W9" s="1554">
        <f t="shared" si="2"/>
        <v>100</v>
      </c>
      <c r="X9" s="1555"/>
      <c r="Y9" s="3387"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62"/>
      <c r="Q10" s="1145" t="str">
        <f t="shared" si="6"/>
        <v>土地使用年限（年）</v>
      </c>
      <c r="R10" s="1553" t="s">
        <v>8</v>
      </c>
      <c r="S10" s="1554">
        <f t="shared" si="0"/>
        <v>100</v>
      </c>
      <c r="T10" s="1553" t="s">
        <v>8</v>
      </c>
      <c r="U10" s="1554">
        <f t="shared" si="1"/>
        <v>100</v>
      </c>
      <c r="V10" s="1553" t="s">
        <v>8</v>
      </c>
      <c r="W10" s="1554">
        <f t="shared" si="2"/>
        <v>100</v>
      </c>
      <c r="X10" s="1555"/>
      <c r="Y10" s="3387"/>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62"/>
      <c r="Q11" s="1145" t="str">
        <f t="shared" si="6"/>
        <v>容积率</v>
      </c>
      <c r="R11" s="1553" t="s">
        <v>8</v>
      </c>
      <c r="S11" s="1554" t="e">
        <f t="shared" si="0"/>
        <v>#N/A</v>
      </c>
      <c r="T11" s="1553" t="s">
        <v>8</v>
      </c>
      <c r="U11" s="1554" t="e">
        <f t="shared" si="1"/>
        <v>#N/A</v>
      </c>
      <c r="V11" s="1553" t="s">
        <v>8</v>
      </c>
      <c r="W11" s="1554" t="e">
        <f t="shared" si="2"/>
        <v>#N/A</v>
      </c>
      <c r="X11" s="1555"/>
      <c r="Y11" s="3387"/>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62"/>
      <c r="Q12" s="1145">
        <f t="shared" si="6"/>
        <v>111</v>
      </c>
      <c r="R12" s="1553" t="s">
        <v>8</v>
      </c>
      <c r="S12" s="1554">
        <f t="shared" si="0"/>
        <v>100</v>
      </c>
      <c r="T12" s="1553" t="s">
        <v>8</v>
      </c>
      <c r="U12" s="1554">
        <f t="shared" si="1"/>
        <v>100</v>
      </c>
      <c r="V12" s="1553" t="s">
        <v>8</v>
      </c>
      <c r="W12" s="1554">
        <f t="shared" si="2"/>
        <v>100</v>
      </c>
      <c r="X12" s="1555"/>
      <c r="Y12" s="3387"/>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62"/>
      <c r="Q13" s="1145">
        <f t="shared" si="6"/>
        <v>111</v>
      </c>
      <c r="R13" s="1553" t="s">
        <v>8</v>
      </c>
      <c r="S13" s="1554">
        <f t="shared" si="0"/>
        <v>100</v>
      </c>
      <c r="T13" s="1553" t="s">
        <v>8</v>
      </c>
      <c r="U13" s="1554">
        <f t="shared" si="1"/>
        <v>100</v>
      </c>
      <c r="V13" s="1553" t="s">
        <v>8</v>
      </c>
      <c r="W13" s="1554">
        <f t="shared" si="2"/>
        <v>100</v>
      </c>
      <c r="X13" s="1555"/>
      <c r="Y13" s="3387"/>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62"/>
      <c r="Q14" s="1145">
        <f t="shared" si="6"/>
        <v>111</v>
      </c>
      <c r="R14" s="1553" t="s">
        <v>8</v>
      </c>
      <c r="S14" s="1554">
        <f t="shared" si="0"/>
        <v>100</v>
      </c>
      <c r="T14" s="1553" t="s">
        <v>8</v>
      </c>
      <c r="U14" s="1554">
        <f t="shared" si="1"/>
        <v>100</v>
      </c>
      <c r="V14" s="1553" t="s">
        <v>8</v>
      </c>
      <c r="W14" s="1554">
        <f t="shared" si="2"/>
        <v>100</v>
      </c>
      <c r="X14" s="1555"/>
      <c r="Y14" s="3387"/>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64" t="s">
        <v>540</v>
      </c>
      <c r="Q15" s="1557" t="str">
        <f t="shared" si="6"/>
        <v>产业集聚程度</v>
      </c>
      <c r="R15" s="1558" t="s">
        <v>8</v>
      </c>
      <c r="S15" s="1559">
        <f t="shared" si="0"/>
        <v>100</v>
      </c>
      <c r="T15" s="1558" t="s">
        <v>8</v>
      </c>
      <c r="U15" s="1559">
        <f t="shared" si="1"/>
        <v>100</v>
      </c>
      <c r="V15" s="1558" t="s">
        <v>8</v>
      </c>
      <c r="W15" s="1559">
        <f t="shared" si="2"/>
        <v>100</v>
      </c>
      <c r="X15" s="1552"/>
      <c r="Y15" s="3464"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65"/>
      <c r="Q16" s="1557"/>
      <c r="R16" s="1558"/>
      <c r="S16" s="1559"/>
      <c r="T16" s="1558"/>
      <c r="U16" s="1559"/>
      <c r="V16" s="1558"/>
      <c r="W16" s="1559"/>
      <c r="X16" s="1552"/>
      <c r="Y16" s="3465"/>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65"/>
      <c r="Q17" s="1557" t="str">
        <f>B17</f>
        <v>交通便捷度</v>
      </c>
      <c r="R17" s="1558" t="s">
        <v>8</v>
      </c>
      <c r="S17" s="1559">
        <f>F17</f>
        <v>100</v>
      </c>
      <c r="T17" s="1558" t="s">
        <v>8</v>
      </c>
      <c r="U17" s="1559">
        <f>H17</f>
        <v>100</v>
      </c>
      <c r="V17" s="1558" t="s">
        <v>8</v>
      </c>
      <c r="W17" s="1559">
        <f>J17</f>
        <v>100</v>
      </c>
      <c r="X17" s="1552"/>
      <c r="Y17" s="3465"/>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65"/>
      <c r="Q18" s="1557"/>
      <c r="R18" s="1558"/>
      <c r="S18" s="1559"/>
      <c r="T18" s="1558"/>
      <c r="U18" s="1559"/>
      <c r="V18" s="1558"/>
      <c r="W18" s="1559"/>
      <c r="X18" s="1552"/>
      <c r="Y18" s="3465"/>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65"/>
      <c r="Q19" s="1557" t="str">
        <f>B19</f>
        <v>公共配套设施</v>
      </c>
      <c r="R19" s="1558" t="s">
        <v>8</v>
      </c>
      <c r="S19" s="1559">
        <f>F19</f>
        <v>100</v>
      </c>
      <c r="T19" s="1558" t="s">
        <v>8</v>
      </c>
      <c r="U19" s="1559">
        <f>H19</f>
        <v>100</v>
      </c>
      <c r="V19" s="1558" t="s">
        <v>8</v>
      </c>
      <c r="W19" s="1559">
        <f>J19</f>
        <v>100</v>
      </c>
      <c r="X19" s="1552"/>
      <c r="Y19" s="346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65"/>
      <c r="Q20" s="1557"/>
      <c r="R20" s="1558"/>
      <c r="S20" s="1559"/>
      <c r="T20" s="1558"/>
      <c r="U20" s="1559"/>
      <c r="V20" s="1558"/>
      <c r="W20" s="1559"/>
      <c r="X20" s="1552"/>
      <c r="Y20" s="3465"/>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65"/>
      <c r="Q21" s="2542" t="str">
        <f>B21</f>
        <v>基础设施水平</v>
      </c>
      <c r="R21" s="1558" t="s">
        <v>8</v>
      </c>
      <c r="S21" s="1559">
        <f>F21</f>
        <v>100</v>
      </c>
      <c r="T21" s="1558" t="s">
        <v>8</v>
      </c>
      <c r="U21" s="1559">
        <f>H21</f>
        <v>100</v>
      </c>
      <c r="V21" s="1558" t="s">
        <v>8</v>
      </c>
      <c r="W21" s="1559">
        <f>J21</f>
        <v>100</v>
      </c>
      <c r="X21" s="2544"/>
      <c r="Y21" s="3465"/>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65"/>
      <c r="Q22" s="2542"/>
      <c r="R22" s="1558"/>
      <c r="S22" s="1559"/>
      <c r="T22" s="1558"/>
      <c r="U22" s="1559"/>
      <c r="V22" s="1558"/>
      <c r="W22" s="1559"/>
      <c r="X22" s="2544"/>
      <c r="Y22" s="3465"/>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65"/>
      <c r="Q23" s="1557" t="str">
        <f>B23</f>
        <v>环境质量</v>
      </c>
      <c r="R23" s="1558" t="s">
        <v>8</v>
      </c>
      <c r="S23" s="1559">
        <f>F23</f>
        <v>100</v>
      </c>
      <c r="T23" s="1558" t="s">
        <v>8</v>
      </c>
      <c r="U23" s="1559">
        <f>H23</f>
        <v>100</v>
      </c>
      <c r="V23" s="1558" t="s">
        <v>8</v>
      </c>
      <c r="W23" s="1559">
        <f>J23</f>
        <v>100</v>
      </c>
      <c r="X23" s="1552"/>
      <c r="Y23" s="3465"/>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65"/>
      <c r="Q24" s="1557"/>
      <c r="R24" s="1558"/>
      <c r="S24" s="1559"/>
      <c r="T24" s="1558"/>
      <c r="U24" s="1559"/>
      <c r="V24" s="1558"/>
      <c r="W24" s="1559"/>
      <c r="X24" s="1552"/>
      <c r="Y24" s="3465"/>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65"/>
      <c r="Q25" s="1557">
        <f>B25</f>
        <v>111</v>
      </c>
      <c r="R25" s="1558" t="s">
        <v>8</v>
      </c>
      <c r="S25" s="1559">
        <f>F25</f>
        <v>100</v>
      </c>
      <c r="T25" s="1558" t="s">
        <v>8</v>
      </c>
      <c r="U25" s="1559">
        <f>H25</f>
        <v>100</v>
      </c>
      <c r="V25" s="1558" t="s">
        <v>8</v>
      </c>
      <c r="W25" s="1559">
        <f>J25</f>
        <v>100</v>
      </c>
      <c r="X25" s="1552"/>
      <c r="Y25" s="3465"/>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65"/>
      <c r="Q26" s="1557">
        <f t="shared" ref="Q26:Q40" si="11">B26</f>
        <v>111</v>
      </c>
      <c r="R26" s="1558" t="s">
        <v>8</v>
      </c>
      <c r="S26" s="1559">
        <f>F26</f>
        <v>100</v>
      </c>
      <c r="T26" s="1558" t="s">
        <v>8</v>
      </c>
      <c r="U26" s="1559">
        <f>H26</f>
        <v>100</v>
      </c>
      <c r="V26" s="1558" t="s">
        <v>8</v>
      </c>
      <c r="W26" s="1559">
        <f>J26</f>
        <v>100</v>
      </c>
      <c r="X26" s="1552"/>
      <c r="Y26" s="3465"/>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65"/>
      <c r="Q27" s="1145">
        <f t="shared" si="11"/>
        <v>111</v>
      </c>
      <c r="R27" s="1553" t="s">
        <v>8</v>
      </c>
      <c r="S27" s="1554">
        <f>F27</f>
        <v>100</v>
      </c>
      <c r="T27" s="1553" t="s">
        <v>8</v>
      </c>
      <c r="U27" s="1554">
        <f>H27</f>
        <v>100</v>
      </c>
      <c r="V27" s="1553" t="s">
        <v>8</v>
      </c>
      <c r="W27" s="1554">
        <f>J27</f>
        <v>100</v>
      </c>
      <c r="X27" s="1555"/>
      <c r="Y27" s="3465"/>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65"/>
      <c r="Q28" s="1557">
        <f t="shared" si="11"/>
        <v>111</v>
      </c>
      <c r="R28" s="1558" t="s">
        <v>8</v>
      </c>
      <c r="S28" s="1559">
        <f t="shared" ref="S28:S40" si="12">F28</f>
        <v>100</v>
      </c>
      <c r="T28" s="1558" t="s">
        <v>8</v>
      </c>
      <c r="U28" s="1559">
        <f t="shared" ref="U28:U40" si="13">H28</f>
        <v>100</v>
      </c>
      <c r="V28" s="1558" t="s">
        <v>8</v>
      </c>
      <c r="W28" s="1559">
        <f t="shared" ref="W28:W40" si="14">J28</f>
        <v>100</v>
      </c>
      <c r="X28" s="1552"/>
      <c r="Y28" s="3465"/>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66" t="s">
        <v>550</v>
      </c>
      <c r="Q29" s="1557" t="str">
        <f t="shared" si="11"/>
        <v>建筑类型</v>
      </c>
      <c r="R29" s="1558" t="s">
        <v>8</v>
      </c>
      <c r="S29" s="1559">
        <f t="shared" si="12"/>
        <v>100</v>
      </c>
      <c r="T29" s="1558" t="s">
        <v>8</v>
      </c>
      <c r="U29" s="1559">
        <f t="shared" si="13"/>
        <v>100</v>
      </c>
      <c r="V29" s="1558" t="s">
        <v>8</v>
      </c>
      <c r="W29" s="1559">
        <f t="shared" si="14"/>
        <v>100</v>
      </c>
      <c r="X29" s="1552"/>
      <c r="Y29" s="3467"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67"/>
      <c r="Q30" s="1589" t="str">
        <f t="shared" si="11"/>
        <v>项目建筑规模</v>
      </c>
      <c r="R30" s="1562" t="s">
        <v>8</v>
      </c>
      <c r="S30" s="1563" t="e">
        <f t="shared" si="12"/>
        <v>#N/A</v>
      </c>
      <c r="T30" s="1562" t="s">
        <v>8</v>
      </c>
      <c r="U30" s="1563" t="e">
        <f t="shared" si="13"/>
        <v>#N/A</v>
      </c>
      <c r="V30" s="1562" t="s">
        <v>8</v>
      </c>
      <c r="W30" s="1563" t="e">
        <f t="shared" si="14"/>
        <v>#N/A</v>
      </c>
      <c r="X30" s="1564"/>
      <c r="Y30" s="3467"/>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67"/>
      <c r="Q31" s="1557" t="str">
        <f t="shared" si="11"/>
        <v>建筑结构</v>
      </c>
      <c r="R31" s="1558" t="s">
        <v>8</v>
      </c>
      <c r="S31" s="1559">
        <f t="shared" si="12"/>
        <v>100</v>
      </c>
      <c r="T31" s="1558" t="s">
        <v>8</v>
      </c>
      <c r="U31" s="1559">
        <f t="shared" si="13"/>
        <v>100</v>
      </c>
      <c r="V31" s="1558" t="s">
        <v>8</v>
      </c>
      <c r="W31" s="1559">
        <f t="shared" si="14"/>
        <v>100</v>
      </c>
      <c r="X31" s="1552"/>
      <c r="Y31" s="3467"/>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67"/>
      <c r="Q32" s="1557" t="str">
        <f t="shared" si="11"/>
        <v>公共部分装修</v>
      </c>
      <c r="R32" s="1558" t="s">
        <v>8</v>
      </c>
      <c r="S32" s="1559">
        <f t="shared" si="12"/>
        <v>100</v>
      </c>
      <c r="T32" s="1558" t="s">
        <v>8</v>
      </c>
      <c r="U32" s="1559">
        <f t="shared" si="13"/>
        <v>100</v>
      </c>
      <c r="V32" s="1558" t="s">
        <v>8</v>
      </c>
      <c r="W32" s="1559">
        <f t="shared" si="14"/>
        <v>100</v>
      </c>
      <c r="X32" s="1552"/>
      <c r="Y32" s="3467"/>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67"/>
      <c r="Q33" s="1557" t="str">
        <f t="shared" si="11"/>
        <v>成新度</v>
      </c>
      <c r="R33" s="1558" t="s">
        <v>8</v>
      </c>
      <c r="S33" s="1559" t="e">
        <f t="shared" si="12"/>
        <v>#N/A</v>
      </c>
      <c r="T33" s="1558" t="s">
        <v>8</v>
      </c>
      <c r="U33" s="1559" t="e">
        <f t="shared" si="13"/>
        <v>#N/A</v>
      </c>
      <c r="V33" s="1558" t="s">
        <v>8</v>
      </c>
      <c r="W33" s="1559" t="e">
        <f t="shared" si="14"/>
        <v>#N/A</v>
      </c>
      <c r="X33" s="1552"/>
      <c r="Y33" s="3467"/>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67"/>
      <c r="Q34" s="1145" t="str">
        <f t="shared" si="11"/>
        <v>物业管理</v>
      </c>
      <c r="R34" s="1553" t="s">
        <v>8</v>
      </c>
      <c r="S34" s="1554">
        <f t="shared" si="12"/>
        <v>100</v>
      </c>
      <c r="T34" s="1553" t="s">
        <v>8</v>
      </c>
      <c r="U34" s="1554">
        <f t="shared" si="13"/>
        <v>100</v>
      </c>
      <c r="V34" s="1553" t="s">
        <v>8</v>
      </c>
      <c r="W34" s="1554">
        <f t="shared" si="14"/>
        <v>100</v>
      </c>
      <c r="X34" s="1555"/>
      <c r="Y34" s="3467"/>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67" t="s">
        <v>550</v>
      </c>
      <c r="Q35" s="1557" t="str">
        <f t="shared" si="11"/>
        <v>市政基础设施</v>
      </c>
      <c r="R35" s="1558" t="s">
        <v>8</v>
      </c>
      <c r="S35" s="1559">
        <f t="shared" si="12"/>
        <v>100</v>
      </c>
      <c r="T35" s="1558" t="s">
        <v>8</v>
      </c>
      <c r="U35" s="1559">
        <f t="shared" si="13"/>
        <v>100</v>
      </c>
      <c r="V35" s="1558" t="s">
        <v>8</v>
      </c>
      <c r="W35" s="1559">
        <f t="shared" si="14"/>
        <v>100</v>
      </c>
      <c r="X35" s="1552"/>
      <c r="Y35" s="3467"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67"/>
      <c r="Q36" s="1557" t="str">
        <f t="shared" si="11"/>
        <v>内部装修</v>
      </c>
      <c r="R36" s="1558" t="s">
        <v>8</v>
      </c>
      <c r="S36" s="1559">
        <f t="shared" si="12"/>
        <v>100</v>
      </c>
      <c r="T36" s="1558" t="s">
        <v>8</v>
      </c>
      <c r="U36" s="1559">
        <f t="shared" si="13"/>
        <v>100</v>
      </c>
      <c r="V36" s="1558" t="s">
        <v>8</v>
      </c>
      <c r="W36" s="1559">
        <f t="shared" si="14"/>
        <v>100</v>
      </c>
      <c r="X36" s="1552"/>
      <c r="Y36" s="3467"/>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67"/>
      <c r="Q37" s="1557" t="str">
        <f t="shared" si="11"/>
        <v>内部装修状况</v>
      </c>
      <c r="R37" s="1558" t="s">
        <v>8</v>
      </c>
      <c r="S37" s="1559">
        <f t="shared" si="12"/>
        <v>100</v>
      </c>
      <c r="T37" s="1558" t="s">
        <v>8</v>
      </c>
      <c r="U37" s="1559">
        <f t="shared" si="13"/>
        <v>100</v>
      </c>
      <c r="V37" s="1558" t="s">
        <v>8</v>
      </c>
      <c r="W37" s="1559">
        <f t="shared" si="14"/>
        <v>100</v>
      </c>
      <c r="X37" s="1552"/>
      <c r="Y37" s="3467"/>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67"/>
      <c r="Q38" s="1589">
        <f t="shared" si="11"/>
        <v>111</v>
      </c>
      <c r="R38" s="1562" t="s">
        <v>8</v>
      </c>
      <c r="S38" s="1563">
        <f t="shared" si="12"/>
        <v>100</v>
      </c>
      <c r="T38" s="1562" t="s">
        <v>8</v>
      </c>
      <c r="U38" s="1563">
        <f t="shared" si="13"/>
        <v>100</v>
      </c>
      <c r="V38" s="1562" t="s">
        <v>8</v>
      </c>
      <c r="W38" s="1563">
        <f t="shared" si="14"/>
        <v>100</v>
      </c>
      <c r="X38" s="1564"/>
      <c r="Y38" s="3467"/>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67"/>
      <c r="Q39" s="1557">
        <f t="shared" si="11"/>
        <v>111</v>
      </c>
      <c r="R39" s="1558" t="s">
        <v>8</v>
      </c>
      <c r="S39" s="1559">
        <f t="shared" si="12"/>
        <v>100</v>
      </c>
      <c r="T39" s="1558" t="s">
        <v>8</v>
      </c>
      <c r="U39" s="1559">
        <f t="shared" si="13"/>
        <v>100</v>
      </c>
      <c r="V39" s="1558" t="s">
        <v>8</v>
      </c>
      <c r="W39" s="1559">
        <f t="shared" si="14"/>
        <v>100</v>
      </c>
      <c r="X39" s="1552"/>
      <c r="Y39" s="3467"/>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32"/>
      <c r="Q40" s="1557">
        <f t="shared" si="11"/>
        <v>111</v>
      </c>
      <c r="R40" s="1558" t="s">
        <v>8</v>
      </c>
      <c r="S40" s="1559">
        <f t="shared" si="12"/>
        <v>100</v>
      </c>
      <c r="T40" s="1558" t="s">
        <v>8</v>
      </c>
      <c r="U40" s="1559">
        <f t="shared" si="13"/>
        <v>100</v>
      </c>
      <c r="V40" s="1558" t="s">
        <v>8</v>
      </c>
      <c r="W40" s="1559">
        <f t="shared" si="14"/>
        <v>100</v>
      </c>
      <c r="X40" s="1552"/>
      <c r="Y40" s="3532"/>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62" t="str">
        <f>A41</f>
        <v>成交单价（元/平方米）</v>
      </c>
      <c r="Q41" s="3462"/>
      <c r="R41" s="3531">
        <f>E41</f>
        <v>0</v>
      </c>
      <c r="S41" s="3531"/>
      <c r="T41" s="3531">
        <f>G41</f>
        <v>0</v>
      </c>
      <c r="U41" s="3531"/>
      <c r="V41" s="3531">
        <f>I41</f>
        <v>0</v>
      </c>
      <c r="W41" s="3531"/>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62" t="str">
        <f>A42</f>
        <v>比较价格（元/平方米）</v>
      </c>
      <c r="Q42" s="3462"/>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83" t="str">
        <f>A43</f>
        <v>估价对象XX用房的比较价格（楼面单价，元/平方米）</v>
      </c>
      <c r="Q43" s="3484"/>
      <c r="R43" s="3530" t="e">
        <f>IF(F1="售价",ROUND(AVERAGE(R42:V42),0),ROUND(AVERAGE(R42:V42),1))</f>
        <v>#DIV/0!</v>
      </c>
      <c r="S43" s="3530"/>
      <c r="T43" s="3530"/>
      <c r="U43" s="3530"/>
      <c r="V43" s="3530"/>
      <c r="W43" s="353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8" t="s">
        <v>798</v>
      </c>
      <c r="D4" s="3469"/>
      <c r="E4" s="3468" t="s">
        <v>799</v>
      </c>
      <c r="F4" s="3469"/>
      <c r="G4" s="3468" t="s">
        <v>800</v>
      </c>
      <c r="H4" s="3469"/>
      <c r="I4" s="3468" t="s">
        <v>801</v>
      </c>
      <c r="J4" s="3469"/>
      <c r="K4" s="514" t="s">
        <v>802</v>
      </c>
      <c r="L4" s="2117"/>
      <c r="M4" s="2118"/>
      <c r="N4" s="2118"/>
      <c r="O4" s="2118"/>
      <c r="P4" s="3470" t="s">
        <v>803</v>
      </c>
      <c r="Q4" s="3471"/>
      <c r="R4" s="3456" t="s">
        <v>799</v>
      </c>
      <c r="S4" s="3457"/>
      <c r="T4" s="3456" t="s">
        <v>800</v>
      </c>
      <c r="U4" s="3457"/>
      <c r="V4" s="3476" t="s">
        <v>801</v>
      </c>
      <c r="W4" s="3476"/>
      <c r="X4" s="1552"/>
      <c r="Y4" s="3456" t="s">
        <v>803</v>
      </c>
      <c r="Z4" s="3457"/>
      <c r="AA4" s="3451" t="s">
        <v>799</v>
      </c>
      <c r="AB4" s="3452" t="s">
        <v>800</v>
      </c>
      <c r="AC4" s="3451" t="s">
        <v>801</v>
      </c>
    </row>
    <row r="5" spans="1:29" ht="15">
      <c r="A5" s="515"/>
      <c r="B5" s="516"/>
      <c r="C5" s="3479" t="s">
        <v>2923</v>
      </c>
      <c r="D5" s="3480"/>
      <c r="E5" s="3479" t="s">
        <v>2924</v>
      </c>
      <c r="F5" s="3480"/>
      <c r="G5" s="3479" t="s">
        <v>2925</v>
      </c>
      <c r="H5" s="3480"/>
      <c r="I5" s="3479" t="s">
        <v>2926</v>
      </c>
      <c r="J5" s="3480"/>
      <c r="K5" s="514"/>
      <c r="L5" s="2117"/>
      <c r="M5" s="2118"/>
      <c r="N5" s="2118"/>
      <c r="O5" s="2118"/>
      <c r="P5" s="3472"/>
      <c r="Q5" s="3473"/>
      <c r="R5" s="3458"/>
      <c r="S5" s="3459"/>
      <c r="T5" s="3458"/>
      <c r="U5" s="3459"/>
      <c r="V5" s="3476"/>
      <c r="W5" s="3476"/>
      <c r="X5" s="1552"/>
      <c r="Y5" s="3458"/>
      <c r="Z5" s="3459"/>
      <c r="AA5" s="3452"/>
      <c r="AB5" s="3452"/>
      <c r="AC5" s="3452"/>
    </row>
    <row r="6" spans="1:29" ht="15.75" thickBot="1">
      <c r="A6" s="517"/>
      <c r="B6" s="518"/>
      <c r="C6" s="3477" t="s">
        <v>2927</v>
      </c>
      <c r="D6" s="3478"/>
      <c r="E6" s="3481" t="s">
        <v>2927</v>
      </c>
      <c r="F6" s="3482"/>
      <c r="G6" s="3477" t="s">
        <v>2927</v>
      </c>
      <c r="H6" s="3478"/>
      <c r="I6" s="3477" t="s">
        <v>2927</v>
      </c>
      <c r="J6" s="3478"/>
      <c r="K6" s="514" t="s">
        <v>528</v>
      </c>
      <c r="L6" s="2117"/>
      <c r="M6" s="2118"/>
      <c r="N6" s="2118"/>
      <c r="O6" s="2118"/>
      <c r="P6" s="3474"/>
      <c r="Q6" s="3475"/>
      <c r="R6" s="3458"/>
      <c r="S6" s="3459"/>
      <c r="T6" s="3460"/>
      <c r="U6" s="3461"/>
      <c r="V6" s="3476"/>
      <c r="W6" s="3476"/>
      <c r="X6" s="1552"/>
      <c r="Y6" s="3460"/>
      <c r="Z6" s="3461"/>
      <c r="AA6" s="3453"/>
      <c r="AB6" s="3453"/>
      <c r="AC6" s="3453"/>
    </row>
    <row r="7" spans="1:29" s="1214" customFormat="1" ht="15.75" thickBot="1">
      <c r="A7" s="2866"/>
      <c r="B7" s="2873" t="s">
        <v>529</v>
      </c>
      <c r="C7" s="519">
        <f>'数据-取费表'!B2</f>
        <v>44010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54" t="s">
        <v>530</v>
      </c>
      <c r="Q7" s="3463"/>
      <c r="R7" s="1553" t="s">
        <v>8</v>
      </c>
      <c r="S7" s="1554">
        <f t="shared" ref="S7:S14" si="0">F7</f>
        <v>0</v>
      </c>
      <c r="T7" s="1553" t="s">
        <v>8</v>
      </c>
      <c r="U7" s="1554">
        <f t="shared" ref="U7:U14" si="1">H7</f>
        <v>0</v>
      </c>
      <c r="V7" s="1553" t="s">
        <v>8</v>
      </c>
      <c r="W7" s="1554">
        <f t="shared" ref="W7:W14" si="2">J7</f>
        <v>0</v>
      </c>
      <c r="X7" s="1555"/>
      <c r="Y7" s="3454" t="s">
        <v>530</v>
      </c>
      <c r="Z7" s="3455"/>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54" t="s">
        <v>533</v>
      </c>
      <c r="Q8" s="3455"/>
      <c r="R8" s="1553" t="s">
        <v>8</v>
      </c>
      <c r="S8" s="1554">
        <f t="shared" si="0"/>
        <v>0</v>
      </c>
      <c r="T8" s="1553" t="s">
        <v>8</v>
      </c>
      <c r="U8" s="1554">
        <f t="shared" si="1"/>
        <v>0</v>
      </c>
      <c r="V8" s="1553" t="s">
        <v>8</v>
      </c>
      <c r="W8" s="1554">
        <f t="shared" si="2"/>
        <v>0</v>
      </c>
      <c r="X8" s="1555"/>
      <c r="Y8" s="3454" t="s">
        <v>533</v>
      </c>
      <c r="Z8" s="3455"/>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62" t="s">
        <v>535</v>
      </c>
      <c r="Q9" s="1145" t="str">
        <f t="shared" ref="Q9:Q14" si="6">B9</f>
        <v>用途</v>
      </c>
      <c r="R9" s="1553" t="s">
        <v>8</v>
      </c>
      <c r="S9" s="1554">
        <f t="shared" si="0"/>
        <v>100</v>
      </c>
      <c r="T9" s="1553" t="s">
        <v>8</v>
      </c>
      <c r="U9" s="1554">
        <f t="shared" si="1"/>
        <v>100</v>
      </c>
      <c r="V9" s="1553" t="s">
        <v>8</v>
      </c>
      <c r="W9" s="1554">
        <f t="shared" si="2"/>
        <v>100</v>
      </c>
      <c r="X9" s="1555"/>
      <c r="Y9" s="3387"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62"/>
      <c r="Q10" s="1145" t="str">
        <f t="shared" si="6"/>
        <v>土地使用年限（年）</v>
      </c>
      <c r="R10" s="1553" t="s">
        <v>8</v>
      </c>
      <c r="S10" s="1554">
        <f t="shared" si="0"/>
        <v>100</v>
      </c>
      <c r="T10" s="1553" t="s">
        <v>8</v>
      </c>
      <c r="U10" s="1554">
        <f t="shared" si="1"/>
        <v>100</v>
      </c>
      <c r="V10" s="1553" t="s">
        <v>8</v>
      </c>
      <c r="W10" s="1554">
        <f t="shared" si="2"/>
        <v>100</v>
      </c>
      <c r="X10" s="1555"/>
      <c r="Y10" s="3387"/>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62"/>
      <c r="Q11" s="1145">
        <f t="shared" si="6"/>
        <v>111</v>
      </c>
      <c r="R11" s="1553" t="s">
        <v>8</v>
      </c>
      <c r="S11" s="1554">
        <f t="shared" si="0"/>
        <v>100</v>
      </c>
      <c r="T11" s="1553" t="s">
        <v>8</v>
      </c>
      <c r="U11" s="1554">
        <f t="shared" si="1"/>
        <v>100</v>
      </c>
      <c r="V11" s="1553" t="s">
        <v>8</v>
      </c>
      <c r="W11" s="1554">
        <f t="shared" si="2"/>
        <v>100</v>
      </c>
      <c r="X11" s="1555"/>
      <c r="Y11" s="3387"/>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62"/>
      <c r="Q12" s="1145">
        <f t="shared" si="6"/>
        <v>111</v>
      </c>
      <c r="R12" s="1553" t="s">
        <v>8</v>
      </c>
      <c r="S12" s="1554">
        <f t="shared" si="0"/>
        <v>100</v>
      </c>
      <c r="T12" s="1553" t="s">
        <v>8</v>
      </c>
      <c r="U12" s="1554">
        <f t="shared" si="1"/>
        <v>100</v>
      </c>
      <c r="V12" s="1553" t="s">
        <v>8</v>
      </c>
      <c r="W12" s="1554">
        <f t="shared" si="2"/>
        <v>100</v>
      </c>
      <c r="X12" s="1555"/>
      <c r="Y12" s="3387"/>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62"/>
      <c r="Q13" s="1145">
        <f t="shared" si="6"/>
        <v>111</v>
      </c>
      <c r="R13" s="1553" t="s">
        <v>8</v>
      </c>
      <c r="S13" s="1554">
        <f t="shared" si="0"/>
        <v>100</v>
      </c>
      <c r="T13" s="1553" t="s">
        <v>8</v>
      </c>
      <c r="U13" s="1554">
        <f t="shared" si="1"/>
        <v>100</v>
      </c>
      <c r="V13" s="1553" t="s">
        <v>8</v>
      </c>
      <c r="W13" s="1554">
        <f t="shared" si="2"/>
        <v>100</v>
      </c>
      <c r="X13" s="1555"/>
      <c r="Y13" s="3387"/>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64" t="s">
        <v>540</v>
      </c>
      <c r="Q14" s="1557" t="str">
        <f t="shared" si="6"/>
        <v>交通便捷度</v>
      </c>
      <c r="R14" s="1558" t="s">
        <v>8</v>
      </c>
      <c r="S14" s="1559">
        <f t="shared" si="0"/>
        <v>100</v>
      </c>
      <c r="T14" s="1558" t="s">
        <v>8</v>
      </c>
      <c r="U14" s="1559">
        <f t="shared" si="1"/>
        <v>100</v>
      </c>
      <c r="V14" s="1558" t="s">
        <v>8</v>
      </c>
      <c r="W14" s="1559">
        <f t="shared" si="2"/>
        <v>100</v>
      </c>
      <c r="X14" s="1552"/>
      <c r="Y14" s="3464"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65"/>
      <c r="Q15" s="1557"/>
      <c r="R15" s="1558"/>
      <c r="S15" s="1559"/>
      <c r="T15" s="1558"/>
      <c r="U15" s="1559"/>
      <c r="V15" s="1558"/>
      <c r="W15" s="1559"/>
      <c r="X15" s="1552"/>
      <c r="Y15" s="3465"/>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65"/>
      <c r="Q16" s="1557" t="str">
        <f>B16</f>
        <v>公共配套设施</v>
      </c>
      <c r="R16" s="1558" t="s">
        <v>8</v>
      </c>
      <c r="S16" s="1559">
        <f>F16</f>
        <v>100</v>
      </c>
      <c r="T16" s="1558" t="s">
        <v>8</v>
      </c>
      <c r="U16" s="1559">
        <f>H16</f>
        <v>100</v>
      </c>
      <c r="V16" s="1558" t="s">
        <v>8</v>
      </c>
      <c r="W16" s="1559">
        <f>J16</f>
        <v>100</v>
      </c>
      <c r="X16" s="1552"/>
      <c r="Y16" s="3465"/>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65"/>
      <c r="Q17" s="1557"/>
      <c r="R17" s="1558"/>
      <c r="S17" s="1559"/>
      <c r="T17" s="1558"/>
      <c r="U17" s="1559"/>
      <c r="V17" s="1558"/>
      <c r="W17" s="1559"/>
      <c r="X17" s="1552"/>
      <c r="Y17" s="3465"/>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65"/>
      <c r="Q18" s="2542" t="str">
        <f>B18</f>
        <v>基础设施水平</v>
      </c>
      <c r="R18" s="1558" t="s">
        <v>8</v>
      </c>
      <c r="S18" s="1559">
        <f>F18</f>
        <v>100</v>
      </c>
      <c r="T18" s="1558" t="s">
        <v>8</v>
      </c>
      <c r="U18" s="1559">
        <f>H18</f>
        <v>100</v>
      </c>
      <c r="V18" s="1558" t="s">
        <v>8</v>
      </c>
      <c r="W18" s="1559">
        <f>J18</f>
        <v>100</v>
      </c>
      <c r="X18" s="2544"/>
      <c r="Y18" s="3465"/>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65"/>
      <c r="Q19" s="2542"/>
      <c r="R19" s="1558"/>
      <c r="S19" s="1559"/>
      <c r="T19" s="1558"/>
      <c r="U19" s="1559"/>
      <c r="V19" s="1558"/>
      <c r="W19" s="1559"/>
      <c r="X19" s="2544"/>
      <c r="Y19" s="3465"/>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65"/>
      <c r="Q20" s="1557" t="str">
        <f>B20</f>
        <v>自然及人文环境</v>
      </c>
      <c r="R20" s="1558" t="s">
        <v>8</v>
      </c>
      <c r="S20" s="1559">
        <f>F20</f>
        <v>100</v>
      </c>
      <c r="T20" s="1558" t="s">
        <v>8</v>
      </c>
      <c r="U20" s="1559">
        <f>H20</f>
        <v>100</v>
      </c>
      <c r="V20" s="1558" t="s">
        <v>8</v>
      </c>
      <c r="W20" s="1559">
        <f>J20</f>
        <v>100</v>
      </c>
      <c r="X20" s="1552"/>
      <c r="Y20" s="346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65"/>
      <c r="Q21" s="1557"/>
      <c r="R21" s="1558"/>
      <c r="S21" s="1559"/>
      <c r="T21" s="1558"/>
      <c r="U21" s="1559"/>
      <c r="V21" s="1558"/>
      <c r="W21" s="1559"/>
      <c r="X21" s="1552"/>
      <c r="Y21" s="346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65"/>
      <c r="Q22" s="1557" t="str">
        <f>B22</f>
        <v>楼层</v>
      </c>
      <c r="R22" s="1558" t="s">
        <v>8</v>
      </c>
      <c r="S22" s="1559">
        <f>F22</f>
        <v>100</v>
      </c>
      <c r="T22" s="1558" t="s">
        <v>8</v>
      </c>
      <c r="U22" s="1559">
        <f>H22</f>
        <v>100</v>
      </c>
      <c r="V22" s="1558" t="s">
        <v>8</v>
      </c>
      <c r="W22" s="1559">
        <f>J22</f>
        <v>100</v>
      </c>
      <c r="X22" s="1552"/>
      <c r="Y22" s="3465"/>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65"/>
      <c r="Q23" s="1557">
        <f>B23</f>
        <v>111</v>
      </c>
      <c r="R23" s="1558" t="s">
        <v>8</v>
      </c>
      <c r="S23" s="1559">
        <f>F23</f>
        <v>100</v>
      </c>
      <c r="T23" s="1558" t="s">
        <v>8</v>
      </c>
      <c r="U23" s="1559">
        <f>H23</f>
        <v>100</v>
      </c>
      <c r="V23" s="1558" t="s">
        <v>8</v>
      </c>
      <c r="W23" s="1559">
        <f>J23</f>
        <v>100</v>
      </c>
      <c r="X23" s="1552"/>
      <c r="Y23" s="3465"/>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65"/>
      <c r="Q24" s="1557">
        <f t="shared" ref="Q24:Q36" si="11">B24</f>
        <v>111</v>
      </c>
      <c r="R24" s="1558" t="s">
        <v>8</v>
      </c>
      <c r="S24" s="1559">
        <f>F24</f>
        <v>100</v>
      </c>
      <c r="T24" s="1558" t="s">
        <v>8</v>
      </c>
      <c r="U24" s="1559">
        <f>H24</f>
        <v>100</v>
      </c>
      <c r="V24" s="1558" t="s">
        <v>8</v>
      </c>
      <c r="W24" s="1559">
        <f>J24</f>
        <v>100</v>
      </c>
      <c r="X24" s="1552"/>
      <c r="Y24" s="3465"/>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65"/>
      <c r="Q25" s="1145">
        <f t="shared" si="11"/>
        <v>111</v>
      </c>
      <c r="R25" s="1553" t="s">
        <v>8</v>
      </c>
      <c r="S25" s="1554">
        <f>F25</f>
        <v>100</v>
      </c>
      <c r="T25" s="1553" t="s">
        <v>8</v>
      </c>
      <c r="U25" s="1554">
        <f>H25</f>
        <v>100</v>
      </c>
      <c r="V25" s="1553" t="s">
        <v>8</v>
      </c>
      <c r="W25" s="1554">
        <f>J25</f>
        <v>100</v>
      </c>
      <c r="X25" s="1555"/>
      <c r="Y25" s="3465"/>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6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67"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67"/>
      <c r="Q27" s="1589" t="str">
        <f t="shared" si="11"/>
        <v>项目停车位配比</v>
      </c>
      <c r="R27" s="1562" t="s">
        <v>8</v>
      </c>
      <c r="S27" s="1563">
        <f t="shared" si="12"/>
        <v>100</v>
      </c>
      <c r="T27" s="1562" t="s">
        <v>8</v>
      </c>
      <c r="U27" s="1563">
        <f t="shared" si="13"/>
        <v>100</v>
      </c>
      <c r="V27" s="1562" t="s">
        <v>8</v>
      </c>
      <c r="W27" s="1563">
        <f t="shared" si="14"/>
        <v>100</v>
      </c>
      <c r="X27" s="1564"/>
      <c r="Y27" s="3467"/>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67"/>
      <c r="Q28" s="1557" t="str">
        <f t="shared" si="11"/>
        <v>公共部分装修</v>
      </c>
      <c r="R28" s="1558" t="s">
        <v>8</v>
      </c>
      <c r="S28" s="1559">
        <f t="shared" si="12"/>
        <v>100</v>
      </c>
      <c r="T28" s="1558" t="s">
        <v>8</v>
      </c>
      <c r="U28" s="1559">
        <f t="shared" si="13"/>
        <v>100</v>
      </c>
      <c r="V28" s="1558" t="s">
        <v>8</v>
      </c>
      <c r="W28" s="1559">
        <f t="shared" si="14"/>
        <v>100</v>
      </c>
      <c r="X28" s="1552"/>
      <c r="Y28" s="3467"/>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67"/>
      <c r="Q29" s="1557" t="str">
        <f t="shared" si="11"/>
        <v>成新率</v>
      </c>
      <c r="R29" s="1558" t="s">
        <v>8</v>
      </c>
      <c r="S29" s="1559" t="e">
        <f t="shared" si="12"/>
        <v>#N/A</v>
      </c>
      <c r="T29" s="1558" t="s">
        <v>8</v>
      </c>
      <c r="U29" s="1559" t="e">
        <f t="shared" si="13"/>
        <v>#N/A</v>
      </c>
      <c r="V29" s="1558" t="s">
        <v>8</v>
      </c>
      <c r="W29" s="1559" t="e">
        <f t="shared" si="14"/>
        <v>#N/A</v>
      </c>
      <c r="X29" s="1552"/>
      <c r="Y29" s="3467"/>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67"/>
      <c r="Q30" s="1557" t="str">
        <f t="shared" si="11"/>
        <v>物业等级</v>
      </c>
      <c r="R30" s="1558" t="s">
        <v>8</v>
      </c>
      <c r="S30" s="1559">
        <f t="shared" si="12"/>
        <v>100</v>
      </c>
      <c r="T30" s="1558" t="s">
        <v>8</v>
      </c>
      <c r="U30" s="1559">
        <f t="shared" si="13"/>
        <v>100</v>
      </c>
      <c r="V30" s="1558" t="s">
        <v>8</v>
      </c>
      <c r="W30" s="1559">
        <f t="shared" si="14"/>
        <v>100</v>
      </c>
      <c r="X30" s="1552"/>
      <c r="Y30" s="3467"/>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67"/>
      <c r="Q31" s="1145" t="str">
        <f t="shared" si="11"/>
        <v>停车位面积</v>
      </c>
      <c r="R31" s="1553" t="s">
        <v>8</v>
      </c>
      <c r="S31" s="1554" t="e">
        <f t="shared" si="12"/>
        <v>#N/A</v>
      </c>
      <c r="T31" s="1553" t="s">
        <v>8</v>
      </c>
      <c r="U31" s="1554" t="e">
        <f t="shared" si="13"/>
        <v>#N/A</v>
      </c>
      <c r="V31" s="1553" t="s">
        <v>8</v>
      </c>
      <c r="W31" s="1554" t="e">
        <f t="shared" si="14"/>
        <v>#N/A</v>
      </c>
      <c r="X31" s="1555"/>
      <c r="Y31" s="3467"/>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67" t="s">
        <v>550</v>
      </c>
      <c r="Q32" s="1557" t="str">
        <f t="shared" si="11"/>
        <v>车位类型</v>
      </c>
      <c r="R32" s="1558" t="s">
        <v>8</v>
      </c>
      <c r="S32" s="1559">
        <f t="shared" si="12"/>
        <v>100</v>
      </c>
      <c r="T32" s="1558" t="s">
        <v>8</v>
      </c>
      <c r="U32" s="1559">
        <f t="shared" si="13"/>
        <v>100</v>
      </c>
      <c r="V32" s="1558" t="s">
        <v>8</v>
      </c>
      <c r="W32" s="1559">
        <f t="shared" si="14"/>
        <v>100</v>
      </c>
      <c r="X32" s="1552"/>
      <c r="Y32" s="3467"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67"/>
      <c r="Q33" s="1557" t="str">
        <f t="shared" si="11"/>
        <v>是否直接入户</v>
      </c>
      <c r="R33" s="1558" t="s">
        <v>8</v>
      </c>
      <c r="S33" s="1559">
        <f t="shared" si="12"/>
        <v>100</v>
      </c>
      <c r="T33" s="1558" t="s">
        <v>8</v>
      </c>
      <c r="U33" s="1559">
        <f t="shared" si="13"/>
        <v>100</v>
      </c>
      <c r="V33" s="1558" t="s">
        <v>8</v>
      </c>
      <c r="W33" s="1559">
        <f t="shared" si="14"/>
        <v>100</v>
      </c>
      <c r="X33" s="1552"/>
      <c r="Y33" s="3467"/>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67"/>
      <c r="Q34" s="1557">
        <f t="shared" si="11"/>
        <v>111</v>
      </c>
      <c r="R34" s="1558" t="s">
        <v>8</v>
      </c>
      <c r="S34" s="1559">
        <f t="shared" si="12"/>
        <v>100</v>
      </c>
      <c r="T34" s="1558" t="s">
        <v>8</v>
      </c>
      <c r="U34" s="1559">
        <f t="shared" si="13"/>
        <v>100</v>
      </c>
      <c r="V34" s="1558" t="s">
        <v>8</v>
      </c>
      <c r="W34" s="1559">
        <f t="shared" si="14"/>
        <v>100</v>
      </c>
      <c r="X34" s="1552"/>
      <c r="Y34" s="3467"/>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67"/>
      <c r="Q35" s="1589">
        <f t="shared" si="11"/>
        <v>111</v>
      </c>
      <c r="R35" s="1562" t="s">
        <v>8</v>
      </c>
      <c r="S35" s="1563">
        <f t="shared" si="12"/>
        <v>100</v>
      </c>
      <c r="T35" s="1562" t="s">
        <v>8</v>
      </c>
      <c r="U35" s="1563">
        <f t="shared" si="13"/>
        <v>100</v>
      </c>
      <c r="V35" s="1562" t="s">
        <v>8</v>
      </c>
      <c r="W35" s="1563">
        <f t="shared" si="14"/>
        <v>100</v>
      </c>
      <c r="X35" s="1564"/>
      <c r="Y35" s="3467"/>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67"/>
      <c r="Q36" s="1557">
        <f t="shared" si="11"/>
        <v>111</v>
      </c>
      <c r="R36" s="1558" t="s">
        <v>8</v>
      </c>
      <c r="S36" s="1559">
        <f t="shared" si="12"/>
        <v>100</v>
      </c>
      <c r="T36" s="1558" t="s">
        <v>8</v>
      </c>
      <c r="U36" s="1559">
        <f t="shared" si="13"/>
        <v>100</v>
      </c>
      <c r="V36" s="1558" t="s">
        <v>8</v>
      </c>
      <c r="W36" s="1559">
        <f t="shared" si="14"/>
        <v>100</v>
      </c>
      <c r="X36" s="1552"/>
      <c r="Y36" s="3467"/>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62" t="str">
        <f>A37</f>
        <v>成交单价</v>
      </c>
      <c r="Q37" s="3462"/>
      <c r="R37" s="3531">
        <f>E37</f>
        <v>0</v>
      </c>
      <c r="S37" s="3531"/>
      <c r="T37" s="3531">
        <f>G37</f>
        <v>0</v>
      </c>
      <c r="U37" s="3531"/>
      <c r="V37" s="3531">
        <f>I37</f>
        <v>0</v>
      </c>
      <c r="W37" s="3531"/>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62" t="str">
        <f>A38</f>
        <v>比较价格（元/平方米）</v>
      </c>
      <c r="Q38" s="3462"/>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83" t="str">
        <f>A39</f>
        <v>估价对象XX用房的比较价格（楼面单价，元/平方米）</v>
      </c>
      <c r="Q39" s="3484"/>
      <c r="R39" s="3530" t="e">
        <f>IF(F1="售价",ROUND(AVERAGE(R38:V38),0),ROUND(AVERAGE(R38:V38),1))</f>
        <v>#DIV/0!</v>
      </c>
      <c r="S39" s="3530"/>
      <c r="T39" s="3530"/>
      <c r="U39" s="3530"/>
      <c r="V39" s="3530"/>
      <c r="W39" s="353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8" t="s">
        <v>798</v>
      </c>
      <c r="D4" s="3469"/>
      <c r="E4" s="3492" t="s">
        <v>799</v>
      </c>
      <c r="F4" s="3493"/>
      <c r="G4" s="3468" t="s">
        <v>800</v>
      </c>
      <c r="H4" s="3469"/>
      <c r="I4" s="3468" t="s">
        <v>801</v>
      </c>
      <c r="J4" s="3469"/>
      <c r="K4" s="514" t="s">
        <v>802</v>
      </c>
      <c r="L4" s="2117"/>
      <c r="M4" s="2118"/>
      <c r="N4" s="2118"/>
      <c r="O4" s="2118"/>
      <c r="P4" s="3470" t="s">
        <v>803</v>
      </c>
      <c r="Q4" s="3471"/>
      <c r="R4" s="3456" t="s">
        <v>799</v>
      </c>
      <c r="S4" s="3457"/>
      <c r="T4" s="3456" t="s">
        <v>800</v>
      </c>
      <c r="U4" s="3457"/>
      <c r="V4" s="3476" t="s">
        <v>801</v>
      </c>
      <c r="W4" s="3476"/>
      <c r="X4" s="1552"/>
      <c r="Y4" s="3456" t="s">
        <v>803</v>
      </c>
      <c r="Z4" s="3457"/>
      <c r="AA4" s="3451" t="s">
        <v>799</v>
      </c>
      <c r="AB4" s="3452" t="s">
        <v>800</v>
      </c>
      <c r="AC4" s="3451" t="s">
        <v>801</v>
      </c>
    </row>
    <row r="5" spans="1:29" ht="15">
      <c r="A5" s="515"/>
      <c r="B5" s="516"/>
      <c r="C5" s="3479" t="s">
        <v>2923</v>
      </c>
      <c r="D5" s="3480"/>
      <c r="E5" s="3494" t="s">
        <v>2924</v>
      </c>
      <c r="F5" s="3495"/>
      <c r="G5" s="3479" t="s">
        <v>2925</v>
      </c>
      <c r="H5" s="3480"/>
      <c r="I5" s="3479" t="s">
        <v>2926</v>
      </c>
      <c r="J5" s="3480"/>
      <c r="K5" s="514"/>
      <c r="L5" s="2117"/>
      <c r="M5" s="2118"/>
      <c r="N5" s="2118"/>
      <c r="O5" s="2118"/>
      <c r="P5" s="3472"/>
      <c r="Q5" s="3473"/>
      <c r="R5" s="3458"/>
      <c r="S5" s="3459"/>
      <c r="T5" s="3458"/>
      <c r="U5" s="3459"/>
      <c r="V5" s="3476"/>
      <c r="W5" s="3476"/>
      <c r="X5" s="1552"/>
      <c r="Y5" s="3458"/>
      <c r="Z5" s="3459"/>
      <c r="AA5" s="3452"/>
      <c r="AB5" s="3452"/>
      <c r="AC5" s="3452"/>
    </row>
    <row r="6" spans="1:29" ht="15.75" thickBot="1">
      <c r="A6" s="517"/>
      <c r="B6" s="518"/>
      <c r="C6" s="3477" t="s">
        <v>2927</v>
      </c>
      <c r="D6" s="3478"/>
      <c r="E6" s="3496" t="s">
        <v>2927</v>
      </c>
      <c r="F6" s="3497"/>
      <c r="G6" s="3477" t="s">
        <v>2927</v>
      </c>
      <c r="H6" s="3478"/>
      <c r="I6" s="3477" t="s">
        <v>2927</v>
      </c>
      <c r="J6" s="3478"/>
      <c r="K6" s="514" t="s">
        <v>528</v>
      </c>
      <c r="L6" s="2117"/>
      <c r="M6" s="2118"/>
      <c r="N6" s="2118"/>
      <c r="O6" s="2118"/>
      <c r="P6" s="3474"/>
      <c r="Q6" s="3475"/>
      <c r="R6" s="3458"/>
      <c r="S6" s="3459"/>
      <c r="T6" s="3460"/>
      <c r="U6" s="3461"/>
      <c r="V6" s="3476"/>
      <c r="W6" s="3476"/>
      <c r="X6" s="1552"/>
      <c r="Y6" s="3460"/>
      <c r="Z6" s="3461"/>
      <c r="AA6" s="3453"/>
      <c r="AB6" s="3453"/>
      <c r="AC6" s="3453"/>
    </row>
    <row r="7" spans="1:29" s="1214" customFormat="1" ht="15.75" thickBot="1">
      <c r="A7" s="2866"/>
      <c r="B7" s="2873" t="s">
        <v>529</v>
      </c>
      <c r="C7" s="519">
        <f>'数据-取费表'!B2</f>
        <v>44010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54" t="s">
        <v>530</v>
      </c>
      <c r="Q7" s="3463"/>
      <c r="R7" s="1553" t="s">
        <v>8</v>
      </c>
      <c r="S7" s="1554">
        <f t="shared" ref="S7:S14" si="0">F7</f>
        <v>0</v>
      </c>
      <c r="T7" s="1553" t="s">
        <v>8</v>
      </c>
      <c r="U7" s="1554">
        <f t="shared" ref="U7:U14" si="1">H7</f>
        <v>0</v>
      </c>
      <c r="V7" s="1553" t="s">
        <v>8</v>
      </c>
      <c r="W7" s="1554">
        <f t="shared" ref="W7:W14" si="2">J7</f>
        <v>0</v>
      </c>
      <c r="X7" s="1555"/>
      <c r="Y7" s="3454" t="s">
        <v>530</v>
      </c>
      <c r="Z7" s="3455"/>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54" t="s">
        <v>533</v>
      </c>
      <c r="Q8" s="3455"/>
      <c r="R8" s="1553" t="s">
        <v>8</v>
      </c>
      <c r="S8" s="1554">
        <f t="shared" si="0"/>
        <v>0</v>
      </c>
      <c r="T8" s="1553" t="s">
        <v>8</v>
      </c>
      <c r="U8" s="1554">
        <f t="shared" si="1"/>
        <v>0</v>
      </c>
      <c r="V8" s="1553" t="s">
        <v>8</v>
      </c>
      <c r="W8" s="1554">
        <f t="shared" si="2"/>
        <v>0</v>
      </c>
      <c r="X8" s="1555"/>
      <c r="Y8" s="3454" t="s">
        <v>533</v>
      </c>
      <c r="Z8" s="3455"/>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62" t="s">
        <v>535</v>
      </c>
      <c r="Q9" s="1145" t="str">
        <f t="shared" ref="Q9:Q14" si="6">B9</f>
        <v>用途</v>
      </c>
      <c r="R9" s="1553" t="s">
        <v>8</v>
      </c>
      <c r="S9" s="1554">
        <f t="shared" si="0"/>
        <v>100</v>
      </c>
      <c r="T9" s="1553" t="s">
        <v>8</v>
      </c>
      <c r="U9" s="1554">
        <f t="shared" si="1"/>
        <v>100</v>
      </c>
      <c r="V9" s="1553" t="s">
        <v>8</v>
      </c>
      <c r="W9" s="1554">
        <f t="shared" si="2"/>
        <v>100</v>
      </c>
      <c r="X9" s="1555"/>
      <c r="Y9" s="3387"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62"/>
      <c r="Q10" s="1145" t="str">
        <f t="shared" si="6"/>
        <v>土地使用年限（年）</v>
      </c>
      <c r="R10" s="1553" t="s">
        <v>8</v>
      </c>
      <c r="S10" s="1554">
        <f t="shared" si="0"/>
        <v>100</v>
      </c>
      <c r="T10" s="1553" t="s">
        <v>8</v>
      </c>
      <c r="U10" s="1554">
        <f t="shared" si="1"/>
        <v>100</v>
      </c>
      <c r="V10" s="1553" t="s">
        <v>8</v>
      </c>
      <c r="W10" s="1554">
        <f t="shared" si="2"/>
        <v>100</v>
      </c>
      <c r="X10" s="1555"/>
      <c r="Y10" s="3387"/>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62"/>
      <c r="Q11" s="1145">
        <f t="shared" si="6"/>
        <v>111</v>
      </c>
      <c r="R11" s="1553" t="s">
        <v>8</v>
      </c>
      <c r="S11" s="1554">
        <f t="shared" si="0"/>
        <v>100</v>
      </c>
      <c r="T11" s="1553" t="s">
        <v>8</v>
      </c>
      <c r="U11" s="1554">
        <f t="shared" si="1"/>
        <v>100</v>
      </c>
      <c r="V11" s="1553" t="s">
        <v>8</v>
      </c>
      <c r="W11" s="1554">
        <f t="shared" si="2"/>
        <v>100</v>
      </c>
      <c r="X11" s="1555"/>
      <c r="Y11" s="3387"/>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62"/>
      <c r="Q12" s="1145">
        <f t="shared" si="6"/>
        <v>111</v>
      </c>
      <c r="R12" s="1553" t="s">
        <v>8</v>
      </c>
      <c r="S12" s="1554">
        <f t="shared" si="0"/>
        <v>100</v>
      </c>
      <c r="T12" s="1553" t="s">
        <v>8</v>
      </c>
      <c r="U12" s="1554">
        <f t="shared" si="1"/>
        <v>100</v>
      </c>
      <c r="V12" s="1553" t="s">
        <v>8</v>
      </c>
      <c r="W12" s="1554">
        <f t="shared" si="2"/>
        <v>100</v>
      </c>
      <c r="X12" s="1555"/>
      <c r="Y12" s="3387"/>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62"/>
      <c r="Q13" s="1145">
        <f t="shared" si="6"/>
        <v>111</v>
      </c>
      <c r="R13" s="1553" t="s">
        <v>8</v>
      </c>
      <c r="S13" s="1554">
        <f t="shared" si="0"/>
        <v>100</v>
      </c>
      <c r="T13" s="1553" t="s">
        <v>8</v>
      </c>
      <c r="U13" s="1554">
        <f t="shared" si="1"/>
        <v>100</v>
      </c>
      <c r="V13" s="1553" t="s">
        <v>8</v>
      </c>
      <c r="W13" s="1554">
        <f t="shared" si="2"/>
        <v>100</v>
      </c>
      <c r="X13" s="1555"/>
      <c r="Y13" s="3387"/>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64" t="s">
        <v>540</v>
      </c>
      <c r="Q14" s="1557" t="str">
        <f t="shared" si="6"/>
        <v>交通便捷度</v>
      </c>
      <c r="R14" s="1558" t="s">
        <v>8</v>
      </c>
      <c r="S14" s="1559">
        <f t="shared" si="0"/>
        <v>100</v>
      </c>
      <c r="T14" s="1558" t="s">
        <v>8</v>
      </c>
      <c r="U14" s="1559">
        <f t="shared" si="1"/>
        <v>100</v>
      </c>
      <c r="V14" s="1558" t="s">
        <v>8</v>
      </c>
      <c r="W14" s="1559">
        <f t="shared" si="2"/>
        <v>100</v>
      </c>
      <c r="X14" s="1552"/>
      <c r="Y14" s="3464"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65"/>
      <c r="Q15" s="1557"/>
      <c r="R15" s="1558"/>
      <c r="S15" s="1559"/>
      <c r="T15" s="1558"/>
      <c r="U15" s="1559"/>
      <c r="V15" s="1558"/>
      <c r="W15" s="1559"/>
      <c r="X15" s="1552"/>
      <c r="Y15" s="3465"/>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65"/>
      <c r="Q16" s="1557" t="str">
        <f>B16</f>
        <v>公共配套设施</v>
      </c>
      <c r="R16" s="1558" t="s">
        <v>8</v>
      </c>
      <c r="S16" s="1559">
        <f>F16</f>
        <v>100</v>
      </c>
      <c r="T16" s="1558" t="s">
        <v>8</v>
      </c>
      <c r="U16" s="1559">
        <f>H16</f>
        <v>100</v>
      </c>
      <c r="V16" s="1558" t="s">
        <v>8</v>
      </c>
      <c r="W16" s="1559">
        <f>J16</f>
        <v>100</v>
      </c>
      <c r="X16" s="1552"/>
      <c r="Y16" s="3465"/>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65"/>
      <c r="Q17" s="1557"/>
      <c r="R17" s="1558"/>
      <c r="S17" s="1559"/>
      <c r="T17" s="1558"/>
      <c r="U17" s="1559"/>
      <c r="V17" s="1558"/>
      <c r="W17" s="1559"/>
      <c r="X17" s="1552"/>
      <c r="Y17" s="3465"/>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65"/>
      <c r="Q18" s="2542" t="str">
        <f>B18</f>
        <v>基础设施水平</v>
      </c>
      <c r="R18" s="1558" t="s">
        <v>8</v>
      </c>
      <c r="S18" s="1559">
        <f>F18</f>
        <v>100</v>
      </c>
      <c r="T18" s="1558" t="s">
        <v>8</v>
      </c>
      <c r="U18" s="1559">
        <f>H18</f>
        <v>100</v>
      </c>
      <c r="V18" s="1558" t="s">
        <v>8</v>
      </c>
      <c r="W18" s="1559">
        <f>J18</f>
        <v>100</v>
      </c>
      <c r="X18" s="2544"/>
      <c r="Y18" s="3465"/>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65"/>
      <c r="Q19" s="2542"/>
      <c r="R19" s="1558"/>
      <c r="S19" s="1559"/>
      <c r="T19" s="1558"/>
      <c r="U19" s="1559"/>
      <c r="V19" s="1558"/>
      <c r="W19" s="1559"/>
      <c r="X19" s="2544"/>
      <c r="Y19" s="3465"/>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65"/>
      <c r="Q20" s="1557" t="str">
        <f>B20</f>
        <v>自然及人文环境</v>
      </c>
      <c r="R20" s="1558" t="s">
        <v>8</v>
      </c>
      <c r="S20" s="1559">
        <f>F20</f>
        <v>100</v>
      </c>
      <c r="T20" s="1558" t="s">
        <v>8</v>
      </c>
      <c r="U20" s="1559">
        <f>H20</f>
        <v>100</v>
      </c>
      <c r="V20" s="1558" t="s">
        <v>8</v>
      </c>
      <c r="W20" s="1559">
        <f>J20</f>
        <v>100</v>
      </c>
      <c r="X20" s="1552"/>
      <c r="Y20" s="346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65"/>
      <c r="Q21" s="1557"/>
      <c r="R21" s="1558"/>
      <c r="S21" s="1559"/>
      <c r="T21" s="1558"/>
      <c r="U21" s="1559"/>
      <c r="V21" s="1558"/>
      <c r="W21" s="1559"/>
      <c r="X21" s="1552"/>
      <c r="Y21" s="3465"/>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65"/>
      <c r="Q22" s="1557" t="str">
        <f>B22</f>
        <v>楼层</v>
      </c>
      <c r="R22" s="1558" t="s">
        <v>8</v>
      </c>
      <c r="S22" s="1559">
        <f>F22</f>
        <v>100</v>
      </c>
      <c r="T22" s="1558" t="s">
        <v>8</v>
      </c>
      <c r="U22" s="1559">
        <f>H22</f>
        <v>100</v>
      </c>
      <c r="V22" s="1558" t="s">
        <v>8</v>
      </c>
      <c r="W22" s="1559">
        <f>J22</f>
        <v>100</v>
      </c>
      <c r="X22" s="1552"/>
      <c r="Y22" s="346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65"/>
      <c r="Q23" s="1557">
        <f>B23</f>
        <v>111</v>
      </c>
      <c r="R23" s="1558" t="s">
        <v>8</v>
      </c>
      <c r="S23" s="1559">
        <f>F23</f>
        <v>100</v>
      </c>
      <c r="T23" s="1558" t="s">
        <v>8</v>
      </c>
      <c r="U23" s="1559">
        <f>H23</f>
        <v>100</v>
      </c>
      <c r="V23" s="1558" t="s">
        <v>8</v>
      </c>
      <c r="W23" s="1559">
        <f>J23</f>
        <v>100</v>
      </c>
      <c r="X23" s="1552"/>
      <c r="Y23" s="346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65"/>
      <c r="Q24" s="1557">
        <f t="shared" ref="Q24:Q34" si="11">B24</f>
        <v>111</v>
      </c>
      <c r="R24" s="1558" t="s">
        <v>8</v>
      </c>
      <c r="S24" s="1559">
        <f>F24</f>
        <v>100</v>
      </c>
      <c r="T24" s="1558" t="s">
        <v>8</v>
      </c>
      <c r="U24" s="1559">
        <f>H24</f>
        <v>100</v>
      </c>
      <c r="V24" s="1558" t="s">
        <v>8</v>
      </c>
      <c r="W24" s="1559">
        <f>J24</f>
        <v>100</v>
      </c>
      <c r="X24" s="1552"/>
      <c r="Y24" s="3465"/>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65"/>
      <c r="Q25" s="1145">
        <f t="shared" si="11"/>
        <v>111</v>
      </c>
      <c r="R25" s="1553" t="s">
        <v>8</v>
      </c>
      <c r="S25" s="1554">
        <f>F25</f>
        <v>100</v>
      </c>
      <c r="T25" s="1553" t="s">
        <v>8</v>
      </c>
      <c r="U25" s="1554">
        <f>H25</f>
        <v>100</v>
      </c>
      <c r="V25" s="1553" t="s">
        <v>8</v>
      </c>
      <c r="W25" s="1554">
        <f>J25</f>
        <v>100</v>
      </c>
      <c r="X25" s="1555"/>
      <c r="Y25" s="3465"/>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6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67"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67"/>
      <c r="Q27" s="1589" t="str">
        <f t="shared" si="11"/>
        <v>成新率</v>
      </c>
      <c r="R27" s="1562" t="s">
        <v>8</v>
      </c>
      <c r="S27" s="1563" t="e">
        <f t="shared" si="12"/>
        <v>#N/A</v>
      </c>
      <c r="T27" s="1562" t="s">
        <v>8</v>
      </c>
      <c r="U27" s="1563" t="e">
        <f t="shared" si="13"/>
        <v>#N/A</v>
      </c>
      <c r="V27" s="1562" t="s">
        <v>8</v>
      </c>
      <c r="W27" s="1563" t="e">
        <f t="shared" si="14"/>
        <v>#N/A</v>
      </c>
      <c r="X27" s="1564"/>
      <c r="Y27" s="3467"/>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67"/>
      <c r="Q28" s="1557" t="str">
        <f t="shared" si="11"/>
        <v>物业等级</v>
      </c>
      <c r="R28" s="1558" t="s">
        <v>8</v>
      </c>
      <c r="S28" s="1559">
        <f t="shared" si="12"/>
        <v>100</v>
      </c>
      <c r="T28" s="1558" t="s">
        <v>8</v>
      </c>
      <c r="U28" s="1559">
        <f t="shared" si="13"/>
        <v>100</v>
      </c>
      <c r="V28" s="1558" t="s">
        <v>8</v>
      </c>
      <c r="W28" s="1559">
        <f t="shared" si="14"/>
        <v>100</v>
      </c>
      <c r="X28" s="1552"/>
      <c r="Y28" s="3467"/>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67"/>
      <c r="Q29" s="1557" t="str">
        <f t="shared" si="11"/>
        <v>有无电梯</v>
      </c>
      <c r="R29" s="1558" t="s">
        <v>8</v>
      </c>
      <c r="S29" s="1559">
        <f t="shared" si="12"/>
        <v>100</v>
      </c>
      <c r="T29" s="1558" t="s">
        <v>8</v>
      </c>
      <c r="U29" s="1559">
        <f t="shared" si="13"/>
        <v>100</v>
      </c>
      <c r="V29" s="1558" t="s">
        <v>8</v>
      </c>
      <c r="W29" s="1559">
        <f t="shared" si="14"/>
        <v>100</v>
      </c>
      <c r="X29" s="1552"/>
      <c r="Y29" s="3467"/>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67"/>
      <c r="Q30" s="1557" t="str">
        <f t="shared" si="11"/>
        <v>建筑面积</v>
      </c>
      <c r="R30" s="1558" t="s">
        <v>8</v>
      </c>
      <c r="S30" s="1559" t="e">
        <f t="shared" si="12"/>
        <v>#N/A</v>
      </c>
      <c r="T30" s="1558" t="s">
        <v>8</v>
      </c>
      <c r="U30" s="1559" t="e">
        <f t="shared" si="13"/>
        <v>#N/A</v>
      </c>
      <c r="V30" s="1558" t="s">
        <v>8</v>
      </c>
      <c r="W30" s="1559" t="e">
        <f t="shared" si="14"/>
        <v>#N/A</v>
      </c>
      <c r="X30" s="1552"/>
      <c r="Y30" s="3467"/>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67"/>
      <c r="Q31" s="1145" t="str">
        <f t="shared" si="11"/>
        <v>是否封闭</v>
      </c>
      <c r="R31" s="1553" t="s">
        <v>8</v>
      </c>
      <c r="S31" s="1554">
        <f t="shared" si="12"/>
        <v>100</v>
      </c>
      <c r="T31" s="1553" t="s">
        <v>8</v>
      </c>
      <c r="U31" s="1554">
        <f t="shared" si="13"/>
        <v>100</v>
      </c>
      <c r="V31" s="1553" t="s">
        <v>8</v>
      </c>
      <c r="W31" s="1554">
        <f t="shared" si="14"/>
        <v>100</v>
      </c>
      <c r="X31" s="1555"/>
      <c r="Y31" s="3467"/>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67" t="s">
        <v>550</v>
      </c>
      <c r="Q32" s="1557">
        <f t="shared" si="11"/>
        <v>111</v>
      </c>
      <c r="R32" s="1558" t="s">
        <v>8</v>
      </c>
      <c r="S32" s="1559">
        <f t="shared" si="12"/>
        <v>100</v>
      </c>
      <c r="T32" s="1558" t="s">
        <v>8</v>
      </c>
      <c r="U32" s="1559">
        <f t="shared" si="13"/>
        <v>100</v>
      </c>
      <c r="V32" s="1558" t="s">
        <v>8</v>
      </c>
      <c r="W32" s="1559">
        <f t="shared" si="14"/>
        <v>100</v>
      </c>
      <c r="X32" s="1552"/>
      <c r="Y32" s="3467"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67"/>
      <c r="Q33" s="1557">
        <f t="shared" si="11"/>
        <v>111</v>
      </c>
      <c r="R33" s="1558" t="s">
        <v>8</v>
      </c>
      <c r="S33" s="1559">
        <f t="shared" si="12"/>
        <v>100</v>
      </c>
      <c r="T33" s="1558" t="s">
        <v>8</v>
      </c>
      <c r="U33" s="1559">
        <f t="shared" si="13"/>
        <v>100</v>
      </c>
      <c r="V33" s="1558" t="s">
        <v>8</v>
      </c>
      <c r="W33" s="1559">
        <f t="shared" si="14"/>
        <v>100</v>
      </c>
      <c r="X33" s="1552"/>
      <c r="Y33" s="3467"/>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67"/>
      <c r="Q34" s="1557">
        <f t="shared" si="11"/>
        <v>111</v>
      </c>
      <c r="R34" s="1558" t="s">
        <v>8</v>
      </c>
      <c r="S34" s="1559">
        <f t="shared" si="12"/>
        <v>100</v>
      </c>
      <c r="T34" s="1558" t="s">
        <v>8</v>
      </c>
      <c r="U34" s="1559">
        <f t="shared" si="13"/>
        <v>100</v>
      </c>
      <c r="V34" s="1558" t="s">
        <v>8</v>
      </c>
      <c r="W34" s="1559">
        <f t="shared" si="14"/>
        <v>100</v>
      </c>
      <c r="X34" s="1552"/>
      <c r="Y34" s="3467"/>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62" t="str">
        <f>A35</f>
        <v>成交单价（元/平方米）</v>
      </c>
      <c r="Q35" s="3462"/>
      <c r="R35" s="3531">
        <f>E35</f>
        <v>0</v>
      </c>
      <c r="S35" s="3531"/>
      <c r="T35" s="3531">
        <f>G35</f>
        <v>0</v>
      </c>
      <c r="U35" s="3531"/>
      <c r="V35" s="3531">
        <f>I35</f>
        <v>0</v>
      </c>
      <c r="W35" s="3531"/>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62" t="str">
        <f>A36</f>
        <v>比较价格（元/平方米）</v>
      </c>
      <c r="Q36" s="3462"/>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83" t="str">
        <f>A37</f>
        <v>估价对象XX用房的比较价格（楼面单价，元/平方米）</v>
      </c>
      <c r="Q37" s="3484"/>
      <c r="R37" s="3530" t="e">
        <f>IF(F1="售价",ROUND(AVERAGE(R36:V36),0),ROUND(AVERAGE(R36:V36),1))</f>
        <v>#DIV/0!</v>
      </c>
      <c r="S37" s="3530"/>
      <c r="T37" s="3530"/>
      <c r="U37" s="3530"/>
      <c r="V37" s="3530"/>
      <c r="W37" s="353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40" t="s">
        <v>2299</v>
      </c>
      <c r="D1" s="3541"/>
      <c r="E1" s="3541"/>
      <c r="F1" s="3541"/>
      <c r="G1" s="3541"/>
      <c r="H1" s="3541"/>
      <c r="I1" s="3541"/>
      <c r="J1" s="3541"/>
      <c r="K1" s="3541"/>
      <c r="L1" s="3541"/>
      <c r="M1" s="3541"/>
      <c r="N1" s="3541"/>
      <c r="O1" s="3541"/>
      <c r="P1" s="3541"/>
      <c r="Q1" s="3541"/>
      <c r="R1" s="3541"/>
      <c r="S1" s="3542"/>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37" t="s">
        <v>20</v>
      </c>
      <c r="D22" s="3538"/>
      <c r="E22" s="3538"/>
      <c r="F22" s="3538"/>
      <c r="G22" s="3538"/>
      <c r="H22" s="3538"/>
      <c r="I22" s="3538"/>
      <c r="J22" s="3538"/>
      <c r="K22" s="3538"/>
      <c r="L22" s="3538"/>
      <c r="M22" s="3538"/>
      <c r="N22" s="3538"/>
      <c r="O22" s="3538"/>
      <c r="P22" s="3538"/>
      <c r="Q22" s="3539"/>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44010</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B3" sqref="B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6406</v>
      </c>
      <c r="C2" s="1345"/>
      <c r="D2" s="2039"/>
      <c r="E2" s="2040"/>
      <c r="F2" s="2040"/>
      <c r="G2" s="1575"/>
      <c r="H2" s="1357"/>
      <c r="I2" s="2041"/>
      <c r="J2" s="2041"/>
      <c r="K2" s="2042"/>
      <c r="L2" s="2041"/>
      <c r="M2" s="2041"/>
    </row>
    <row r="3" spans="1:25" ht="18" customHeight="1">
      <c r="A3" s="1629" t="s">
        <v>1684</v>
      </c>
      <c r="B3" s="1386">
        <f ca="1">ROUND(B2*10000/'数据-汇总表'!E3,0)</f>
        <v>1005</v>
      </c>
      <c r="C3" s="1345"/>
      <c r="D3" s="2039"/>
      <c r="E3" s="2040"/>
      <c r="F3" s="2040"/>
      <c r="G3" s="1575"/>
      <c r="H3" s="775" t="s">
        <v>695</v>
      </c>
      <c r="I3" s="2041"/>
      <c r="J3" s="2041"/>
      <c r="K3" s="2042"/>
      <c r="L3" s="2041"/>
      <c r="M3" s="2041"/>
    </row>
    <row r="4" spans="1:25" ht="18" customHeight="1">
      <c r="A4" s="1630" t="s">
        <v>696</v>
      </c>
      <c r="B4" s="1346">
        <f ca="1">ROUND(B2*10000/'数据-汇总表'!D3,0)</f>
        <v>1005</v>
      </c>
      <c r="C4" s="428"/>
      <c r="D4" s="2039"/>
      <c r="E4" s="2040"/>
      <c r="F4" s="2040"/>
      <c r="G4" s="1575"/>
      <c r="H4" s="775"/>
      <c r="I4" s="2041"/>
      <c r="J4" s="2041"/>
      <c r="K4" s="2042"/>
      <c r="L4" s="2041"/>
      <c r="M4" s="2041"/>
    </row>
    <row r="5" spans="1:25" ht="18" customHeight="1" thickBot="1">
      <c r="A5" s="1631"/>
      <c r="B5" s="430">
        <f ca="1">ROUND(B2/('数据-汇总表'!D3/666.67),0)</f>
        <v>67</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2097</v>
      </c>
      <c r="D7" s="2459" t="s">
        <v>2456</v>
      </c>
      <c r="E7" s="2453"/>
      <c r="F7" s="2454"/>
      <c r="G7" s="1577"/>
      <c r="H7" s="780">
        <v>1</v>
      </c>
      <c r="I7" s="781" t="s">
        <v>2453</v>
      </c>
      <c r="J7" s="53">
        <f ca="1">J8+J12+J14</f>
        <v>0</v>
      </c>
      <c r="K7" s="2459" t="s">
        <v>2456</v>
      </c>
      <c r="L7" s="2453"/>
      <c r="M7" s="2454"/>
    </row>
    <row r="8" spans="1:25" ht="18" customHeight="1">
      <c r="A8" s="1814" t="s">
        <v>1822</v>
      </c>
      <c r="B8" s="3505" t="s">
        <v>2458</v>
      </c>
      <c r="C8" s="1809">
        <f ca="1">ROUND(F8*F10*F9*(1-F11)/10000,0)</f>
        <v>2094</v>
      </c>
      <c r="D8" s="1806" t="s">
        <v>2529</v>
      </c>
      <c r="E8" s="61" t="s">
        <v>637</v>
      </c>
      <c r="F8" s="784">
        <f ca="1">INDIRECT("'数据-取费表'!u"&amp;$G$1)</f>
        <v>1</v>
      </c>
      <c r="G8" s="1577"/>
      <c r="H8" s="2467" t="s">
        <v>1822</v>
      </c>
      <c r="I8" s="3505" t="s">
        <v>2458</v>
      </c>
      <c r="J8" s="782">
        <f ca="1">ROUND(M8*M10*M9*(1-M11)/10000,0)</f>
        <v>0</v>
      </c>
      <c r="K8" s="341" t="s">
        <v>2529</v>
      </c>
      <c r="L8" s="783" t="s">
        <v>1736</v>
      </c>
      <c r="M8" s="784">
        <f ca="1">INDIRECT("'数据-取费表'!z"&amp;$G$1)</f>
        <v>0</v>
      </c>
    </row>
    <row r="9" spans="1:25" ht="18" customHeight="1">
      <c r="A9" s="2463"/>
      <c r="B9" s="3506"/>
      <c r="C9" s="1810"/>
      <c r="D9" s="1807"/>
      <c r="E9" s="61" t="s">
        <v>638</v>
      </c>
      <c r="F9" s="784">
        <f ca="1">IF(INDIRECT("'数据-取费表'!ah"&amp;$G$1)="",INDIRECT("'数据-取费表'!k"&amp;$G$1),INDIRECT("'数据-取费表'!ah"&amp;$G$1))</f>
        <v>63755.58</v>
      </c>
      <c r="G9" s="1577"/>
      <c r="H9" s="2452"/>
      <c r="I9" s="3506"/>
      <c r="J9" s="787"/>
      <c r="K9" s="788"/>
      <c r="L9" s="783" t="s">
        <v>1737</v>
      </c>
      <c r="M9" s="784">
        <f ca="1">F9</f>
        <v>63755.58</v>
      </c>
    </row>
    <row r="10" spans="1:25" ht="18" customHeight="1">
      <c r="A10" s="2456"/>
      <c r="B10" s="3507"/>
      <c r="C10" s="1810"/>
      <c r="D10" s="1807"/>
      <c r="E10" s="61" t="s">
        <v>639</v>
      </c>
      <c r="F10" s="784">
        <f ca="1">INDIRECT("'数据-取费表'!ai"&amp;$G$1)</f>
        <v>365</v>
      </c>
      <c r="G10" s="1577"/>
      <c r="H10" s="2452"/>
      <c r="I10" s="3507"/>
      <c r="J10" s="787"/>
      <c r="K10" s="788"/>
      <c r="L10" s="783" t="s">
        <v>1738</v>
      </c>
      <c r="M10" s="784">
        <f ca="1">INDIRECT("'数据-取费表'!ai"&amp;$G$1)</f>
        <v>365</v>
      </c>
    </row>
    <row r="11" spans="1:25" ht="18" customHeight="1">
      <c r="A11" s="785"/>
      <c r="B11" s="3508"/>
      <c r="C11" s="1810"/>
      <c r="D11" s="1807"/>
      <c r="E11" s="61" t="s">
        <v>640</v>
      </c>
      <c r="F11" s="793">
        <f ca="1">INDIRECT("'数据-取费表'!w"&amp;$G$1)</f>
        <v>0.1</v>
      </c>
      <c r="G11" s="1577"/>
      <c r="H11" s="2468"/>
      <c r="I11" s="3507"/>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3</v>
      </c>
      <c r="D12" s="2464" t="s">
        <v>2967</v>
      </c>
      <c r="E12" s="2461" t="s">
        <v>2459</v>
      </c>
      <c r="F12" s="2584" t="s">
        <v>3171</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13957</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9563</v>
      </c>
      <c r="D16" s="1963" t="s">
        <v>646</v>
      </c>
      <c r="E16" s="1964"/>
      <c r="F16" s="804"/>
      <c r="G16" s="1577"/>
      <c r="H16" s="802" t="s">
        <v>2065</v>
      </c>
      <c r="I16" s="2215" t="s">
        <v>2818</v>
      </c>
      <c r="J16" s="53">
        <f ca="1">C31</f>
        <v>13957</v>
      </c>
      <c r="K16" s="26"/>
      <c r="L16" s="800"/>
      <c r="M16" s="801"/>
    </row>
    <row r="17" spans="1:25" s="2048" customFormat="1" ht="18" customHeight="1">
      <c r="A17" s="802" t="s">
        <v>1847</v>
      </c>
      <c r="B17" s="783" t="s">
        <v>647</v>
      </c>
      <c r="C17" s="53">
        <f ca="1">ROUND(C16*F17,0)</f>
        <v>287</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406</v>
      </c>
      <c r="K18" s="26" t="s">
        <v>652</v>
      </c>
      <c r="L18" s="1966"/>
      <c r="M18" s="56"/>
    </row>
    <row r="19" spans="1:25" s="2048" customFormat="1" ht="18" customHeight="1">
      <c r="A19" s="802" t="s">
        <v>1849</v>
      </c>
      <c r="B19" s="783" t="s">
        <v>653</v>
      </c>
      <c r="C19" s="53">
        <f ca="1">ROUND(F19*(INDIRECT("'数据-取费表'!k"&amp;$G$1)+INDIRECT("'数据-取费表'!S"&amp;$G$1))/10000,0)</f>
        <v>1275</v>
      </c>
      <c r="D19" s="783" t="s">
        <v>654</v>
      </c>
      <c r="E19" s="783" t="s">
        <v>655</v>
      </c>
      <c r="F19" s="56">
        <f>'数据-取费表'!B35</f>
        <v>200</v>
      </c>
      <c r="G19" s="1578"/>
      <c r="H19" s="802" t="s">
        <v>2065</v>
      </c>
      <c r="I19" s="783" t="s">
        <v>656</v>
      </c>
      <c r="J19" s="53">
        <f ca="1">ROUND(IF(项目基本情况!B11="自然人",J8*M19/(1+'数据-取费表'!C42),J20+J21+J22),0)</f>
        <v>127</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143</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11268</v>
      </c>
      <c r="D21" s="261" t="s">
        <v>663</v>
      </c>
      <c r="E21" s="1966"/>
      <c r="F21" s="56"/>
      <c r="G21" s="1577"/>
      <c r="H21" s="1814" t="s">
        <v>1847</v>
      </c>
      <c r="I21" s="783" t="s">
        <v>664</v>
      </c>
      <c r="J21" s="53">
        <f ca="1">IF(K21="按租金收入计税",ROUND(J8*M21/(1+'数据-取费表'!C42),1),ROUND(C31*F35*0.7,1))</f>
        <v>117.2</v>
      </c>
      <c r="K21" s="810" t="s">
        <v>665</v>
      </c>
      <c r="L21" s="783" t="s">
        <v>649</v>
      </c>
      <c r="M21" s="808">
        <f>IF(K21="按租金收入计税",'数据-取费表'!B51,'数据-取费表'!B50)</f>
        <v>1.2E-2</v>
      </c>
    </row>
    <row r="22" spans="1:25" s="2048" customFormat="1" ht="18" customHeight="1">
      <c r="A22" s="802" t="s">
        <v>1875</v>
      </c>
      <c r="B22" s="783" t="s">
        <v>666</v>
      </c>
      <c r="C22" s="53">
        <f ca="1">ROUND(C21*F22,0)</f>
        <v>225</v>
      </c>
      <c r="D22" s="811" t="s">
        <v>667</v>
      </c>
      <c r="E22" s="783" t="s">
        <v>649</v>
      </c>
      <c r="F22" s="808">
        <f>'数据-取费表'!B37</f>
        <v>0.02</v>
      </c>
      <c r="G22" s="1578"/>
      <c r="H22" s="1816" t="s">
        <v>1848</v>
      </c>
      <c r="I22" s="1806" t="s">
        <v>668</v>
      </c>
      <c r="J22" s="54">
        <f ca="1">ROUND(M22*M23/10000,0)</f>
        <v>10</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63755.58</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279</v>
      </c>
      <c r="K24" s="1961" t="s">
        <v>677</v>
      </c>
      <c r="L24" s="783" t="s">
        <v>649</v>
      </c>
      <c r="M24" s="816">
        <f ca="1">INDIRECT("'数据-取费表'!Ak"&amp;$G$1)</f>
        <v>0.02</v>
      </c>
    </row>
    <row r="25" spans="1:25" s="2048" customFormat="1" ht="18" customHeight="1">
      <c r="A25" s="802" t="s">
        <v>1873</v>
      </c>
      <c r="B25" s="783" t="s">
        <v>2432</v>
      </c>
      <c r="C25" s="53">
        <f ca="1">ROUND(IF('数据-取费表'!B22&lt;=1,(C21+C22)*F26*F25/2,(C21+C22)*(POWER((1+F26),F25/2)-1)),0)</f>
        <v>270</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2E-3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0.02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-406</v>
      </c>
      <c r="K27" s="1963" t="s">
        <v>700</v>
      </c>
      <c r="L27" s="1965"/>
      <c r="M27" s="819"/>
    </row>
    <row r="28" spans="1:25" ht="18" customHeight="1">
      <c r="A28" s="802" t="s">
        <v>1873</v>
      </c>
      <c r="B28" s="783" t="s">
        <v>2433</v>
      </c>
      <c r="C28" s="53">
        <f ca="1">ROUND((C21+C22)*F28,0)</f>
        <v>1149</v>
      </c>
      <c r="D28" s="811" t="s">
        <v>701</v>
      </c>
      <c r="E28" s="794" t="s">
        <v>702</v>
      </c>
      <c r="F28" s="793">
        <f ca="1">INDIRECT("'数据-取费表'!q"&amp;$G$1)</f>
        <v>0.1</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2E-3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13957</v>
      </c>
      <c r="D31" s="2508"/>
      <c r="E31" s="2509"/>
      <c r="F31" s="2510"/>
      <c r="G31" s="1578"/>
      <c r="H31" s="822" t="s">
        <v>1870</v>
      </c>
      <c r="I31" s="2963" t="s">
        <v>2817</v>
      </c>
      <c r="J31" s="824">
        <f ca="1">ROUND(J28/(1+F45)^F46,0)</f>
        <v>0</v>
      </c>
      <c r="K31" s="825" t="s">
        <v>688</v>
      </c>
      <c r="L31" s="826"/>
      <c r="M31" s="827">
        <f ca="1">INDIRECT("'数据-取费表'!k"&amp;$G$1)</f>
        <v>63755.58</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585</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236.5</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109.7</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117.2</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9.6</v>
      </c>
      <c r="D36" s="813" t="s">
        <v>669</v>
      </c>
      <c r="E36" s="783" t="s">
        <v>670</v>
      </c>
      <c r="F36" s="640">
        <f>'数据-取费表'!B52</f>
        <v>1.5</v>
      </c>
      <c r="G36" s="2046"/>
      <c r="H36" s="2049"/>
      <c r="I36" s="3543"/>
      <c r="J36" s="2063"/>
      <c r="K36" s="2064"/>
      <c r="L36" s="2063"/>
      <c r="M36" s="2063"/>
    </row>
    <row r="37" spans="1:18" ht="18" customHeight="1">
      <c r="A37" s="814"/>
      <c r="B37" s="792"/>
      <c r="C37" s="69"/>
      <c r="D37" s="815"/>
      <c r="E37" s="783" t="s">
        <v>674</v>
      </c>
      <c r="F37" s="784">
        <f ca="1">INDIRECT("'数据-取费表'!r"&amp;$G$1)</f>
        <v>63755.58</v>
      </c>
      <c r="G37" s="2046"/>
      <c r="H37" s="2049"/>
      <c r="I37" s="3543"/>
      <c r="J37" s="2061"/>
      <c r="K37" s="2062"/>
      <c r="L37" s="2061"/>
      <c r="M37" s="2061"/>
    </row>
    <row r="38" spans="1:18" ht="18" customHeight="1">
      <c r="A38" s="802" t="s">
        <v>1875</v>
      </c>
      <c r="B38" s="783" t="s">
        <v>676</v>
      </c>
      <c r="C38" s="53">
        <f ca="1">ROUND(C31*F38,1)</f>
        <v>279.10000000000002</v>
      </c>
      <c r="D38" s="1961" t="s">
        <v>691</v>
      </c>
      <c r="E38" s="783" t="s">
        <v>649</v>
      </c>
      <c r="F38" s="816">
        <f ca="1">INDIRECT("'数据-取费表'!Ak"&amp;$G$1)</f>
        <v>0.02</v>
      </c>
      <c r="G38" s="2046"/>
      <c r="H38" s="2061"/>
      <c r="I38" s="2065"/>
      <c r="J38" s="1972"/>
      <c r="K38" s="2066"/>
      <c r="L38" s="2061"/>
      <c r="M38" s="2061"/>
    </row>
    <row r="39" spans="1:18" ht="18" customHeight="1">
      <c r="A39" s="802" t="s">
        <v>1876</v>
      </c>
      <c r="B39" s="783" t="s">
        <v>679</v>
      </c>
      <c r="C39" s="53">
        <f ca="1">ROUND(C15*F39,1)</f>
        <v>27.9</v>
      </c>
      <c r="D39" s="1961" t="s">
        <v>680</v>
      </c>
      <c r="E39" s="783" t="s">
        <v>649</v>
      </c>
      <c r="F39" s="817">
        <f ca="1">INDIRECT("'数据-取费表'!Al"&amp;$G$1)</f>
        <v>2E-3</v>
      </c>
      <c r="G39" s="2046"/>
      <c r="H39" s="2061"/>
      <c r="I39" s="2065"/>
      <c r="J39" s="1972"/>
      <c r="K39" s="2066"/>
      <c r="L39" s="2061"/>
      <c r="M39" s="2061"/>
    </row>
    <row r="40" spans="1:18" ht="18" customHeight="1" thickBot="1">
      <c r="A40" s="2523" t="s">
        <v>1877</v>
      </c>
      <c r="B40" s="2509" t="s">
        <v>666</v>
      </c>
      <c r="C40" s="2507">
        <f ca="1">ROUND(C7*F40,1)</f>
        <v>41.9</v>
      </c>
      <c r="D40" s="2508" t="s">
        <v>683</v>
      </c>
      <c r="E40" s="2509" t="s">
        <v>649</v>
      </c>
      <c r="F40" s="2505">
        <f ca="1">INDIRECT("'数据-取费表'!Am"&amp;$G$1)</f>
        <v>0.02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1512</v>
      </c>
      <c r="D42" s="1963" t="s">
        <v>694</v>
      </c>
      <c r="E42" s="1965"/>
      <c r="F42" s="819"/>
      <c r="G42" s="2046"/>
      <c r="H42" s="2046"/>
      <c r="I42" s="2046"/>
      <c r="J42" s="2046"/>
      <c r="K42" s="2067"/>
      <c r="L42" s="2046"/>
      <c r="M42" s="2046"/>
    </row>
    <row r="43" spans="1:18" ht="18" customHeight="1">
      <c r="A43" s="802" t="s">
        <v>1875</v>
      </c>
      <c r="B43" s="834" t="s">
        <v>711</v>
      </c>
      <c r="C43" s="835">
        <f ca="1">ROUND(C15*F43,0)</f>
        <v>1117</v>
      </c>
      <c r="D43" s="1350" t="s">
        <v>712</v>
      </c>
      <c r="E43" s="3067" t="s">
        <v>2955</v>
      </c>
      <c r="F43" s="3068">
        <f ca="1">INDIRECT("'数据-取费表'!j"&amp;$G$1)</f>
        <v>0.08</v>
      </c>
      <c r="G43" s="2046"/>
      <c r="H43" s="2046"/>
      <c r="I43" s="2046"/>
      <c r="J43" s="2046"/>
      <c r="K43" s="2067"/>
      <c r="L43" s="2046"/>
      <c r="M43" s="2046"/>
    </row>
    <row r="44" spans="1:18" ht="18" customHeight="1">
      <c r="A44" s="802" t="s">
        <v>1876</v>
      </c>
      <c r="B44" s="834" t="s">
        <v>713</v>
      </c>
      <c r="C44" s="1351">
        <f ca="1">C42-C43</f>
        <v>395</v>
      </c>
      <c r="D44" s="463" t="s">
        <v>714</v>
      </c>
      <c r="E44" s="464"/>
      <c r="F44" s="465"/>
      <c r="G44" s="2046"/>
      <c r="H44" s="2046"/>
      <c r="I44" s="2046"/>
      <c r="J44" s="2046"/>
      <c r="K44" s="2067"/>
      <c r="L44" s="2046"/>
      <c r="M44" s="2046"/>
    </row>
    <row r="45" spans="1:18" ht="18" customHeight="1">
      <c r="A45" s="802" t="s">
        <v>1877</v>
      </c>
      <c r="B45" s="1350" t="s">
        <v>715</v>
      </c>
      <c r="C45" s="2989">
        <f ca="1">ROUND(-PV(F45,F46,C44,0),0)</f>
        <v>6406</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24.37</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24.37</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13957</v>
      </c>
      <c r="R51" s="2362" t="s">
        <v>2375</v>
      </c>
    </row>
    <row r="52" spans="1:18" s="2043" customFormat="1" ht="18" customHeight="1" thickBot="1">
      <c r="A52" s="2080"/>
      <c r="F52" s="2069"/>
      <c r="I52" s="3093" t="s">
        <v>2343</v>
      </c>
      <c r="J52" s="3097">
        <f>IF(J50="",J51,J50+J51-YEAR('数据-取费表'!B3))</f>
        <v>0</v>
      </c>
      <c r="K52" s="3071" t="s">
        <v>2349</v>
      </c>
      <c r="L52" s="3103">
        <f ca="1">C45</f>
        <v>6406</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44"/>
      <c r="L54" s="3545"/>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24.37</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6406</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6406</v>
      </c>
      <c r="R69" s="2369" t="s">
        <v>2411</v>
      </c>
    </row>
    <row r="70" spans="1:18" s="2043" customFormat="1" ht="20.25" thickBot="1">
      <c r="A70" s="2080"/>
      <c r="B70" s="2081"/>
      <c r="C70" s="2081"/>
      <c r="K70" s="2070"/>
      <c r="O70" s="2364" t="s">
        <v>2379</v>
      </c>
      <c r="P70" s="2370" t="s">
        <v>2393</v>
      </c>
      <c r="Q70" s="2363">
        <f ca="1">ROUND(Q71-Q72*Q73,0)</f>
        <v>395</v>
      </c>
      <c r="R70" s="2366"/>
    </row>
    <row r="71" spans="1:18" s="2043" customFormat="1" ht="15.75" thickBot="1">
      <c r="A71" s="2080"/>
      <c r="B71" s="2081"/>
      <c r="C71" s="2081"/>
      <c r="K71" s="2070"/>
      <c r="O71" s="2364" t="s">
        <v>2394</v>
      </c>
      <c r="P71" s="2370" t="s">
        <v>2395</v>
      </c>
      <c r="Q71" s="2363">
        <f ca="1">C42</f>
        <v>1512</v>
      </c>
      <c r="R71" s="2362" t="s">
        <v>2375</v>
      </c>
    </row>
    <row r="72" spans="1:18" s="2043" customFormat="1" ht="15.75" thickBot="1">
      <c r="A72" s="2080"/>
      <c r="B72" s="2081"/>
      <c r="C72" s="2081"/>
      <c r="K72" s="2070"/>
      <c r="O72" s="2364" t="s">
        <v>2396</v>
      </c>
      <c r="P72" s="2370" t="s">
        <v>2397</v>
      </c>
      <c r="Q72" s="2363">
        <f ca="1">C15</f>
        <v>13957</v>
      </c>
      <c r="R72" s="2362" t="s">
        <v>2375</v>
      </c>
    </row>
    <row r="73" spans="1:18" s="2043" customFormat="1" ht="15.75" thickBot="1">
      <c r="A73" s="2080"/>
      <c r="B73" s="2081"/>
      <c r="C73" s="2081"/>
      <c r="K73" s="2070"/>
      <c r="O73" s="2364" t="s">
        <v>2398</v>
      </c>
      <c r="P73" s="2370" t="s">
        <v>2399</v>
      </c>
      <c r="Q73" s="2365">
        <f ca="1">F43</f>
        <v>0.08</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8" t="s">
        <v>2570</v>
      </c>
      <c r="C1" s="3548"/>
      <c r="D1" s="3548"/>
      <c r="E1" s="3548"/>
      <c r="F1" s="3548"/>
      <c r="G1" s="3547" t="s">
        <v>2571</v>
      </c>
      <c r="H1" s="3547"/>
      <c r="I1" s="3547"/>
      <c r="J1" s="3547"/>
      <c r="K1" s="3547"/>
      <c r="L1" s="3547"/>
      <c r="N1" s="3547" t="s">
        <v>2572</v>
      </c>
      <c r="O1" s="3547"/>
      <c r="P1" s="3547"/>
      <c r="Q1" s="3547"/>
      <c r="R1" s="2617"/>
      <c r="S1" s="3547" t="s">
        <v>2573</v>
      </c>
      <c r="T1" s="3547"/>
      <c r="U1" s="3547"/>
      <c r="V1" s="3547"/>
      <c r="X1" s="3546" t="s">
        <v>2633</v>
      </c>
      <c r="Y1" s="3547"/>
      <c r="Z1" s="3547"/>
      <c r="AA1" s="3547"/>
      <c r="AB1" s="3547"/>
      <c r="AD1" s="3546" t="s">
        <v>2637</v>
      </c>
      <c r="AE1" s="3547"/>
      <c r="AF1" s="3547"/>
      <c r="AG1" s="3547"/>
      <c r="AH1" s="3547"/>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2963</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2983</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2982</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2979</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50">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2972</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50"/>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2973</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50"/>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2969</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56"/>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2960</v>
      </c>
      <c r="B15" s="3090">
        <v>439</v>
      </c>
      <c r="C15" s="3090">
        <v>327</v>
      </c>
      <c r="D15" s="3090">
        <f t="shared" si="98"/>
        <v>327</v>
      </c>
      <c r="E15" s="3090">
        <v>627</v>
      </c>
      <c r="F15" s="3091">
        <v>283</v>
      </c>
      <c r="G15" s="3555">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2964</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50"/>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550"/>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556"/>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55">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50"/>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50"/>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51"/>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49">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50"/>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50"/>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51"/>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49">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50"/>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50"/>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51"/>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552">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53"/>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553"/>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554"/>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549">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550"/>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550"/>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551"/>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549">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50">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550">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551">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549">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50">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550">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551">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549">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50">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550">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551">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549">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50">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550">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551">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549">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50">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550">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551">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549">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50">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550">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551">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549">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50">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550">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551">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549">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50">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550">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551">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549">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550">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550">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551">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549">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550">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550">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551">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5" t="s">
        <v>2034</v>
      </c>
      <c r="B1" s="3255"/>
      <c r="C1" s="3255"/>
      <c r="D1" s="3255"/>
      <c r="E1" s="3255"/>
      <c r="F1" s="3255"/>
      <c r="G1" s="3255"/>
      <c r="H1" s="3255"/>
      <c r="I1" s="3255"/>
      <c r="J1" s="3255"/>
      <c r="K1" s="3255"/>
      <c r="L1" s="3255"/>
      <c r="M1" s="3255"/>
      <c r="N1" s="3255"/>
      <c r="O1" s="3255"/>
      <c r="P1" s="3255"/>
      <c r="Q1" s="3255"/>
      <c r="R1" s="3255"/>
    </row>
    <row r="2" spans="1:18">
      <c r="A2" s="1791" t="s">
        <v>2036</v>
      </c>
      <c r="B2" s="1791"/>
      <c r="C2" s="1791"/>
      <c r="D2" s="1791"/>
      <c r="E2" s="1791"/>
      <c r="F2" s="1791"/>
      <c r="G2" s="1791"/>
      <c r="H2" s="1791"/>
      <c r="I2" s="1792"/>
      <c r="J2" s="1792"/>
      <c r="K2" s="1793" t="str">
        <f>"估价期日："&amp;TEXT(项目基本情况!D3,"yyyy年m月d日;;")</f>
        <v>估价期日：2020年6月28日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56" t="s">
        <v>2025</v>
      </c>
      <c r="B3" s="3256" t="s">
        <v>2725</v>
      </c>
      <c r="C3" s="3257" t="s">
        <v>2026</v>
      </c>
      <c r="D3" s="3256" t="s">
        <v>2729</v>
      </c>
      <c r="E3" s="3251" t="s">
        <v>2027</v>
      </c>
      <c r="F3" s="3251"/>
      <c r="G3" s="3251"/>
      <c r="H3" s="3251" t="s">
        <v>2028</v>
      </c>
      <c r="I3" s="3251"/>
      <c r="J3" s="3251"/>
      <c r="K3" s="3257" t="s">
        <v>2029</v>
      </c>
      <c r="L3" s="3257" t="s">
        <v>2030</v>
      </c>
      <c r="M3" s="3256" t="s">
        <v>2726</v>
      </c>
      <c r="N3" s="3258" t="str">
        <f>"（分摊）"&amp;项目基本情况!B16&amp;"国有建设用地使用权面积/㎡"</f>
        <v>（分摊）出让国有建设用地使用权面积/㎡</v>
      </c>
      <c r="O3" s="3256" t="s">
        <v>2059</v>
      </c>
      <c r="P3" s="3257" t="s">
        <v>2039</v>
      </c>
      <c r="Q3" s="3257" t="s">
        <v>2060</v>
      </c>
      <c r="R3" s="3257" t="s">
        <v>2031</v>
      </c>
    </row>
    <row r="4" spans="1:18" ht="36.75" customHeight="1">
      <c r="A4" s="3256"/>
      <c r="B4" s="3256"/>
      <c r="C4" s="3257"/>
      <c r="D4" s="3256"/>
      <c r="E4" s="2612" t="s">
        <v>2038</v>
      </c>
      <c r="F4" s="2612" t="s">
        <v>2738</v>
      </c>
      <c r="G4" s="2612" t="s">
        <v>2032</v>
      </c>
      <c r="H4" s="2612" t="s">
        <v>2033</v>
      </c>
      <c r="I4" s="2612" t="s">
        <v>2739</v>
      </c>
      <c r="J4" s="2612" t="s">
        <v>2032</v>
      </c>
      <c r="K4" s="3257"/>
      <c r="L4" s="3257"/>
      <c r="M4" s="3256"/>
      <c r="N4" s="3258"/>
      <c r="O4" s="3256"/>
      <c r="P4" s="3257"/>
      <c r="Q4" s="3257"/>
      <c r="R4" s="3257"/>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63755.58</v>
      </c>
      <c r="O5" s="1794">
        <f>项目基本情况!C21</f>
        <v>63755.58</v>
      </c>
      <c r="P5" s="1794">
        <f ca="1">结果表!E42</f>
        <v>2253</v>
      </c>
      <c r="Q5" s="1794">
        <f ca="1">结果表!D42</f>
        <v>2253</v>
      </c>
      <c r="R5" s="1795">
        <f ca="1">结果表!C42</f>
        <v>14362</v>
      </c>
    </row>
    <row r="6" spans="1:18">
      <c r="A6" s="3252" t="str">
        <f>IF(项目基本情况!B9="市场价格","——","抵押价格")</f>
        <v>——</v>
      </c>
      <c r="B6" s="3253"/>
      <c r="C6" s="3253"/>
      <c r="D6" s="3253"/>
      <c r="E6" s="3253"/>
      <c r="F6" s="3253"/>
      <c r="G6" s="3253"/>
      <c r="H6" s="3253"/>
      <c r="I6" s="3253"/>
      <c r="J6" s="3253"/>
      <c r="K6" s="3253"/>
      <c r="L6" s="3253"/>
      <c r="M6" s="3253"/>
      <c r="N6" s="3253"/>
      <c r="O6" s="3253"/>
      <c r="P6" s="3253"/>
      <c r="Q6" s="3254"/>
      <c r="R6" s="1796" t="str">
        <f>结果表!O39</f>
        <v>——</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796" t="str">
        <f>结果表!O40</f>
        <v>——</v>
      </c>
    </row>
    <row r="8" spans="1:18">
      <c r="A8" s="3252" t="str">
        <f>IF(项目基本情况!B9="市场价格","——",项目基本情况!E9)</f>
        <v>——</v>
      </c>
      <c r="B8" s="3253"/>
      <c r="C8" s="3253"/>
      <c r="D8" s="3253"/>
      <c r="E8" s="3253"/>
      <c r="F8" s="3253"/>
      <c r="G8" s="3253"/>
      <c r="H8" s="3253"/>
      <c r="I8" s="3253"/>
      <c r="J8" s="3253"/>
      <c r="K8" s="3253"/>
      <c r="L8" s="3253"/>
      <c r="M8" s="3253"/>
      <c r="N8" s="3253"/>
      <c r="O8" s="3253"/>
      <c r="P8" s="3253"/>
      <c r="Q8" s="3254"/>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9" t="s">
        <v>2061</v>
      </c>
      <c r="B1" s="3259"/>
      <c r="C1" s="3259"/>
      <c r="D1" s="3259"/>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2" t="s">
        <v>2062</v>
      </c>
      <c r="B5" s="3262"/>
      <c r="C5" s="3262"/>
      <c r="D5" s="3262"/>
    </row>
    <row r="6" spans="1:4">
      <c r="A6" s="3259" t="s">
        <v>2040</v>
      </c>
      <c r="B6" s="3259"/>
      <c r="C6" s="3259"/>
      <c r="D6" s="3259"/>
    </row>
    <row r="7" spans="1:4" ht="33" customHeight="1">
      <c r="A7" s="3259" t="s">
        <v>2569</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9"/>
      <c r="C8" s="3259"/>
      <c r="D8" s="3259"/>
    </row>
    <row r="9" spans="1:4" ht="33.75" customHeight="1">
      <c r="A9" s="3259" t="str">
        <f>IF(项目基本情况!B8="抵押","3.抵押双方在办理抵押登记手续时，应使用本公司出具的正式《土地估价报告》，特提请报告使用者注意。","——")</f>
        <v>——</v>
      </c>
      <c r="B9" s="3259"/>
      <c r="C9" s="3259"/>
      <c r="D9" s="3259"/>
    </row>
    <row r="10" spans="1:4">
      <c r="A10" s="3259" t="str">
        <f>IF(项目基本情况!B8="抵押","4.估价师所知悉的法定优先受偿款情况为：","——")</f>
        <v>——</v>
      </c>
      <c r="B10" s="3259"/>
      <c r="C10" s="3259"/>
      <c r="D10" s="3259"/>
    </row>
    <row r="11" spans="1:4" ht="37.5" customHeight="1">
      <c r="A11" s="3261" t="str">
        <f>IF(项目基本情况!B8="抵押","（1）"&amp;CONCATENATE(项目基本情况!L24,项目基本情况!L25,项目基本情况!L26),"——")</f>
        <v>——</v>
      </c>
      <c r="B11" s="3261"/>
      <c r="C11" s="3261"/>
      <c r="D11" s="3261"/>
    </row>
    <row r="12" spans="1:4" ht="168" customHeight="1">
      <c r="A12" s="3262" t="s">
        <v>2064</v>
      </c>
      <c r="B12" s="3262"/>
      <c r="C12" s="3262"/>
      <c r="D12" s="3262"/>
    </row>
    <row r="13" spans="1:4">
      <c r="A13" s="3260" t="s">
        <v>2740</v>
      </c>
      <c r="B13" s="3260"/>
      <c r="C13" s="3260"/>
      <c r="D13" s="3260"/>
    </row>
    <row r="14" spans="1:4">
      <c r="A14" s="3261" t="str">
        <f>IF(项目基本情况!B8="抵押","综上，"&amp;结果表!K47,"——")</f>
        <v>——</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2696</v>
      </c>
      <c r="B17" s="3259"/>
      <c r="C17" s="3259"/>
      <c r="D17" s="3259"/>
    </row>
    <row r="18" spans="1:4">
      <c r="A18" s="3259" t="s">
        <v>2688</v>
      </c>
      <c r="B18" s="3259"/>
      <c r="C18" s="3259"/>
      <c r="D18" s="3259"/>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9" t="s">
        <v>2693</v>
      </c>
      <c r="B23" s="3259"/>
      <c r="C23" s="3259"/>
      <c r="D23" s="3259"/>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71" t="s">
        <v>53</v>
      </c>
      <c r="B15" s="3272" t="s">
        <v>844</v>
      </c>
      <c r="C15" s="3268"/>
    </row>
    <row r="16" spans="1:7" ht="14.25">
      <c r="A16" s="3271"/>
      <c r="B16" s="3269" t="s">
        <v>54</v>
      </c>
      <c r="C16" s="1166" t="s">
        <v>53</v>
      </c>
    </row>
    <row r="17" spans="1:3" ht="14.25">
      <c r="A17" s="3271"/>
      <c r="B17" s="3269"/>
      <c r="C17" s="1166" t="s">
        <v>55</v>
      </c>
    </row>
    <row r="18" spans="1:3" ht="14.25">
      <c r="A18" s="3271"/>
      <c r="B18" s="3269"/>
      <c r="C18" s="1166" t="s">
        <v>56</v>
      </c>
    </row>
    <row r="19" spans="1:3" ht="14.25">
      <c r="A19" s="3271"/>
      <c r="B19" s="3267" t="s">
        <v>57</v>
      </c>
      <c r="C19" s="3268"/>
    </row>
    <row r="20" spans="1:3" ht="14.25">
      <c r="A20" s="1167" t="s">
        <v>58</v>
      </c>
      <c r="B20" s="1168"/>
      <c r="C20" s="1169"/>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0" t="s">
        <v>835</v>
      </c>
    </row>
    <row r="25" spans="1:3" ht="14.25">
      <c r="A25" s="3270"/>
      <c r="B25" s="3274"/>
      <c r="C25" s="1170" t="s">
        <v>836</v>
      </c>
    </row>
    <row r="26" spans="1:3" ht="14.25">
      <c r="A26" s="3270"/>
      <c r="B26" s="3274"/>
      <c r="C26" s="1170" t="s">
        <v>837</v>
      </c>
    </row>
    <row r="27" spans="1:3" ht="14.25">
      <c r="A27" s="3270"/>
      <c r="B27" s="3274"/>
      <c r="C27" s="1170" t="s">
        <v>838</v>
      </c>
    </row>
    <row r="28" spans="1:3" ht="14.25">
      <c r="A28" s="3270"/>
      <c r="B28" s="3274"/>
      <c r="C28" s="1170" t="s">
        <v>839</v>
      </c>
    </row>
    <row r="29" spans="1:3" ht="14.25">
      <c r="A29" s="3270"/>
      <c r="B29" s="3274"/>
      <c r="C29" s="1170" t="s">
        <v>840</v>
      </c>
    </row>
    <row r="30" spans="1:3" ht="14.25">
      <c r="A30" s="3270"/>
      <c r="B30" s="3274"/>
      <c r="C30" s="1170" t="s">
        <v>841</v>
      </c>
    </row>
    <row r="31" spans="1:3" ht="14.25">
      <c r="A31" s="3270"/>
      <c r="B31" s="3274"/>
      <c r="C31" s="1170" t="s">
        <v>842</v>
      </c>
    </row>
    <row r="32" spans="1:3" ht="14.25">
      <c r="A32" s="3270"/>
      <c r="B32" s="3274"/>
      <c r="C32" s="1170" t="s">
        <v>1644</v>
      </c>
    </row>
    <row r="33" spans="1:3" ht="14.25">
      <c r="A33" s="3270"/>
      <c r="B33" s="3264" t="s">
        <v>1650</v>
      </c>
      <c r="C33" s="1170" t="s">
        <v>1645</v>
      </c>
    </row>
    <row r="34" spans="1:3" ht="14.25">
      <c r="A34" s="3270"/>
      <c r="B34" s="3265"/>
      <c r="C34" s="1175" t="s">
        <v>1646</v>
      </c>
    </row>
    <row r="35" spans="1:3" ht="14.25">
      <c r="A35" s="3270"/>
      <c r="B35" s="3265"/>
      <c r="C35" s="1176" t="s">
        <v>1647</v>
      </c>
    </row>
    <row r="36" spans="1:3" ht="14.25">
      <c r="A36" s="3270"/>
      <c r="B36" s="3265"/>
      <c r="C36" s="1176" t="s">
        <v>1648</v>
      </c>
    </row>
    <row r="37" spans="1:3" ht="14.25">
      <c r="A37" s="3270"/>
      <c r="B37" s="3266"/>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44011</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75" t="s">
        <v>1922</v>
      </c>
      <c r="B25" s="3275"/>
      <c r="C25" s="3275"/>
      <c r="D25" s="3275"/>
      <c r="E25" s="3275"/>
      <c r="F25" s="3275"/>
      <c r="G25" s="3275"/>
    </row>
    <row r="26" spans="1:7" ht="20.25" customHeight="1">
      <c r="A26" s="3276" t="s">
        <v>1923</v>
      </c>
      <c r="B26" s="3276"/>
      <c r="C26" s="3276"/>
      <c r="D26" s="3276" t="s">
        <v>1924</v>
      </c>
      <c r="E26" s="3276"/>
      <c r="F26" s="3276"/>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77"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c r="D53" s="1751"/>
      <c r="E53" s="1751"/>
    </row>
    <row r="54" spans="1:5">
      <c r="A54" s="3277"/>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77"/>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77"/>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77"/>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结果汇总</vt:lpstr>
      <vt:lpstr>基准地价</vt:lpstr>
      <vt:lpstr>成本逼近法</vt:lpstr>
      <vt:lpstr>剩余法-待开发</vt:lpstr>
      <vt:lpstr>土地案例</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2020-06-29T01:37:40Z</dcterms:modified>
</cp:coreProperties>
</file>